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mpower Analytics\Projects\Lochard Energy\2003 Firming Analysis\"/>
    </mc:Choice>
  </mc:AlternateContent>
  <xr:revisionPtr revIDLastSave="0" documentId="13_ncr:1_{DB673320-7775-45E4-911C-6B6490C931ED}" xr6:coauthVersionLast="45" xr6:coauthVersionMax="45" xr10:uidLastSave="{00000000-0000-0000-0000-000000000000}"/>
  <bookViews>
    <workbookView xWindow="12711" yWindow="-14256" windowWidth="25370" windowHeight="13759" firstSheet="8" activeTab="14" xr2:uid="{B3D00DDF-F12E-4CE5-89BD-07A60A1B3FEF}"/>
  </bookViews>
  <sheets>
    <sheet name="Spot Prices" sheetId="1" r:id="rId1"/>
    <sheet name="WindFarmRevenue" sheetId="2" r:id="rId2"/>
    <sheet name="WindFarmLGCs" sheetId="10" r:id="rId3"/>
    <sheet name="WindFarmAvPrice" sheetId="11" r:id="rId4"/>
    <sheet name="PPAPrice" sheetId="12" r:id="rId5"/>
    <sheet name="PPAcfd" sheetId="13" r:id="rId6"/>
    <sheet name="SwapSold" sheetId="14" r:id="rId7"/>
    <sheet name="DualFuelCM" sheetId="4" r:id="rId8"/>
    <sheet name="DualFuelMWh" sheetId="6" r:id="rId9"/>
    <sheet name="2hBatteryCM" sheetId="5" r:id="rId10"/>
    <sheet name="2hBatteryMWh" sheetId="7" r:id="rId11"/>
    <sheet name="2hBatteryCycles" sheetId="8" r:id="rId12"/>
    <sheet name="Summary" sheetId="9" r:id="rId13"/>
    <sheet name="FinParameters" sheetId="15" r:id="rId14"/>
    <sheet name="Financials" sheetId="16" r:id="rId15"/>
    <sheet name="FinancialWalk" sheetId="17" r:id="rId16"/>
  </sheets>
  <externalReferences>
    <externalReference r:id="rId17"/>
    <externalReference r:id="rId18"/>
    <externalReference r:id="rId19"/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" i="16" l="1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F147" i="16"/>
  <c r="AF148" i="16"/>
  <c r="AF149" i="16"/>
  <c r="AF150" i="16"/>
  <c r="AF151" i="16"/>
  <c r="AF152" i="16"/>
  <c r="AF153" i="16"/>
  <c r="AF154" i="16"/>
  <c r="AF155" i="16"/>
  <c r="AF156" i="16"/>
  <c r="AF157" i="16"/>
  <c r="AF158" i="16"/>
  <c r="AF159" i="16"/>
  <c r="AF160" i="16"/>
  <c r="AF161" i="16"/>
  <c r="AF162" i="16"/>
  <c r="AF163" i="16"/>
  <c r="AF164" i="16"/>
  <c r="AF165" i="16"/>
  <c r="AF166" i="16"/>
  <c r="AF167" i="16"/>
  <c r="AF168" i="16"/>
  <c r="AF169" i="16"/>
  <c r="AF170" i="16"/>
  <c r="AF171" i="16"/>
  <c r="AF172" i="16"/>
  <c r="AF173" i="16"/>
  <c r="AF174" i="16"/>
  <c r="AF175" i="16"/>
  <c r="AF176" i="16"/>
  <c r="AF177" i="16"/>
  <c r="AF178" i="16"/>
  <c r="AF179" i="16"/>
  <c r="AF180" i="16"/>
  <c r="AF181" i="16"/>
  <c r="AF182" i="16"/>
  <c r="AF183" i="16"/>
  <c r="AF184" i="16"/>
  <c r="AF185" i="16"/>
  <c r="AF186" i="16"/>
  <c r="AF187" i="16"/>
  <c r="AF188" i="16"/>
  <c r="AF189" i="16"/>
  <c r="AF190" i="16"/>
  <c r="AF191" i="16"/>
  <c r="AF192" i="16"/>
  <c r="AF193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235" i="16"/>
  <c r="AF236" i="16"/>
  <c r="AF237" i="16"/>
  <c r="AF238" i="16"/>
  <c r="AF239" i="16"/>
  <c r="AF240" i="16"/>
  <c r="AF241" i="16"/>
  <c r="AF242" i="16"/>
  <c r="AF243" i="16"/>
  <c r="AF244" i="16"/>
  <c r="AF245" i="16"/>
  <c r="AF246" i="16"/>
  <c r="AF247" i="16"/>
  <c r="AF248" i="16"/>
  <c r="AF249" i="16"/>
  <c r="AF250" i="16"/>
  <c r="AF251" i="16"/>
  <c r="AF252" i="16"/>
  <c r="AF253" i="16"/>
  <c r="AF254" i="16"/>
  <c r="AF255" i="16"/>
  <c r="AF256" i="16"/>
  <c r="AF257" i="16"/>
  <c r="AF258" i="16"/>
  <c r="AF259" i="16"/>
  <c r="AF260" i="16"/>
  <c r="AF5" i="16"/>
  <c r="X2" i="17" l="1"/>
  <c r="V2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AP260" i="16"/>
  <c r="AP258" i="16"/>
  <c r="AP257" i="16"/>
  <c r="AP256" i="16"/>
  <c r="AP255" i="16"/>
  <c r="AP254" i="16"/>
  <c r="AP253" i="16"/>
  <c r="AP132" i="16"/>
  <c r="AP131" i="16"/>
  <c r="AP130" i="16"/>
  <c r="AP129" i="16"/>
  <c r="AP128" i="16"/>
  <c r="AP127" i="16"/>
  <c r="AP126" i="16"/>
  <c r="AP125" i="16"/>
  <c r="Q5" i="17"/>
  <c r="N233" i="16"/>
  <c r="B2" i="17"/>
  <c r="F260" i="16"/>
  <c r="E260" i="16"/>
  <c r="D260" i="16"/>
  <c r="C260" i="16"/>
  <c r="B260" i="16"/>
  <c r="F259" i="16"/>
  <c r="E259" i="16"/>
  <c r="D259" i="16"/>
  <c r="C259" i="16"/>
  <c r="B259" i="16"/>
  <c r="F258" i="16"/>
  <c r="E258" i="16"/>
  <c r="D258" i="16"/>
  <c r="C258" i="16"/>
  <c r="B258" i="16"/>
  <c r="F257" i="16"/>
  <c r="E257" i="16"/>
  <c r="D257" i="16"/>
  <c r="C257" i="16"/>
  <c r="B257" i="16"/>
  <c r="F256" i="16"/>
  <c r="E256" i="16"/>
  <c r="D256" i="16"/>
  <c r="C256" i="16"/>
  <c r="B256" i="16"/>
  <c r="F255" i="16"/>
  <c r="E255" i="16"/>
  <c r="D255" i="16"/>
  <c r="C255" i="16"/>
  <c r="B255" i="16"/>
  <c r="F254" i="16"/>
  <c r="E254" i="16"/>
  <c r="D254" i="16"/>
  <c r="C254" i="16"/>
  <c r="B254" i="16"/>
  <c r="F253" i="16"/>
  <c r="E253" i="16"/>
  <c r="D253" i="16"/>
  <c r="C253" i="16"/>
  <c r="B253" i="16"/>
  <c r="F252" i="16"/>
  <c r="E252" i="16"/>
  <c r="D252" i="16"/>
  <c r="C252" i="16"/>
  <c r="B252" i="16"/>
  <c r="F251" i="16"/>
  <c r="E251" i="16"/>
  <c r="D251" i="16"/>
  <c r="C251" i="16"/>
  <c r="B251" i="16"/>
  <c r="F250" i="16"/>
  <c r="E250" i="16"/>
  <c r="D250" i="16"/>
  <c r="C250" i="16"/>
  <c r="B250" i="16"/>
  <c r="F249" i="16"/>
  <c r="E249" i="16"/>
  <c r="D249" i="16"/>
  <c r="C249" i="16"/>
  <c r="B249" i="16"/>
  <c r="F248" i="16"/>
  <c r="E248" i="16"/>
  <c r="M248" i="16" s="1"/>
  <c r="D248" i="16"/>
  <c r="C248" i="16"/>
  <c r="B248" i="16"/>
  <c r="F247" i="16"/>
  <c r="E247" i="16"/>
  <c r="D247" i="16"/>
  <c r="C247" i="16"/>
  <c r="B247" i="16"/>
  <c r="F246" i="16"/>
  <c r="E246" i="16"/>
  <c r="D246" i="16"/>
  <c r="C246" i="16"/>
  <c r="B246" i="16"/>
  <c r="F245" i="16"/>
  <c r="E245" i="16"/>
  <c r="D245" i="16"/>
  <c r="C245" i="16"/>
  <c r="B245" i="16"/>
  <c r="F244" i="16"/>
  <c r="E244" i="16"/>
  <c r="D244" i="16"/>
  <c r="C244" i="16"/>
  <c r="B244" i="16"/>
  <c r="F243" i="16"/>
  <c r="E243" i="16"/>
  <c r="M243" i="16" s="1"/>
  <c r="D243" i="16"/>
  <c r="C243" i="16"/>
  <c r="B243" i="16"/>
  <c r="F242" i="16"/>
  <c r="E242" i="16"/>
  <c r="D242" i="16"/>
  <c r="C242" i="16"/>
  <c r="B242" i="16"/>
  <c r="F241" i="16"/>
  <c r="E241" i="16"/>
  <c r="D241" i="16"/>
  <c r="C241" i="16"/>
  <c r="B241" i="16"/>
  <c r="F240" i="16"/>
  <c r="E240" i="16"/>
  <c r="D240" i="16"/>
  <c r="C240" i="16"/>
  <c r="B240" i="16"/>
  <c r="F239" i="16"/>
  <c r="E239" i="16"/>
  <c r="D239" i="16"/>
  <c r="C239" i="16"/>
  <c r="B239" i="16"/>
  <c r="F238" i="16"/>
  <c r="E238" i="16"/>
  <c r="M238" i="16" s="1"/>
  <c r="D238" i="16"/>
  <c r="C238" i="16"/>
  <c r="B238" i="16"/>
  <c r="F237" i="16"/>
  <c r="E237" i="16"/>
  <c r="D237" i="16"/>
  <c r="C237" i="16"/>
  <c r="B237" i="16"/>
  <c r="F236" i="16"/>
  <c r="E236" i="16"/>
  <c r="D236" i="16"/>
  <c r="C236" i="16"/>
  <c r="B236" i="16"/>
  <c r="F235" i="16"/>
  <c r="E235" i="16"/>
  <c r="D235" i="16"/>
  <c r="C235" i="16"/>
  <c r="B235" i="16"/>
  <c r="F234" i="16"/>
  <c r="E234" i="16"/>
  <c r="D234" i="16"/>
  <c r="C234" i="16"/>
  <c r="B234" i="16"/>
  <c r="F233" i="16"/>
  <c r="E233" i="16"/>
  <c r="D233" i="16"/>
  <c r="C233" i="16"/>
  <c r="B233" i="16"/>
  <c r="F232" i="16"/>
  <c r="E232" i="16"/>
  <c r="D232" i="16"/>
  <c r="C232" i="16"/>
  <c r="B232" i="16"/>
  <c r="F231" i="16"/>
  <c r="E231" i="16"/>
  <c r="D231" i="16"/>
  <c r="C231" i="16"/>
  <c r="B231" i="16"/>
  <c r="F230" i="16"/>
  <c r="E230" i="16"/>
  <c r="D230" i="16"/>
  <c r="C230" i="16"/>
  <c r="B230" i="16"/>
  <c r="F229" i="16"/>
  <c r="E229" i="16"/>
  <c r="D229" i="16"/>
  <c r="C229" i="16"/>
  <c r="B229" i="16"/>
  <c r="F228" i="16"/>
  <c r="E228" i="16"/>
  <c r="D228" i="16"/>
  <c r="C228" i="16"/>
  <c r="B228" i="16"/>
  <c r="F227" i="16"/>
  <c r="E227" i="16"/>
  <c r="D227" i="16"/>
  <c r="C227" i="16"/>
  <c r="B227" i="16"/>
  <c r="F226" i="16"/>
  <c r="E226" i="16"/>
  <c r="D226" i="16"/>
  <c r="C226" i="16"/>
  <c r="B226" i="16"/>
  <c r="F225" i="16"/>
  <c r="E225" i="16"/>
  <c r="D225" i="16"/>
  <c r="C225" i="16"/>
  <c r="B225" i="16"/>
  <c r="F224" i="16"/>
  <c r="E224" i="16"/>
  <c r="N224" i="16" s="1"/>
  <c r="D224" i="16"/>
  <c r="C224" i="16"/>
  <c r="B224" i="16"/>
  <c r="F223" i="16"/>
  <c r="E223" i="16"/>
  <c r="D223" i="16"/>
  <c r="C223" i="16"/>
  <c r="B223" i="16"/>
  <c r="F222" i="16"/>
  <c r="E222" i="16"/>
  <c r="D222" i="16"/>
  <c r="C222" i="16"/>
  <c r="B222" i="16"/>
  <c r="F221" i="16"/>
  <c r="E221" i="16"/>
  <c r="D221" i="16"/>
  <c r="C221" i="16"/>
  <c r="B221" i="16"/>
  <c r="F220" i="16"/>
  <c r="E220" i="16"/>
  <c r="D220" i="16"/>
  <c r="C220" i="16"/>
  <c r="B220" i="16"/>
  <c r="F219" i="16"/>
  <c r="E219" i="16"/>
  <c r="D219" i="16"/>
  <c r="C219" i="16"/>
  <c r="B219" i="16"/>
  <c r="F218" i="16"/>
  <c r="E218" i="16"/>
  <c r="D218" i="16"/>
  <c r="C218" i="16"/>
  <c r="B218" i="16"/>
  <c r="F217" i="16"/>
  <c r="E217" i="16"/>
  <c r="D217" i="16"/>
  <c r="C217" i="16"/>
  <c r="B217" i="16"/>
  <c r="F216" i="16"/>
  <c r="E216" i="16"/>
  <c r="M216" i="16" s="1"/>
  <c r="D216" i="16"/>
  <c r="C216" i="16"/>
  <c r="B216" i="16"/>
  <c r="F215" i="16"/>
  <c r="E215" i="16"/>
  <c r="D215" i="16"/>
  <c r="C215" i="16"/>
  <c r="B215" i="16"/>
  <c r="F214" i="16"/>
  <c r="E214" i="16"/>
  <c r="D214" i="16"/>
  <c r="C214" i="16"/>
  <c r="B214" i="16"/>
  <c r="F213" i="16"/>
  <c r="E213" i="16"/>
  <c r="D213" i="16"/>
  <c r="C213" i="16"/>
  <c r="B213" i="16"/>
  <c r="F212" i="16"/>
  <c r="E212" i="16"/>
  <c r="D212" i="16"/>
  <c r="C212" i="16"/>
  <c r="B212" i="16"/>
  <c r="F211" i="16"/>
  <c r="E211" i="16"/>
  <c r="D211" i="16"/>
  <c r="C211" i="16"/>
  <c r="B211" i="16"/>
  <c r="F210" i="16"/>
  <c r="E210" i="16"/>
  <c r="D210" i="16"/>
  <c r="C210" i="16"/>
  <c r="B210" i="16"/>
  <c r="F209" i="16"/>
  <c r="E209" i="16"/>
  <c r="D209" i="16"/>
  <c r="C209" i="16"/>
  <c r="B209" i="16"/>
  <c r="F208" i="16"/>
  <c r="E208" i="16"/>
  <c r="D208" i="16"/>
  <c r="C208" i="16"/>
  <c r="B208" i="16"/>
  <c r="F207" i="16"/>
  <c r="E207" i="16"/>
  <c r="O207" i="16" s="1"/>
  <c r="D207" i="16"/>
  <c r="C207" i="16"/>
  <c r="B207" i="16"/>
  <c r="F206" i="16"/>
  <c r="E206" i="16"/>
  <c r="D206" i="16"/>
  <c r="C206" i="16"/>
  <c r="B206" i="16"/>
  <c r="F205" i="16"/>
  <c r="E205" i="16"/>
  <c r="D205" i="16"/>
  <c r="C205" i="16"/>
  <c r="B205" i="16"/>
  <c r="F204" i="16"/>
  <c r="E204" i="16"/>
  <c r="D204" i="16"/>
  <c r="C204" i="16"/>
  <c r="B204" i="16"/>
  <c r="F203" i="16"/>
  <c r="E203" i="16"/>
  <c r="M203" i="16" s="1"/>
  <c r="D203" i="16"/>
  <c r="C203" i="16"/>
  <c r="B203" i="16"/>
  <c r="F202" i="16"/>
  <c r="E202" i="16"/>
  <c r="D202" i="16"/>
  <c r="C202" i="16"/>
  <c r="B202" i="16"/>
  <c r="F201" i="16"/>
  <c r="E201" i="16"/>
  <c r="D201" i="16"/>
  <c r="C201" i="16"/>
  <c r="B201" i="16"/>
  <c r="F200" i="16"/>
  <c r="E200" i="16"/>
  <c r="D200" i="16"/>
  <c r="C200" i="16"/>
  <c r="B200" i="16"/>
  <c r="F199" i="16"/>
  <c r="E199" i="16"/>
  <c r="M199" i="16" s="1"/>
  <c r="D199" i="16"/>
  <c r="C199" i="16"/>
  <c r="B199" i="16"/>
  <c r="F198" i="16"/>
  <c r="E198" i="16"/>
  <c r="D198" i="16"/>
  <c r="C198" i="16"/>
  <c r="B198" i="16"/>
  <c r="F197" i="16"/>
  <c r="E197" i="16"/>
  <c r="D197" i="16"/>
  <c r="C197" i="16"/>
  <c r="B197" i="16"/>
  <c r="F196" i="16"/>
  <c r="E196" i="16"/>
  <c r="D196" i="16"/>
  <c r="C196" i="16"/>
  <c r="B196" i="16"/>
  <c r="F195" i="16"/>
  <c r="E195" i="16"/>
  <c r="D195" i="16"/>
  <c r="C195" i="16"/>
  <c r="B195" i="16"/>
  <c r="F194" i="16"/>
  <c r="O194" i="16" s="1"/>
  <c r="E194" i="16"/>
  <c r="D194" i="16"/>
  <c r="C194" i="16"/>
  <c r="B194" i="16"/>
  <c r="F193" i="16"/>
  <c r="E193" i="16"/>
  <c r="D193" i="16"/>
  <c r="C193" i="16"/>
  <c r="B193" i="16"/>
  <c r="F192" i="16"/>
  <c r="E192" i="16"/>
  <c r="D192" i="16"/>
  <c r="C192" i="16"/>
  <c r="B192" i="16"/>
  <c r="F191" i="16"/>
  <c r="E191" i="16"/>
  <c r="D191" i="16"/>
  <c r="C191" i="16"/>
  <c r="B191" i="16"/>
  <c r="F190" i="16"/>
  <c r="O190" i="16" s="1"/>
  <c r="E190" i="16"/>
  <c r="D190" i="16"/>
  <c r="C190" i="16"/>
  <c r="B190" i="16"/>
  <c r="F189" i="16"/>
  <c r="E189" i="16"/>
  <c r="D189" i="16"/>
  <c r="C189" i="16"/>
  <c r="B189" i="16"/>
  <c r="F188" i="16"/>
  <c r="E188" i="16"/>
  <c r="D188" i="16"/>
  <c r="C188" i="16"/>
  <c r="B188" i="16"/>
  <c r="F187" i="16"/>
  <c r="E187" i="16"/>
  <c r="D187" i="16"/>
  <c r="C187" i="16"/>
  <c r="B187" i="16"/>
  <c r="F186" i="16"/>
  <c r="E186" i="16"/>
  <c r="D186" i="16"/>
  <c r="C186" i="16"/>
  <c r="B186" i="16"/>
  <c r="F185" i="16"/>
  <c r="E185" i="16"/>
  <c r="D185" i="16"/>
  <c r="C185" i="16"/>
  <c r="B185" i="16"/>
  <c r="F184" i="16"/>
  <c r="E184" i="16"/>
  <c r="D184" i="16"/>
  <c r="C184" i="16"/>
  <c r="B184" i="16"/>
  <c r="F183" i="16"/>
  <c r="E183" i="16"/>
  <c r="D183" i="16"/>
  <c r="C183" i="16"/>
  <c r="B183" i="16"/>
  <c r="F182" i="16"/>
  <c r="E182" i="16"/>
  <c r="D182" i="16"/>
  <c r="C182" i="16"/>
  <c r="B182" i="16"/>
  <c r="F181" i="16"/>
  <c r="E181" i="16"/>
  <c r="D181" i="16"/>
  <c r="C181" i="16"/>
  <c r="B181" i="16"/>
  <c r="F180" i="16"/>
  <c r="E180" i="16"/>
  <c r="D180" i="16"/>
  <c r="C180" i="16"/>
  <c r="B180" i="16"/>
  <c r="F179" i="16"/>
  <c r="E179" i="16"/>
  <c r="D179" i="16"/>
  <c r="C179" i="16"/>
  <c r="B179" i="16"/>
  <c r="F178" i="16"/>
  <c r="E178" i="16"/>
  <c r="D178" i="16"/>
  <c r="C178" i="16"/>
  <c r="B178" i="16"/>
  <c r="F177" i="16"/>
  <c r="E177" i="16"/>
  <c r="D177" i="16"/>
  <c r="C177" i="16"/>
  <c r="B177" i="16"/>
  <c r="F176" i="16"/>
  <c r="E176" i="16"/>
  <c r="O176" i="16" s="1"/>
  <c r="D176" i="16"/>
  <c r="C176" i="16"/>
  <c r="B176" i="16"/>
  <c r="F175" i="16"/>
  <c r="E175" i="16"/>
  <c r="D175" i="16"/>
  <c r="C175" i="16"/>
  <c r="B175" i="16"/>
  <c r="F174" i="16"/>
  <c r="E174" i="16"/>
  <c r="D174" i="16"/>
  <c r="C174" i="16"/>
  <c r="B174" i="16"/>
  <c r="F173" i="16"/>
  <c r="E173" i="16"/>
  <c r="D173" i="16"/>
  <c r="C173" i="16"/>
  <c r="B173" i="16"/>
  <c r="F172" i="16"/>
  <c r="E172" i="16"/>
  <c r="D172" i="16"/>
  <c r="C172" i="16"/>
  <c r="B172" i="16"/>
  <c r="F171" i="16"/>
  <c r="E171" i="16"/>
  <c r="D171" i="16"/>
  <c r="C171" i="16"/>
  <c r="B171" i="16"/>
  <c r="F170" i="16"/>
  <c r="N170" i="16" s="1"/>
  <c r="E170" i="16"/>
  <c r="D170" i="16"/>
  <c r="C170" i="16"/>
  <c r="B170" i="16"/>
  <c r="F169" i="16"/>
  <c r="E169" i="16"/>
  <c r="D169" i="16"/>
  <c r="C169" i="16"/>
  <c r="B169" i="16"/>
  <c r="F168" i="16"/>
  <c r="E168" i="16"/>
  <c r="D168" i="16"/>
  <c r="C168" i="16"/>
  <c r="B168" i="16"/>
  <c r="F167" i="16"/>
  <c r="E167" i="16"/>
  <c r="D167" i="16"/>
  <c r="C167" i="16"/>
  <c r="B167" i="16"/>
  <c r="F166" i="16"/>
  <c r="E166" i="16"/>
  <c r="D166" i="16"/>
  <c r="C166" i="16"/>
  <c r="B166" i="16"/>
  <c r="F165" i="16"/>
  <c r="E165" i="16"/>
  <c r="D165" i="16"/>
  <c r="C165" i="16"/>
  <c r="B165" i="16"/>
  <c r="F164" i="16"/>
  <c r="E164" i="16"/>
  <c r="D164" i="16"/>
  <c r="C164" i="16"/>
  <c r="B164" i="16"/>
  <c r="F163" i="16"/>
  <c r="E163" i="16"/>
  <c r="D163" i="16"/>
  <c r="C163" i="16"/>
  <c r="B163" i="16"/>
  <c r="F162" i="16"/>
  <c r="E162" i="16"/>
  <c r="D162" i="16"/>
  <c r="C162" i="16"/>
  <c r="B162" i="16"/>
  <c r="F161" i="16"/>
  <c r="E161" i="16"/>
  <c r="D161" i="16"/>
  <c r="C161" i="16"/>
  <c r="B161" i="16"/>
  <c r="F160" i="16"/>
  <c r="E160" i="16"/>
  <c r="O160" i="16" s="1"/>
  <c r="D160" i="16"/>
  <c r="C160" i="16"/>
  <c r="B160" i="16"/>
  <c r="F159" i="16"/>
  <c r="E159" i="16"/>
  <c r="D159" i="16"/>
  <c r="C159" i="16"/>
  <c r="B159" i="16"/>
  <c r="F158" i="16"/>
  <c r="E158" i="16"/>
  <c r="D158" i="16"/>
  <c r="C158" i="16"/>
  <c r="B158" i="16"/>
  <c r="F157" i="16"/>
  <c r="E157" i="16"/>
  <c r="D157" i="16"/>
  <c r="C157" i="16"/>
  <c r="B157" i="16"/>
  <c r="F156" i="16"/>
  <c r="E156" i="16"/>
  <c r="D156" i="16"/>
  <c r="C156" i="16"/>
  <c r="B156" i="16"/>
  <c r="F155" i="16"/>
  <c r="E155" i="16"/>
  <c r="D155" i="16"/>
  <c r="C155" i="16"/>
  <c r="B155" i="16"/>
  <c r="F154" i="16"/>
  <c r="E154" i="16"/>
  <c r="D154" i="16"/>
  <c r="C154" i="16"/>
  <c r="B154" i="16"/>
  <c r="F153" i="16"/>
  <c r="E153" i="16"/>
  <c r="D153" i="16"/>
  <c r="C153" i="16"/>
  <c r="B153" i="16"/>
  <c r="F152" i="16"/>
  <c r="E152" i="16"/>
  <c r="D152" i="16"/>
  <c r="C152" i="16"/>
  <c r="B152" i="16"/>
  <c r="F151" i="16"/>
  <c r="E151" i="16"/>
  <c r="D151" i="16"/>
  <c r="C151" i="16"/>
  <c r="B151" i="16"/>
  <c r="F150" i="16"/>
  <c r="E150" i="16"/>
  <c r="D150" i="16"/>
  <c r="C150" i="16"/>
  <c r="B150" i="16"/>
  <c r="F149" i="16"/>
  <c r="E149" i="16"/>
  <c r="D149" i="16"/>
  <c r="C149" i="16"/>
  <c r="B149" i="16"/>
  <c r="F148" i="16"/>
  <c r="E148" i="16"/>
  <c r="D148" i="16"/>
  <c r="C148" i="16"/>
  <c r="B148" i="16"/>
  <c r="F147" i="16"/>
  <c r="E147" i="16"/>
  <c r="D147" i="16"/>
  <c r="C147" i="16"/>
  <c r="B147" i="16"/>
  <c r="F146" i="16"/>
  <c r="E146" i="16"/>
  <c r="D146" i="16"/>
  <c r="C146" i="16"/>
  <c r="B146" i="16"/>
  <c r="F145" i="16"/>
  <c r="E145" i="16"/>
  <c r="D145" i="16"/>
  <c r="C145" i="16"/>
  <c r="B145" i="16"/>
  <c r="F144" i="16"/>
  <c r="E144" i="16"/>
  <c r="O144" i="16" s="1"/>
  <c r="D144" i="16"/>
  <c r="C144" i="16"/>
  <c r="B144" i="16"/>
  <c r="F143" i="16"/>
  <c r="E143" i="16"/>
  <c r="D143" i="16"/>
  <c r="C143" i="16"/>
  <c r="B143" i="16"/>
  <c r="F142" i="16"/>
  <c r="E142" i="16"/>
  <c r="D142" i="16"/>
  <c r="C142" i="16"/>
  <c r="B142" i="16"/>
  <c r="F141" i="16"/>
  <c r="E141" i="16"/>
  <c r="D141" i="16"/>
  <c r="C141" i="16"/>
  <c r="B141" i="16"/>
  <c r="F140" i="16"/>
  <c r="E140" i="16"/>
  <c r="D140" i="16"/>
  <c r="C140" i="16"/>
  <c r="B140" i="16"/>
  <c r="F139" i="16"/>
  <c r="E139" i="16"/>
  <c r="D139" i="16"/>
  <c r="C139" i="16"/>
  <c r="B139" i="16"/>
  <c r="F138" i="16"/>
  <c r="E138" i="16"/>
  <c r="D138" i="16"/>
  <c r="C138" i="16"/>
  <c r="B138" i="16"/>
  <c r="F137" i="16"/>
  <c r="E137" i="16"/>
  <c r="D137" i="16"/>
  <c r="C137" i="16"/>
  <c r="B137" i="16"/>
  <c r="F136" i="16"/>
  <c r="E136" i="16"/>
  <c r="D136" i="16"/>
  <c r="C136" i="16"/>
  <c r="B136" i="16"/>
  <c r="F135" i="16"/>
  <c r="E135" i="16"/>
  <c r="D135" i="16"/>
  <c r="C135" i="16"/>
  <c r="B135" i="16"/>
  <c r="F134" i="16"/>
  <c r="E134" i="16"/>
  <c r="D134" i="16"/>
  <c r="C134" i="16"/>
  <c r="B134" i="16"/>
  <c r="F133" i="16"/>
  <c r="E133" i="16"/>
  <c r="D133" i="16"/>
  <c r="C133" i="16"/>
  <c r="B133" i="16"/>
  <c r="F132" i="16"/>
  <c r="E132" i="16"/>
  <c r="D132" i="16"/>
  <c r="C132" i="16"/>
  <c r="B132" i="16"/>
  <c r="F131" i="16"/>
  <c r="E131" i="16"/>
  <c r="D131" i="16"/>
  <c r="C131" i="16"/>
  <c r="B131" i="16"/>
  <c r="F130" i="16"/>
  <c r="E130" i="16"/>
  <c r="D130" i="16"/>
  <c r="C130" i="16"/>
  <c r="B130" i="16"/>
  <c r="F129" i="16"/>
  <c r="E129" i="16"/>
  <c r="D129" i="16"/>
  <c r="C129" i="16"/>
  <c r="B129" i="16"/>
  <c r="F128" i="16"/>
  <c r="E128" i="16"/>
  <c r="O128" i="16" s="1"/>
  <c r="D128" i="16"/>
  <c r="C128" i="16"/>
  <c r="B128" i="16"/>
  <c r="F127" i="16"/>
  <c r="E127" i="16"/>
  <c r="D127" i="16"/>
  <c r="C127" i="16"/>
  <c r="B127" i="16"/>
  <c r="F126" i="16"/>
  <c r="E126" i="16"/>
  <c r="O126" i="16" s="1"/>
  <c r="D126" i="16"/>
  <c r="C126" i="16"/>
  <c r="B126" i="16"/>
  <c r="F125" i="16"/>
  <c r="E125" i="16"/>
  <c r="D125" i="16"/>
  <c r="C125" i="16"/>
  <c r="B125" i="16"/>
  <c r="F124" i="16"/>
  <c r="E124" i="16"/>
  <c r="O124" i="16" s="1"/>
  <c r="D124" i="16"/>
  <c r="C124" i="16"/>
  <c r="B124" i="16"/>
  <c r="F123" i="16"/>
  <c r="E123" i="16"/>
  <c r="D123" i="16"/>
  <c r="C123" i="16"/>
  <c r="B123" i="16"/>
  <c r="F122" i="16"/>
  <c r="O122" i="16" s="1"/>
  <c r="E122" i="16"/>
  <c r="D122" i="16"/>
  <c r="C122" i="16"/>
  <c r="B122" i="16"/>
  <c r="F121" i="16"/>
  <c r="E121" i="16"/>
  <c r="D121" i="16"/>
  <c r="C121" i="16"/>
  <c r="B121" i="16"/>
  <c r="F120" i="16"/>
  <c r="E120" i="16"/>
  <c r="D120" i="16"/>
  <c r="C120" i="16"/>
  <c r="B120" i="16"/>
  <c r="F119" i="16"/>
  <c r="E119" i="16"/>
  <c r="D119" i="16"/>
  <c r="C119" i="16"/>
  <c r="B119" i="16"/>
  <c r="F118" i="16"/>
  <c r="E118" i="16"/>
  <c r="D118" i="16"/>
  <c r="C118" i="16"/>
  <c r="B118" i="16"/>
  <c r="F117" i="16"/>
  <c r="E117" i="16"/>
  <c r="D117" i="16"/>
  <c r="C117" i="16"/>
  <c r="B117" i="16"/>
  <c r="F116" i="16"/>
  <c r="E116" i="16"/>
  <c r="D116" i="16"/>
  <c r="C116" i="16"/>
  <c r="B116" i="16"/>
  <c r="F115" i="16"/>
  <c r="E115" i="16"/>
  <c r="D115" i="16"/>
  <c r="C115" i="16"/>
  <c r="B115" i="16"/>
  <c r="F114" i="16"/>
  <c r="E114" i="16"/>
  <c r="D114" i="16"/>
  <c r="C114" i="16"/>
  <c r="B114" i="16"/>
  <c r="F113" i="16"/>
  <c r="E113" i="16"/>
  <c r="D113" i="16"/>
  <c r="C113" i="16"/>
  <c r="B113" i="16"/>
  <c r="F112" i="16"/>
  <c r="E112" i="16"/>
  <c r="O112" i="16" s="1"/>
  <c r="D112" i="16"/>
  <c r="C112" i="16"/>
  <c r="B112" i="16"/>
  <c r="F111" i="16"/>
  <c r="E111" i="16"/>
  <c r="D111" i="16"/>
  <c r="C111" i="16"/>
  <c r="B111" i="16"/>
  <c r="F110" i="16"/>
  <c r="E110" i="16"/>
  <c r="O110" i="16" s="1"/>
  <c r="D110" i="16"/>
  <c r="C110" i="16"/>
  <c r="B110" i="16"/>
  <c r="F109" i="16"/>
  <c r="E109" i="16"/>
  <c r="D109" i="16"/>
  <c r="C109" i="16"/>
  <c r="B109" i="16"/>
  <c r="F108" i="16"/>
  <c r="E108" i="16"/>
  <c r="O108" i="16" s="1"/>
  <c r="D108" i="16"/>
  <c r="C108" i="16"/>
  <c r="B108" i="16"/>
  <c r="F107" i="16"/>
  <c r="E107" i="16"/>
  <c r="D107" i="16"/>
  <c r="C107" i="16"/>
  <c r="B107" i="16"/>
  <c r="F106" i="16"/>
  <c r="O106" i="16" s="1"/>
  <c r="E106" i="16"/>
  <c r="D106" i="16"/>
  <c r="C106" i="16"/>
  <c r="B106" i="16"/>
  <c r="F105" i="16"/>
  <c r="E105" i="16"/>
  <c r="D105" i="16"/>
  <c r="C105" i="16"/>
  <c r="B105" i="16"/>
  <c r="F104" i="16"/>
  <c r="E104" i="16"/>
  <c r="D104" i="16"/>
  <c r="C104" i="16"/>
  <c r="B104" i="16"/>
  <c r="F103" i="16"/>
  <c r="E103" i="16"/>
  <c r="D103" i="16"/>
  <c r="C103" i="16"/>
  <c r="B103" i="16"/>
  <c r="F102" i="16"/>
  <c r="E102" i="16"/>
  <c r="D102" i="16"/>
  <c r="C102" i="16"/>
  <c r="B102" i="16"/>
  <c r="F101" i="16"/>
  <c r="E101" i="16"/>
  <c r="D101" i="16"/>
  <c r="C101" i="16"/>
  <c r="B101" i="16"/>
  <c r="F100" i="16"/>
  <c r="E100" i="16"/>
  <c r="D100" i="16"/>
  <c r="C100" i="16"/>
  <c r="B100" i="16"/>
  <c r="F99" i="16"/>
  <c r="E99" i="16"/>
  <c r="D99" i="16"/>
  <c r="C99" i="16"/>
  <c r="B99" i="16"/>
  <c r="F98" i="16"/>
  <c r="E98" i="16"/>
  <c r="D98" i="16"/>
  <c r="C98" i="16"/>
  <c r="B98" i="16"/>
  <c r="F97" i="16"/>
  <c r="E97" i="16"/>
  <c r="D97" i="16"/>
  <c r="C97" i="16"/>
  <c r="B97" i="16"/>
  <c r="F96" i="16"/>
  <c r="E96" i="16"/>
  <c r="O96" i="16" s="1"/>
  <c r="D96" i="16"/>
  <c r="C96" i="16"/>
  <c r="B96" i="16"/>
  <c r="F95" i="16"/>
  <c r="E95" i="16"/>
  <c r="D95" i="16"/>
  <c r="C95" i="16"/>
  <c r="B95" i="16"/>
  <c r="F94" i="16"/>
  <c r="E94" i="16"/>
  <c r="O94" i="16" s="1"/>
  <c r="D94" i="16"/>
  <c r="C94" i="16"/>
  <c r="B94" i="16"/>
  <c r="F93" i="16"/>
  <c r="E93" i="16"/>
  <c r="D93" i="16"/>
  <c r="C93" i="16"/>
  <c r="B93" i="16"/>
  <c r="F92" i="16"/>
  <c r="E92" i="16"/>
  <c r="O92" i="16" s="1"/>
  <c r="D92" i="16"/>
  <c r="C92" i="16"/>
  <c r="B92" i="16"/>
  <c r="F91" i="16"/>
  <c r="E91" i="16"/>
  <c r="D91" i="16"/>
  <c r="C91" i="16"/>
  <c r="B91" i="16"/>
  <c r="F90" i="16"/>
  <c r="O90" i="16" s="1"/>
  <c r="E90" i="16"/>
  <c r="D90" i="16"/>
  <c r="C90" i="16"/>
  <c r="B90" i="16"/>
  <c r="F89" i="16"/>
  <c r="E89" i="16"/>
  <c r="D89" i="16"/>
  <c r="C89" i="16"/>
  <c r="B89" i="16"/>
  <c r="F88" i="16"/>
  <c r="E88" i="16"/>
  <c r="D88" i="16"/>
  <c r="C88" i="16"/>
  <c r="B88" i="16"/>
  <c r="F87" i="16"/>
  <c r="E87" i="16"/>
  <c r="D87" i="16"/>
  <c r="C87" i="16"/>
  <c r="B87" i="16"/>
  <c r="F86" i="16"/>
  <c r="E86" i="16"/>
  <c r="D86" i="16"/>
  <c r="C86" i="16"/>
  <c r="B86" i="16"/>
  <c r="F85" i="16"/>
  <c r="E85" i="16"/>
  <c r="D85" i="16"/>
  <c r="C85" i="16"/>
  <c r="B85" i="16"/>
  <c r="F84" i="16"/>
  <c r="E84" i="16"/>
  <c r="D84" i="16"/>
  <c r="C84" i="16"/>
  <c r="B84" i="16"/>
  <c r="F83" i="16"/>
  <c r="E83" i="16"/>
  <c r="D83" i="16"/>
  <c r="C83" i="16"/>
  <c r="B83" i="16"/>
  <c r="F82" i="16"/>
  <c r="E82" i="16"/>
  <c r="D82" i="16"/>
  <c r="C82" i="16"/>
  <c r="B82" i="16"/>
  <c r="F81" i="16"/>
  <c r="E81" i="16"/>
  <c r="D81" i="16"/>
  <c r="C81" i="16"/>
  <c r="B81" i="16"/>
  <c r="F80" i="16"/>
  <c r="E80" i="16"/>
  <c r="O80" i="16" s="1"/>
  <c r="D80" i="16"/>
  <c r="C80" i="16"/>
  <c r="B80" i="16"/>
  <c r="F79" i="16"/>
  <c r="E79" i="16"/>
  <c r="D79" i="16"/>
  <c r="C79" i="16"/>
  <c r="B79" i="16"/>
  <c r="F78" i="16"/>
  <c r="E78" i="16"/>
  <c r="O78" i="16" s="1"/>
  <c r="D78" i="16"/>
  <c r="C78" i="16"/>
  <c r="B78" i="16"/>
  <c r="F77" i="16"/>
  <c r="E77" i="16"/>
  <c r="D77" i="16"/>
  <c r="C77" i="16"/>
  <c r="B77" i="16"/>
  <c r="F76" i="16"/>
  <c r="E76" i="16"/>
  <c r="D76" i="16"/>
  <c r="C76" i="16"/>
  <c r="B76" i="16"/>
  <c r="F75" i="16"/>
  <c r="E75" i="16"/>
  <c r="D75" i="16"/>
  <c r="C75" i="16"/>
  <c r="B75" i="16"/>
  <c r="F74" i="16"/>
  <c r="E74" i="16"/>
  <c r="D74" i="16"/>
  <c r="C74" i="16"/>
  <c r="B74" i="16"/>
  <c r="F73" i="16"/>
  <c r="E73" i="16"/>
  <c r="D73" i="16"/>
  <c r="C73" i="16"/>
  <c r="B73" i="16"/>
  <c r="F72" i="16"/>
  <c r="E72" i="16"/>
  <c r="O72" i="16" s="1"/>
  <c r="D72" i="16"/>
  <c r="C72" i="16"/>
  <c r="B72" i="16"/>
  <c r="F71" i="16"/>
  <c r="E71" i="16"/>
  <c r="D71" i="16"/>
  <c r="C71" i="16"/>
  <c r="B71" i="16"/>
  <c r="F70" i="16"/>
  <c r="E70" i="16"/>
  <c r="D70" i="16"/>
  <c r="C70" i="16"/>
  <c r="B70" i="16"/>
  <c r="F69" i="16"/>
  <c r="E69" i="16"/>
  <c r="D69" i="16"/>
  <c r="C69" i="16"/>
  <c r="B69" i="16"/>
  <c r="F68" i="16"/>
  <c r="E68" i="16"/>
  <c r="O68" i="16" s="1"/>
  <c r="D68" i="16"/>
  <c r="C68" i="16"/>
  <c r="B68" i="16"/>
  <c r="F67" i="16"/>
  <c r="E67" i="16"/>
  <c r="D67" i="16"/>
  <c r="C67" i="16"/>
  <c r="B67" i="16"/>
  <c r="F66" i="16"/>
  <c r="E66" i="16"/>
  <c r="D66" i="16"/>
  <c r="C66" i="16"/>
  <c r="B66" i="16"/>
  <c r="F65" i="16"/>
  <c r="E65" i="16"/>
  <c r="D65" i="16"/>
  <c r="C65" i="16"/>
  <c r="B65" i="16"/>
  <c r="F64" i="16"/>
  <c r="E64" i="16"/>
  <c r="O64" i="16" s="1"/>
  <c r="D64" i="16"/>
  <c r="C64" i="16"/>
  <c r="B64" i="16"/>
  <c r="F63" i="16"/>
  <c r="E63" i="16"/>
  <c r="M63" i="16" s="1"/>
  <c r="D63" i="16"/>
  <c r="C63" i="16"/>
  <c r="B63" i="16"/>
  <c r="F62" i="16"/>
  <c r="O62" i="16" s="1"/>
  <c r="E62" i="16"/>
  <c r="D62" i="16"/>
  <c r="C62" i="16"/>
  <c r="B62" i="16"/>
  <c r="F61" i="16"/>
  <c r="E61" i="16"/>
  <c r="D61" i="16"/>
  <c r="C61" i="16"/>
  <c r="B61" i="16"/>
  <c r="F60" i="16"/>
  <c r="E60" i="16"/>
  <c r="N60" i="16" s="1"/>
  <c r="D60" i="16"/>
  <c r="C60" i="16"/>
  <c r="B60" i="16"/>
  <c r="F59" i="16"/>
  <c r="E59" i="16"/>
  <c r="M59" i="16" s="1"/>
  <c r="D59" i="16"/>
  <c r="C59" i="16"/>
  <c r="B59" i="16"/>
  <c r="F58" i="16"/>
  <c r="E58" i="16"/>
  <c r="D58" i="16"/>
  <c r="C58" i="16"/>
  <c r="B58" i="16"/>
  <c r="F57" i="16"/>
  <c r="E57" i="16"/>
  <c r="M57" i="16" s="1"/>
  <c r="D57" i="16"/>
  <c r="C57" i="16"/>
  <c r="B57" i="16"/>
  <c r="F56" i="16"/>
  <c r="E56" i="16"/>
  <c r="O56" i="16" s="1"/>
  <c r="D56" i="16"/>
  <c r="C56" i="16"/>
  <c r="B56" i="16"/>
  <c r="F55" i="16"/>
  <c r="E55" i="16"/>
  <c r="D55" i="16"/>
  <c r="C55" i="16"/>
  <c r="B55" i="16"/>
  <c r="F54" i="16"/>
  <c r="E54" i="16"/>
  <c r="O54" i="16" s="1"/>
  <c r="D54" i="16"/>
  <c r="C54" i="16"/>
  <c r="B54" i="16"/>
  <c r="F53" i="16"/>
  <c r="E53" i="16"/>
  <c r="D53" i="16"/>
  <c r="C53" i="16"/>
  <c r="B53" i="16"/>
  <c r="F52" i="16"/>
  <c r="E52" i="16"/>
  <c r="N52" i="16" s="1"/>
  <c r="D52" i="16"/>
  <c r="C52" i="16"/>
  <c r="B52" i="16"/>
  <c r="F51" i="16"/>
  <c r="E51" i="16"/>
  <c r="M51" i="16" s="1"/>
  <c r="D51" i="16"/>
  <c r="C51" i="16"/>
  <c r="B51" i="16"/>
  <c r="F50" i="16"/>
  <c r="E50" i="16"/>
  <c r="D50" i="16"/>
  <c r="C50" i="16"/>
  <c r="B50" i="16"/>
  <c r="F49" i="16"/>
  <c r="E49" i="16"/>
  <c r="D49" i="16"/>
  <c r="C49" i="16"/>
  <c r="B49" i="16"/>
  <c r="F48" i="16"/>
  <c r="E48" i="16"/>
  <c r="O48" i="16" s="1"/>
  <c r="D48" i="16"/>
  <c r="C48" i="16"/>
  <c r="B48" i="16"/>
  <c r="F47" i="16"/>
  <c r="E47" i="16"/>
  <c r="M47" i="16" s="1"/>
  <c r="D47" i="16"/>
  <c r="C47" i="16"/>
  <c r="B47" i="16"/>
  <c r="F46" i="16"/>
  <c r="E46" i="16"/>
  <c r="O46" i="16" s="1"/>
  <c r="D46" i="16"/>
  <c r="C46" i="16"/>
  <c r="B46" i="16"/>
  <c r="F45" i="16"/>
  <c r="E45" i="16"/>
  <c r="D45" i="16"/>
  <c r="C45" i="16"/>
  <c r="B45" i="16"/>
  <c r="F44" i="16"/>
  <c r="E44" i="16"/>
  <c r="N44" i="16" s="1"/>
  <c r="D44" i="16"/>
  <c r="C44" i="16"/>
  <c r="B44" i="16"/>
  <c r="F43" i="16"/>
  <c r="E43" i="16"/>
  <c r="M43" i="16" s="1"/>
  <c r="D43" i="16"/>
  <c r="C43" i="16"/>
  <c r="B43" i="16"/>
  <c r="F42" i="16"/>
  <c r="E42" i="16"/>
  <c r="D42" i="16"/>
  <c r="C42" i="16"/>
  <c r="B42" i="16"/>
  <c r="F41" i="16"/>
  <c r="E41" i="16"/>
  <c r="M41" i="16" s="1"/>
  <c r="D41" i="16"/>
  <c r="C41" i="16"/>
  <c r="B41" i="16"/>
  <c r="F40" i="16"/>
  <c r="E40" i="16"/>
  <c r="O40" i="16" s="1"/>
  <c r="D40" i="16"/>
  <c r="C40" i="16"/>
  <c r="B40" i="16"/>
  <c r="F39" i="16"/>
  <c r="E39" i="16"/>
  <c r="D39" i="16"/>
  <c r="C39" i="16"/>
  <c r="B39" i="16"/>
  <c r="F38" i="16"/>
  <c r="E38" i="16"/>
  <c r="O38" i="16" s="1"/>
  <c r="D38" i="16"/>
  <c r="C38" i="16"/>
  <c r="B38" i="16"/>
  <c r="F37" i="16"/>
  <c r="E37" i="16"/>
  <c r="D37" i="16"/>
  <c r="C37" i="16"/>
  <c r="B37" i="16"/>
  <c r="F36" i="16"/>
  <c r="E36" i="16"/>
  <c r="N36" i="16" s="1"/>
  <c r="D36" i="16"/>
  <c r="C36" i="16"/>
  <c r="B36" i="16"/>
  <c r="F35" i="16"/>
  <c r="E35" i="16"/>
  <c r="M35" i="16" s="1"/>
  <c r="D35" i="16"/>
  <c r="C35" i="16"/>
  <c r="B35" i="16"/>
  <c r="F34" i="16"/>
  <c r="E34" i="16"/>
  <c r="D34" i="16"/>
  <c r="C34" i="16"/>
  <c r="B34" i="16"/>
  <c r="F33" i="16"/>
  <c r="E33" i="16"/>
  <c r="D33" i="16"/>
  <c r="C33" i="16"/>
  <c r="B33" i="16"/>
  <c r="F32" i="16"/>
  <c r="E32" i="16"/>
  <c r="O32" i="16" s="1"/>
  <c r="D32" i="16"/>
  <c r="C32" i="16"/>
  <c r="B32" i="16"/>
  <c r="F31" i="16"/>
  <c r="E31" i="16"/>
  <c r="D31" i="16"/>
  <c r="C31" i="16"/>
  <c r="B31" i="16"/>
  <c r="F30" i="16"/>
  <c r="E30" i="16"/>
  <c r="O30" i="16" s="1"/>
  <c r="D30" i="16"/>
  <c r="C30" i="16"/>
  <c r="B30" i="16"/>
  <c r="F29" i="16"/>
  <c r="E29" i="16"/>
  <c r="D29" i="16"/>
  <c r="C29" i="16"/>
  <c r="B29" i="16"/>
  <c r="F28" i="16"/>
  <c r="E28" i="16"/>
  <c r="N28" i="16" s="1"/>
  <c r="D28" i="16"/>
  <c r="C28" i="16"/>
  <c r="B28" i="16"/>
  <c r="F27" i="16"/>
  <c r="E27" i="16"/>
  <c r="M27" i="16" s="1"/>
  <c r="D27" i="16"/>
  <c r="C27" i="16"/>
  <c r="B27" i="16"/>
  <c r="F26" i="16"/>
  <c r="E26" i="16"/>
  <c r="D26" i="16"/>
  <c r="C26" i="16"/>
  <c r="B26" i="16"/>
  <c r="F25" i="16"/>
  <c r="E25" i="16"/>
  <c r="M25" i="16" s="1"/>
  <c r="D25" i="16"/>
  <c r="C25" i="16"/>
  <c r="B25" i="16"/>
  <c r="F24" i="16"/>
  <c r="E24" i="16"/>
  <c r="O24" i="16" s="1"/>
  <c r="D24" i="16"/>
  <c r="C24" i="16"/>
  <c r="B24" i="16"/>
  <c r="F23" i="16"/>
  <c r="E23" i="16"/>
  <c r="M23" i="16" s="1"/>
  <c r="D23" i="16"/>
  <c r="C23" i="16"/>
  <c r="B23" i="16"/>
  <c r="F22" i="16"/>
  <c r="E22" i="16"/>
  <c r="O22" i="16" s="1"/>
  <c r="D22" i="16"/>
  <c r="C22" i="16"/>
  <c r="B22" i="16"/>
  <c r="F21" i="16"/>
  <c r="E21" i="16"/>
  <c r="D21" i="16"/>
  <c r="C21" i="16"/>
  <c r="B21" i="16"/>
  <c r="F20" i="16"/>
  <c r="E20" i="16"/>
  <c r="N20" i="16" s="1"/>
  <c r="D20" i="16"/>
  <c r="C20" i="16"/>
  <c r="B20" i="16"/>
  <c r="F19" i="16"/>
  <c r="E19" i="16"/>
  <c r="M19" i="16" s="1"/>
  <c r="D19" i="16"/>
  <c r="C19" i="16"/>
  <c r="B19" i="16"/>
  <c r="F18" i="16"/>
  <c r="E18" i="16"/>
  <c r="D18" i="16"/>
  <c r="C18" i="16"/>
  <c r="B18" i="16"/>
  <c r="F17" i="16"/>
  <c r="E17" i="16"/>
  <c r="D17" i="16"/>
  <c r="C17" i="16"/>
  <c r="B17" i="16"/>
  <c r="F16" i="16"/>
  <c r="E16" i="16"/>
  <c r="O16" i="16" s="1"/>
  <c r="D16" i="16"/>
  <c r="C16" i="16"/>
  <c r="B16" i="16"/>
  <c r="F15" i="16"/>
  <c r="E15" i="16"/>
  <c r="M15" i="16" s="1"/>
  <c r="D15" i="16"/>
  <c r="C15" i="16"/>
  <c r="B15" i="16"/>
  <c r="F14" i="16"/>
  <c r="E14" i="16"/>
  <c r="O14" i="16" s="1"/>
  <c r="D14" i="16"/>
  <c r="C14" i="16"/>
  <c r="B14" i="16"/>
  <c r="F13" i="16"/>
  <c r="E13" i="16"/>
  <c r="D13" i="16"/>
  <c r="C13" i="16"/>
  <c r="B13" i="16"/>
  <c r="F12" i="16"/>
  <c r="E12" i="16"/>
  <c r="N12" i="16" s="1"/>
  <c r="D12" i="16"/>
  <c r="C12" i="16"/>
  <c r="B12" i="16"/>
  <c r="F11" i="16"/>
  <c r="E11" i="16"/>
  <c r="M11" i="16" s="1"/>
  <c r="D11" i="16"/>
  <c r="C11" i="16"/>
  <c r="B11" i="16"/>
  <c r="F10" i="16"/>
  <c r="E10" i="16"/>
  <c r="D10" i="16"/>
  <c r="C10" i="16"/>
  <c r="B10" i="16"/>
  <c r="F9" i="16"/>
  <c r="E9" i="16"/>
  <c r="M9" i="16" s="1"/>
  <c r="D9" i="16"/>
  <c r="C9" i="16"/>
  <c r="B9" i="16"/>
  <c r="F8" i="16"/>
  <c r="E8" i="16"/>
  <c r="O8" i="16" s="1"/>
  <c r="D8" i="16"/>
  <c r="C8" i="16"/>
  <c r="B8" i="16"/>
  <c r="F7" i="16"/>
  <c r="E7" i="16"/>
  <c r="M7" i="16" s="1"/>
  <c r="D7" i="16"/>
  <c r="C7" i="16"/>
  <c r="B7" i="16"/>
  <c r="F6" i="16"/>
  <c r="E6" i="16"/>
  <c r="O6" i="16" s="1"/>
  <c r="D6" i="16"/>
  <c r="C6" i="16"/>
  <c r="B6" i="16"/>
  <c r="F5" i="16"/>
  <c r="E5" i="16"/>
  <c r="D5" i="16"/>
  <c r="K18" i="17" s="1"/>
  <c r="C5" i="16"/>
  <c r="B5" i="16"/>
  <c r="E650" i="17"/>
  <c r="E651" i="17" s="1"/>
  <c r="E652" i="17" s="1"/>
  <c r="E653" i="17" s="1"/>
  <c r="E654" i="17" s="1"/>
  <c r="E655" i="17" s="1"/>
  <c r="E656" i="17" s="1"/>
  <c r="G648" i="17"/>
  <c r="G647" i="17"/>
  <c r="G646" i="17"/>
  <c r="G645" i="17"/>
  <c r="G644" i="17"/>
  <c r="G643" i="17"/>
  <c r="E643" i="17"/>
  <c r="E644" i="17" s="1"/>
  <c r="E645" i="17" s="1"/>
  <c r="E646" i="17" s="1"/>
  <c r="E647" i="17" s="1"/>
  <c r="E648" i="17" s="1"/>
  <c r="G642" i="17"/>
  <c r="E642" i="17"/>
  <c r="G641" i="17"/>
  <c r="L633" i="17"/>
  <c r="L641" i="17" s="1"/>
  <c r="L649" i="17" s="1"/>
  <c r="L632" i="17"/>
  <c r="L640" i="17" s="1"/>
  <c r="L648" i="17" s="1"/>
  <c r="L656" i="17" s="1"/>
  <c r="G632" i="17"/>
  <c r="L631" i="17"/>
  <c r="L639" i="17" s="1"/>
  <c r="L647" i="17" s="1"/>
  <c r="L655" i="17" s="1"/>
  <c r="G631" i="17"/>
  <c r="L630" i="17"/>
  <c r="L638" i="17" s="1"/>
  <c r="L646" i="17" s="1"/>
  <c r="L654" i="17" s="1"/>
  <c r="G630" i="17"/>
  <c r="L629" i="17"/>
  <c r="L637" i="17" s="1"/>
  <c r="L645" i="17" s="1"/>
  <c r="L653" i="17" s="1"/>
  <c r="G629" i="17"/>
  <c r="L628" i="17"/>
  <c r="L636" i="17" s="1"/>
  <c r="L644" i="17" s="1"/>
  <c r="L652" i="17" s="1"/>
  <c r="G628" i="17"/>
  <c r="L627" i="17"/>
  <c r="L635" i="17" s="1"/>
  <c r="L643" i="17" s="1"/>
  <c r="L651" i="17" s="1"/>
  <c r="G627" i="17"/>
  <c r="L626" i="17"/>
  <c r="L634" i="17" s="1"/>
  <c r="L642" i="17" s="1"/>
  <c r="L650" i="17" s="1"/>
  <c r="G626" i="17"/>
  <c r="E626" i="17"/>
  <c r="E627" i="17" s="1"/>
  <c r="E628" i="17" s="1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L625" i="17"/>
  <c r="G625" i="17"/>
  <c r="K617" i="17"/>
  <c r="E613" i="17"/>
  <c r="E614" i="17" s="1"/>
  <c r="E615" i="17" s="1"/>
  <c r="E616" i="17" s="1"/>
  <c r="E617" i="17" s="1"/>
  <c r="E618" i="17" s="1"/>
  <c r="E619" i="17" s="1"/>
  <c r="E620" i="17" s="1"/>
  <c r="E621" i="17" s="1"/>
  <c r="E622" i="17" s="1"/>
  <c r="E623" i="17" s="1"/>
  <c r="E624" i="17" s="1"/>
  <c r="E611" i="17"/>
  <c r="E612" i="17" s="1"/>
  <c r="E610" i="17"/>
  <c r="K609" i="17"/>
  <c r="G608" i="17"/>
  <c r="G607" i="17"/>
  <c r="G606" i="17"/>
  <c r="G605" i="17"/>
  <c r="G604" i="17"/>
  <c r="E604" i="17"/>
  <c r="E605" i="17" s="1"/>
  <c r="E606" i="17" s="1"/>
  <c r="E607" i="17" s="1"/>
  <c r="E608" i="17" s="1"/>
  <c r="G603" i="17"/>
  <c r="E603" i="17"/>
  <c r="G602" i="17"/>
  <c r="E602" i="17"/>
  <c r="G601" i="17"/>
  <c r="L592" i="17"/>
  <c r="L600" i="17" s="1"/>
  <c r="L608" i="17" s="1"/>
  <c r="L616" i="17" s="1"/>
  <c r="K592" i="17"/>
  <c r="K600" i="17" s="1"/>
  <c r="G592" i="17"/>
  <c r="L591" i="17"/>
  <c r="L599" i="17" s="1"/>
  <c r="L607" i="17" s="1"/>
  <c r="L615" i="17" s="1"/>
  <c r="K591" i="17"/>
  <c r="K599" i="17" s="1"/>
  <c r="G591" i="17"/>
  <c r="E591" i="17"/>
  <c r="E592" i="17" s="1"/>
  <c r="E593" i="17" s="1"/>
  <c r="E594" i="17" s="1"/>
  <c r="E595" i="17" s="1"/>
  <c r="E596" i="17" s="1"/>
  <c r="E597" i="17" s="1"/>
  <c r="E598" i="17" s="1"/>
  <c r="E599" i="17" s="1"/>
  <c r="E600" i="17" s="1"/>
  <c r="L590" i="17"/>
  <c r="L598" i="17" s="1"/>
  <c r="L606" i="17" s="1"/>
  <c r="L614" i="17" s="1"/>
  <c r="K590" i="17"/>
  <c r="K598" i="17" s="1"/>
  <c r="G590" i="17"/>
  <c r="L589" i="17"/>
  <c r="L597" i="17" s="1"/>
  <c r="L605" i="17" s="1"/>
  <c r="L613" i="17" s="1"/>
  <c r="K589" i="17"/>
  <c r="K597" i="17" s="1"/>
  <c r="G589" i="17"/>
  <c r="E589" i="17"/>
  <c r="E590" i="17" s="1"/>
  <c r="L588" i="17"/>
  <c r="L596" i="17" s="1"/>
  <c r="L604" i="17" s="1"/>
  <c r="L612" i="17" s="1"/>
  <c r="K588" i="17"/>
  <c r="K596" i="17" s="1"/>
  <c r="G588" i="17"/>
  <c r="E588" i="17"/>
  <c r="L587" i="17"/>
  <c r="L595" i="17" s="1"/>
  <c r="L603" i="17" s="1"/>
  <c r="L611" i="17" s="1"/>
  <c r="K587" i="17"/>
  <c r="K595" i="17" s="1"/>
  <c r="G587" i="17"/>
  <c r="E587" i="17"/>
  <c r="L586" i="17"/>
  <c r="K586" i="17"/>
  <c r="K594" i="17" s="1"/>
  <c r="K602" i="17" s="1"/>
  <c r="G586" i="17"/>
  <c r="E586" i="17"/>
  <c r="L585" i="17"/>
  <c r="L593" i="17" s="1"/>
  <c r="L601" i="17" s="1"/>
  <c r="L609" i="17" s="1"/>
  <c r="K585" i="17"/>
  <c r="K593" i="17" s="1"/>
  <c r="K601" i="17" s="1"/>
  <c r="G585" i="17"/>
  <c r="E557" i="17"/>
  <c r="E558" i="17" s="1"/>
  <c r="E559" i="17" s="1"/>
  <c r="E560" i="17" s="1"/>
  <c r="E561" i="17" s="1"/>
  <c r="E562" i="17" s="1"/>
  <c r="E563" i="17" s="1"/>
  <c r="E564" i="17" s="1"/>
  <c r="E565" i="17" s="1"/>
  <c r="E566" i="17" s="1"/>
  <c r="E567" i="17" s="1"/>
  <c r="E568" i="17" s="1"/>
  <c r="E569" i="17" s="1"/>
  <c r="E570" i="17" s="1"/>
  <c r="E571" i="17" s="1"/>
  <c r="E572" i="17" s="1"/>
  <c r="E573" i="17" s="1"/>
  <c r="E574" i="17" s="1"/>
  <c r="E575" i="17" s="1"/>
  <c r="E576" i="17" s="1"/>
  <c r="E577" i="17" s="1"/>
  <c r="E578" i="17" s="1"/>
  <c r="E579" i="17" s="1"/>
  <c r="E580" i="17" s="1"/>
  <c r="E581" i="17" s="1"/>
  <c r="E582" i="17" s="1"/>
  <c r="E583" i="17" s="1"/>
  <c r="E584" i="17" s="1"/>
  <c r="E556" i="17"/>
  <c r="E543" i="17"/>
  <c r="E544" i="17" s="1"/>
  <c r="E545" i="17" s="1"/>
  <c r="E546" i="17" s="1"/>
  <c r="E547" i="17" s="1"/>
  <c r="E548" i="17" s="1"/>
  <c r="E549" i="17" s="1"/>
  <c r="E550" i="17" s="1"/>
  <c r="E551" i="17" s="1"/>
  <c r="E552" i="17" s="1"/>
  <c r="E553" i="17" s="1"/>
  <c r="E554" i="17" s="1"/>
  <c r="E535" i="17"/>
  <c r="E536" i="17" s="1"/>
  <c r="E537" i="17" s="1"/>
  <c r="E538" i="17" s="1"/>
  <c r="E539" i="17" s="1"/>
  <c r="E540" i="17" s="1"/>
  <c r="E541" i="17" s="1"/>
  <c r="E542" i="17" s="1"/>
  <c r="E534" i="17"/>
  <c r="E512" i="17"/>
  <c r="E513" i="17" s="1"/>
  <c r="E514" i="17" s="1"/>
  <c r="E515" i="17" s="1"/>
  <c r="E516" i="17" s="1"/>
  <c r="E517" i="17" s="1"/>
  <c r="E518" i="17" s="1"/>
  <c r="E519" i="17" s="1"/>
  <c r="E520" i="17" s="1"/>
  <c r="E521" i="17" s="1"/>
  <c r="E522" i="17" s="1"/>
  <c r="E523" i="17" s="1"/>
  <c r="E524" i="17" s="1"/>
  <c r="E525" i="17" s="1"/>
  <c r="E526" i="17" s="1"/>
  <c r="E527" i="17" s="1"/>
  <c r="E528" i="17" s="1"/>
  <c r="E529" i="17" s="1"/>
  <c r="E530" i="17" s="1"/>
  <c r="E531" i="17" s="1"/>
  <c r="E532" i="17" s="1"/>
  <c r="E490" i="17"/>
  <c r="E491" i="17" s="1"/>
  <c r="E492" i="17" s="1"/>
  <c r="E493" i="17" s="1"/>
  <c r="E494" i="17" s="1"/>
  <c r="E495" i="17" s="1"/>
  <c r="E496" i="17" s="1"/>
  <c r="E497" i="17" s="1"/>
  <c r="E498" i="17" s="1"/>
  <c r="E499" i="17" s="1"/>
  <c r="E500" i="17" s="1"/>
  <c r="E501" i="17" s="1"/>
  <c r="E502" i="17" s="1"/>
  <c r="E503" i="17" s="1"/>
  <c r="E504" i="17" s="1"/>
  <c r="E505" i="17" s="1"/>
  <c r="E506" i="17" s="1"/>
  <c r="E507" i="17" s="1"/>
  <c r="E508" i="17" s="1"/>
  <c r="E509" i="17" s="1"/>
  <c r="E510" i="17" s="1"/>
  <c r="E468" i="17"/>
  <c r="E469" i="17" s="1"/>
  <c r="E470" i="17" s="1"/>
  <c r="E471" i="17" s="1"/>
  <c r="E472" i="17" s="1"/>
  <c r="E473" i="17" s="1"/>
  <c r="E474" i="17" s="1"/>
  <c r="E475" i="17" s="1"/>
  <c r="E476" i="17" s="1"/>
  <c r="E477" i="17" s="1"/>
  <c r="E478" i="17" s="1"/>
  <c r="E479" i="17" s="1"/>
  <c r="E480" i="17" s="1"/>
  <c r="E481" i="17" s="1"/>
  <c r="E482" i="17" s="1"/>
  <c r="E483" i="17" s="1"/>
  <c r="E484" i="17" s="1"/>
  <c r="E485" i="17" s="1"/>
  <c r="E486" i="17" s="1"/>
  <c r="E487" i="17" s="1"/>
  <c r="E488" i="17" s="1"/>
  <c r="E447" i="17"/>
  <c r="E448" i="17" s="1"/>
  <c r="E449" i="17" s="1"/>
  <c r="E450" i="17" s="1"/>
  <c r="E451" i="17" s="1"/>
  <c r="E452" i="17" s="1"/>
  <c r="E453" i="17" s="1"/>
  <c r="E454" i="17" s="1"/>
  <c r="E455" i="17" s="1"/>
  <c r="E456" i="17" s="1"/>
  <c r="E457" i="17" s="1"/>
  <c r="E458" i="17" s="1"/>
  <c r="E459" i="17" s="1"/>
  <c r="E460" i="17" s="1"/>
  <c r="E461" i="17" s="1"/>
  <c r="E462" i="17" s="1"/>
  <c r="E463" i="17" s="1"/>
  <c r="E464" i="17" s="1"/>
  <c r="E465" i="17" s="1"/>
  <c r="E466" i="17" s="1"/>
  <c r="E446" i="17"/>
  <c r="E426" i="17"/>
  <c r="E427" i="17" s="1"/>
  <c r="E428" i="17" s="1"/>
  <c r="E429" i="17" s="1"/>
  <c r="E430" i="17" s="1"/>
  <c r="E431" i="17" s="1"/>
  <c r="E432" i="17" s="1"/>
  <c r="E433" i="17" s="1"/>
  <c r="E434" i="17" s="1"/>
  <c r="E435" i="17" s="1"/>
  <c r="E436" i="17" s="1"/>
  <c r="E437" i="17" s="1"/>
  <c r="E438" i="17" s="1"/>
  <c r="E439" i="17" s="1"/>
  <c r="E440" i="17" s="1"/>
  <c r="E441" i="17" s="1"/>
  <c r="E442" i="17" s="1"/>
  <c r="E443" i="17" s="1"/>
  <c r="E444" i="17" s="1"/>
  <c r="E425" i="17"/>
  <c r="E424" i="17"/>
  <c r="E404" i="17"/>
  <c r="E405" i="17" s="1"/>
  <c r="E406" i="17" s="1"/>
  <c r="E407" i="17" s="1"/>
  <c r="E408" i="17" s="1"/>
  <c r="E409" i="17" s="1"/>
  <c r="E410" i="17" s="1"/>
  <c r="E411" i="17" s="1"/>
  <c r="E412" i="17" s="1"/>
  <c r="E413" i="17" s="1"/>
  <c r="E414" i="17" s="1"/>
  <c r="E415" i="17" s="1"/>
  <c r="E416" i="17" s="1"/>
  <c r="E417" i="17" s="1"/>
  <c r="E418" i="17" s="1"/>
  <c r="E419" i="17" s="1"/>
  <c r="E420" i="17" s="1"/>
  <c r="E421" i="17" s="1"/>
  <c r="E422" i="17" s="1"/>
  <c r="E403" i="17"/>
  <c r="E402" i="17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E381" i="17"/>
  <c r="E382" i="17" s="1"/>
  <c r="E383" i="17" s="1"/>
  <c r="E384" i="17" s="1"/>
  <c r="E385" i="17" s="1"/>
  <c r="E386" i="17" s="1"/>
  <c r="E387" i="17" s="1"/>
  <c r="E388" i="17" s="1"/>
  <c r="E389" i="17" s="1"/>
  <c r="E390" i="17" s="1"/>
  <c r="E391" i="17" s="1"/>
  <c r="E392" i="17" s="1"/>
  <c r="E393" i="17" s="1"/>
  <c r="E394" i="17" s="1"/>
  <c r="E395" i="17" s="1"/>
  <c r="E396" i="17" s="1"/>
  <c r="E397" i="17" s="1"/>
  <c r="E398" i="17" s="1"/>
  <c r="E399" i="17" s="1"/>
  <c r="E400" i="17" s="1"/>
  <c r="G380" i="17"/>
  <c r="E380" i="17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G362" i="17"/>
  <c r="G361" i="17"/>
  <c r="G360" i="17"/>
  <c r="G359" i="17"/>
  <c r="G358" i="17"/>
  <c r="E358" i="17"/>
  <c r="E359" i="17" s="1"/>
  <c r="E360" i="17" s="1"/>
  <c r="E361" i="17" s="1"/>
  <c r="E362" i="17" s="1"/>
  <c r="E363" i="17" s="1"/>
  <c r="E364" i="17" s="1"/>
  <c r="E365" i="17" s="1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G340" i="17"/>
  <c r="G339" i="17"/>
  <c r="G338" i="17"/>
  <c r="G337" i="17"/>
  <c r="E337" i="17"/>
  <c r="E338" i="17" s="1"/>
  <c r="E339" i="17" s="1"/>
  <c r="E340" i="17" s="1"/>
  <c r="E341" i="17" s="1"/>
  <c r="E342" i="17" s="1"/>
  <c r="E343" i="17" s="1"/>
  <c r="E344" i="17" s="1"/>
  <c r="E345" i="17" s="1"/>
  <c r="E346" i="17" s="1"/>
  <c r="E347" i="17" s="1"/>
  <c r="E348" i="17" s="1"/>
  <c r="E349" i="17" s="1"/>
  <c r="E350" i="17" s="1"/>
  <c r="E351" i="17" s="1"/>
  <c r="E352" i="17" s="1"/>
  <c r="E353" i="17" s="1"/>
  <c r="E354" i="17" s="1"/>
  <c r="E355" i="17" s="1"/>
  <c r="E356" i="17" s="1"/>
  <c r="G336" i="17"/>
  <c r="E336" i="17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G316" i="17"/>
  <c r="G315" i="17"/>
  <c r="G314" i="17"/>
  <c r="E314" i="17"/>
  <c r="E315" i="17" s="1"/>
  <c r="E316" i="17" s="1"/>
  <c r="E317" i="17" s="1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G313" i="17"/>
  <c r="E292" i="17"/>
  <c r="E293" i="17" s="1"/>
  <c r="E294" i="17" s="1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272" i="17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E270" i="17"/>
  <c r="E271" i="17" s="1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E249" i="17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G248" i="17"/>
  <c r="E248" i="17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G226" i="17"/>
  <c r="E226" i="17"/>
  <c r="E227" i="17" s="1"/>
  <c r="E228" i="17" s="1"/>
  <c r="E229" i="17" s="1"/>
  <c r="E230" i="17" s="1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G204" i="17"/>
  <c r="E204" i="17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E184" i="17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G183" i="17"/>
  <c r="E183" i="17"/>
  <c r="G182" i="17"/>
  <c r="E182" i="17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G162" i="17"/>
  <c r="G161" i="17"/>
  <c r="E161" i="17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G160" i="17"/>
  <c r="E160" i="17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G140" i="17"/>
  <c r="E140" i="17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G139" i="17"/>
  <c r="G138" i="17"/>
  <c r="E138" i="17"/>
  <c r="E139" i="17" s="1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E117" i="17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G116" i="17"/>
  <c r="E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G94" i="17"/>
  <c r="E94" i="17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E74" i="17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G73" i="17"/>
  <c r="E73" i="17"/>
  <c r="G72" i="17"/>
  <c r="E72" i="17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E53" i="17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G52" i="17"/>
  <c r="E52" i="17"/>
  <c r="G51" i="17"/>
  <c r="E51" i="17"/>
  <c r="G50" i="17"/>
  <c r="E50" i="17"/>
  <c r="G49" i="17"/>
  <c r="E31" i="17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30" i="17"/>
  <c r="E29" i="17"/>
  <c r="E28" i="17"/>
  <c r="AF26" i="17"/>
  <c r="AD26" i="17"/>
  <c r="AB26" i="17"/>
  <c r="Y26" i="17"/>
  <c r="W26" i="17"/>
  <c r="U26" i="17"/>
  <c r="Y15" i="17"/>
  <c r="X15" i="17"/>
  <c r="AE15" i="17" s="1"/>
  <c r="W15" i="17"/>
  <c r="V15" i="17"/>
  <c r="AC15" i="17" s="1"/>
  <c r="U15" i="17"/>
  <c r="AP259" i="16"/>
  <c r="E6" i="17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Q6" i="17"/>
  <c r="Q7" i="17" s="1"/>
  <c r="Q8" i="17" s="1"/>
  <c r="Q9" i="17" s="1"/>
  <c r="Q10" i="17" s="1"/>
  <c r="Q11" i="17" s="1"/>
  <c r="Q12" i="17" s="1"/>
  <c r="Q13" i="17" s="1"/>
  <c r="Q14" i="17" s="1"/>
  <c r="Q15" i="17" s="1"/>
  <c r="B5" i="17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AF4" i="17"/>
  <c r="AD4" i="17"/>
  <c r="AB4" i="17"/>
  <c r="Y4" i="17"/>
  <c r="W4" i="17"/>
  <c r="U4" i="17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O55" i="16" l="1"/>
  <c r="N55" i="16"/>
  <c r="O5" i="16"/>
  <c r="N5" i="16"/>
  <c r="O13" i="16"/>
  <c r="N13" i="16"/>
  <c r="O69" i="16"/>
  <c r="N69" i="16"/>
  <c r="M69" i="16"/>
  <c r="O77" i="16"/>
  <c r="N77" i="16"/>
  <c r="M77" i="16"/>
  <c r="O101" i="16"/>
  <c r="N101" i="16"/>
  <c r="M101" i="16"/>
  <c r="O117" i="16"/>
  <c r="N117" i="16"/>
  <c r="M117" i="16"/>
  <c r="O125" i="16"/>
  <c r="N125" i="16"/>
  <c r="M125" i="16"/>
  <c r="N141" i="16"/>
  <c r="M141" i="16"/>
  <c r="N157" i="16"/>
  <c r="M157" i="16"/>
  <c r="N165" i="16"/>
  <c r="M165" i="16"/>
  <c r="O165" i="16"/>
  <c r="N181" i="16"/>
  <c r="M181" i="16"/>
  <c r="O181" i="16"/>
  <c r="O197" i="16"/>
  <c r="N197" i="16"/>
  <c r="M197" i="16"/>
  <c r="O205" i="16"/>
  <c r="N205" i="16"/>
  <c r="M205" i="16"/>
  <c r="O221" i="16"/>
  <c r="N221" i="16"/>
  <c r="M221" i="16"/>
  <c r="O229" i="16"/>
  <c r="N229" i="16"/>
  <c r="O237" i="16"/>
  <c r="M237" i="16"/>
  <c r="N237" i="16"/>
  <c r="O245" i="16"/>
  <c r="N245" i="16"/>
  <c r="M245" i="16"/>
  <c r="O253" i="16"/>
  <c r="M253" i="16"/>
  <c r="M8" i="16"/>
  <c r="M24" i="16"/>
  <c r="M40" i="16"/>
  <c r="M56" i="16"/>
  <c r="O31" i="16"/>
  <c r="N31" i="16"/>
  <c r="O21" i="16"/>
  <c r="N21" i="16"/>
  <c r="O29" i="16"/>
  <c r="N29" i="16"/>
  <c r="O37" i="16"/>
  <c r="N37" i="16"/>
  <c r="O45" i="16"/>
  <c r="N45" i="16"/>
  <c r="O53" i="16"/>
  <c r="N53" i="16"/>
  <c r="O61" i="16"/>
  <c r="N61" i="16"/>
  <c r="O85" i="16"/>
  <c r="N85" i="16"/>
  <c r="M85" i="16"/>
  <c r="O93" i="16"/>
  <c r="N93" i="16"/>
  <c r="M93" i="16"/>
  <c r="O109" i="16"/>
  <c r="N109" i="16"/>
  <c r="M109" i="16"/>
  <c r="N133" i="16"/>
  <c r="M133" i="16"/>
  <c r="O133" i="16"/>
  <c r="N149" i="16"/>
  <c r="M149" i="16"/>
  <c r="O149" i="16"/>
  <c r="N173" i="16"/>
  <c r="M173" i="16"/>
  <c r="N189" i="16"/>
  <c r="M189" i="16"/>
  <c r="O189" i="16"/>
  <c r="O213" i="16"/>
  <c r="N213" i="16"/>
  <c r="M213" i="16"/>
  <c r="N10" i="16"/>
  <c r="N18" i="16"/>
  <c r="N26" i="16"/>
  <c r="N34" i="16"/>
  <c r="N42" i="16"/>
  <c r="N50" i="16"/>
  <c r="N58" i="16"/>
  <c r="M66" i="16"/>
  <c r="N66" i="16"/>
  <c r="M74" i="16"/>
  <c r="N74" i="16"/>
  <c r="M82" i="16"/>
  <c r="N82" i="16"/>
  <c r="M90" i="16"/>
  <c r="N90" i="16"/>
  <c r="M98" i="16"/>
  <c r="N98" i="16"/>
  <c r="M106" i="16"/>
  <c r="N106" i="16"/>
  <c r="M114" i="16"/>
  <c r="N114" i="16"/>
  <c r="M122" i="16"/>
  <c r="N122" i="16"/>
  <c r="M130" i="16"/>
  <c r="O130" i="16"/>
  <c r="N130" i="16"/>
  <c r="M138" i="16"/>
  <c r="O138" i="16"/>
  <c r="M146" i="16"/>
  <c r="O146" i="16"/>
  <c r="N146" i="16"/>
  <c r="M154" i="16"/>
  <c r="O154" i="16"/>
  <c r="M162" i="16"/>
  <c r="O162" i="16"/>
  <c r="N162" i="16"/>
  <c r="M170" i="16"/>
  <c r="O170" i="16"/>
  <c r="M178" i="16"/>
  <c r="O178" i="16"/>
  <c r="N178" i="16"/>
  <c r="M186" i="16"/>
  <c r="O186" i="16"/>
  <c r="M194" i="16"/>
  <c r="N194" i="16"/>
  <c r="M202" i="16"/>
  <c r="N202" i="16"/>
  <c r="O202" i="16"/>
  <c r="M210" i="16"/>
  <c r="O210" i="16"/>
  <c r="N210" i="16"/>
  <c r="M218" i="16"/>
  <c r="O218" i="16"/>
  <c r="N218" i="16"/>
  <c r="M226" i="16"/>
  <c r="O226" i="16"/>
  <c r="N226" i="16"/>
  <c r="M234" i="16"/>
  <c r="O234" i="16"/>
  <c r="N234" i="16"/>
  <c r="N242" i="16"/>
  <c r="M242" i="16"/>
  <c r="O242" i="16"/>
  <c r="M250" i="16"/>
  <c r="O250" i="16"/>
  <c r="N250" i="16"/>
  <c r="N258" i="16"/>
  <c r="M258" i="16"/>
  <c r="M5" i="16"/>
  <c r="M18" i="16"/>
  <c r="M21" i="16"/>
  <c r="M34" i="16"/>
  <c r="M37" i="16"/>
  <c r="M50" i="16"/>
  <c r="M53" i="16"/>
  <c r="O173" i="16"/>
  <c r="O79" i="16"/>
  <c r="N79" i="16"/>
  <c r="M79" i="16"/>
  <c r="O127" i="16"/>
  <c r="N127" i="16"/>
  <c r="M127" i="16"/>
  <c r="N167" i="16"/>
  <c r="M167" i="16"/>
  <c r="O167" i="16"/>
  <c r="N175" i="16"/>
  <c r="M175" i="16"/>
  <c r="O175" i="16"/>
  <c r="N215" i="16"/>
  <c r="M215" i="16"/>
  <c r="O215" i="16"/>
  <c r="N223" i="16"/>
  <c r="O223" i="16"/>
  <c r="M223" i="16"/>
  <c r="N231" i="16"/>
  <c r="O231" i="16"/>
  <c r="M231" i="16"/>
  <c r="O239" i="16"/>
  <c r="M239" i="16"/>
  <c r="N239" i="16"/>
  <c r="O247" i="16"/>
  <c r="M247" i="16"/>
  <c r="N247" i="16"/>
  <c r="O255" i="16"/>
  <c r="M255" i="16"/>
  <c r="N255" i="16"/>
  <c r="M12" i="16"/>
  <c r="O18" i="16"/>
  <c r="M28" i="16"/>
  <c r="M31" i="16"/>
  <c r="O34" i="16"/>
  <c r="M44" i="16"/>
  <c r="O50" i="16"/>
  <c r="M60" i="16"/>
  <c r="O47" i="16"/>
  <c r="N47" i="16"/>
  <c r="N143" i="16"/>
  <c r="M143" i="16"/>
  <c r="O143" i="16"/>
  <c r="N151" i="16"/>
  <c r="M151" i="16"/>
  <c r="O151" i="16"/>
  <c r="N183" i="16"/>
  <c r="M183" i="16"/>
  <c r="O183" i="16"/>
  <c r="M68" i="16"/>
  <c r="N68" i="16"/>
  <c r="M76" i="16"/>
  <c r="N76" i="16"/>
  <c r="M84" i="16"/>
  <c r="N84" i="16"/>
  <c r="M92" i="16"/>
  <c r="N92" i="16"/>
  <c r="M100" i="16"/>
  <c r="N100" i="16"/>
  <c r="M108" i="16"/>
  <c r="N108" i="16"/>
  <c r="M116" i="16"/>
  <c r="N116" i="16"/>
  <c r="M124" i="16"/>
  <c r="N124" i="16"/>
  <c r="M132" i="16"/>
  <c r="O132" i="16"/>
  <c r="N132" i="16"/>
  <c r="M140" i="16"/>
  <c r="O140" i="16"/>
  <c r="N140" i="16"/>
  <c r="M148" i="16"/>
  <c r="O148" i="16"/>
  <c r="N148" i="16"/>
  <c r="M156" i="16"/>
  <c r="O156" i="16"/>
  <c r="N156" i="16"/>
  <c r="M164" i="16"/>
  <c r="O164" i="16"/>
  <c r="N164" i="16"/>
  <c r="M172" i="16"/>
  <c r="O172" i="16"/>
  <c r="N172" i="16"/>
  <c r="M180" i="16"/>
  <c r="O180" i="16"/>
  <c r="N180" i="16"/>
  <c r="O188" i="16"/>
  <c r="N188" i="16"/>
  <c r="M188" i="16"/>
  <c r="O196" i="16"/>
  <c r="N196" i="16"/>
  <c r="M196" i="16"/>
  <c r="O204" i="16"/>
  <c r="N204" i="16"/>
  <c r="M204" i="16"/>
  <c r="O212" i="16"/>
  <c r="N212" i="16"/>
  <c r="O220" i="16"/>
  <c r="M220" i="16"/>
  <c r="O228" i="16"/>
  <c r="M228" i="16"/>
  <c r="N228" i="16"/>
  <c r="M236" i="16"/>
  <c r="O236" i="16"/>
  <c r="N236" i="16"/>
  <c r="O244" i="16"/>
  <c r="N244" i="16"/>
  <c r="M244" i="16"/>
  <c r="M252" i="16"/>
  <c r="N252" i="16"/>
  <c r="O252" i="16"/>
  <c r="O260" i="16"/>
  <c r="N260" i="16"/>
  <c r="M260" i="16"/>
  <c r="M6" i="16"/>
  <c r="O12" i="16"/>
  <c r="M22" i="16"/>
  <c r="O28" i="16"/>
  <c r="M38" i="16"/>
  <c r="O44" i="16"/>
  <c r="M54" i="16"/>
  <c r="O60" i="16"/>
  <c r="O74" i="16"/>
  <c r="N154" i="16"/>
  <c r="M212" i="16"/>
  <c r="O71" i="16"/>
  <c r="N71" i="16"/>
  <c r="M71" i="16"/>
  <c r="O119" i="16"/>
  <c r="N119" i="16"/>
  <c r="M119" i="16"/>
  <c r="N199" i="16"/>
  <c r="O199" i="16"/>
  <c r="O9" i="16"/>
  <c r="N9" i="16"/>
  <c r="O17" i="16"/>
  <c r="N17" i="16"/>
  <c r="O25" i="16"/>
  <c r="N25" i="16"/>
  <c r="O33" i="16"/>
  <c r="N33" i="16"/>
  <c r="O41" i="16"/>
  <c r="N41" i="16"/>
  <c r="O49" i="16"/>
  <c r="N49" i="16"/>
  <c r="O57" i="16"/>
  <c r="N57" i="16"/>
  <c r="O65" i="16"/>
  <c r="N65" i="16"/>
  <c r="M65" i="16"/>
  <c r="O73" i="16"/>
  <c r="N73" i="16"/>
  <c r="M73" i="16"/>
  <c r="O81" i="16"/>
  <c r="N81" i="16"/>
  <c r="M81" i="16"/>
  <c r="O89" i="16"/>
  <c r="N89" i="16"/>
  <c r="M89" i="16"/>
  <c r="O97" i="16"/>
  <c r="N97" i="16"/>
  <c r="M97" i="16"/>
  <c r="O105" i="16"/>
  <c r="N105" i="16"/>
  <c r="M105" i="16"/>
  <c r="O113" i="16"/>
  <c r="N113" i="16"/>
  <c r="M113" i="16"/>
  <c r="O121" i="16"/>
  <c r="N121" i="16"/>
  <c r="M121" i="16"/>
  <c r="N129" i="16"/>
  <c r="M129" i="16"/>
  <c r="O129" i="16"/>
  <c r="N137" i="16"/>
  <c r="M137" i="16"/>
  <c r="O137" i="16"/>
  <c r="N145" i="16"/>
  <c r="M145" i="16"/>
  <c r="O145" i="16"/>
  <c r="N153" i="16"/>
  <c r="M153" i="16"/>
  <c r="O153" i="16"/>
  <c r="N161" i="16"/>
  <c r="M161" i="16"/>
  <c r="O161" i="16"/>
  <c r="N169" i="16"/>
  <c r="M169" i="16"/>
  <c r="O169" i="16"/>
  <c r="N177" i="16"/>
  <c r="M177" i="16"/>
  <c r="O177" i="16"/>
  <c r="N185" i="16"/>
  <c r="M185" i="16"/>
  <c r="O185" i="16"/>
  <c r="M193" i="16"/>
  <c r="O193" i="16"/>
  <c r="N193" i="16"/>
  <c r="M201" i="16"/>
  <c r="O201" i="16"/>
  <c r="N201" i="16"/>
  <c r="M209" i="16"/>
  <c r="O209" i="16"/>
  <c r="N209" i="16"/>
  <c r="M217" i="16"/>
  <c r="O217" i="16"/>
  <c r="N217" i="16"/>
  <c r="M225" i="16"/>
  <c r="O225" i="16"/>
  <c r="N225" i="16"/>
  <c r="M233" i="16"/>
  <c r="O233" i="16"/>
  <c r="O241" i="16"/>
  <c r="N241" i="16"/>
  <c r="M241" i="16"/>
  <c r="O249" i="16"/>
  <c r="N249" i="16"/>
  <c r="M249" i="16"/>
  <c r="O257" i="16"/>
  <c r="M257" i="16"/>
  <c r="N257" i="16"/>
  <c r="M16" i="16"/>
  <c r="M32" i="16"/>
  <c r="M48" i="16"/>
  <c r="O82" i="16"/>
  <c r="O98" i="16"/>
  <c r="O114" i="16"/>
  <c r="O157" i="16"/>
  <c r="N253" i="16"/>
  <c r="O63" i="16"/>
  <c r="N63" i="16"/>
  <c r="O111" i="16"/>
  <c r="N111" i="16"/>
  <c r="M111" i="16"/>
  <c r="N159" i="16"/>
  <c r="M159" i="16"/>
  <c r="O159" i="16"/>
  <c r="N191" i="16"/>
  <c r="O191" i="16"/>
  <c r="M191" i="16"/>
  <c r="N207" i="16"/>
  <c r="M207" i="16"/>
  <c r="N6" i="16"/>
  <c r="N14" i="16"/>
  <c r="N22" i="16"/>
  <c r="N30" i="16"/>
  <c r="N38" i="16"/>
  <c r="N46" i="16"/>
  <c r="N54" i="16"/>
  <c r="N62" i="16"/>
  <c r="M70" i="16"/>
  <c r="N70" i="16"/>
  <c r="M78" i="16"/>
  <c r="N78" i="16"/>
  <c r="M86" i="16"/>
  <c r="N86" i="16"/>
  <c r="M94" i="16"/>
  <c r="N94" i="16"/>
  <c r="M102" i="16"/>
  <c r="N102" i="16"/>
  <c r="M110" i="16"/>
  <c r="N110" i="16"/>
  <c r="M118" i="16"/>
  <c r="N118" i="16"/>
  <c r="M126" i="16"/>
  <c r="N126" i="16"/>
  <c r="M134" i="16"/>
  <c r="N134" i="16"/>
  <c r="O134" i="16"/>
  <c r="M142" i="16"/>
  <c r="O142" i="16"/>
  <c r="N142" i="16"/>
  <c r="M150" i="16"/>
  <c r="N150" i="16"/>
  <c r="O150" i="16"/>
  <c r="M158" i="16"/>
  <c r="O158" i="16"/>
  <c r="N158" i="16"/>
  <c r="M166" i="16"/>
  <c r="N166" i="16"/>
  <c r="O166" i="16"/>
  <c r="M174" i="16"/>
  <c r="O174" i="16"/>
  <c r="N174" i="16"/>
  <c r="M182" i="16"/>
  <c r="N182" i="16"/>
  <c r="O182" i="16"/>
  <c r="N190" i="16"/>
  <c r="M190" i="16"/>
  <c r="N198" i="16"/>
  <c r="M198" i="16"/>
  <c r="O198" i="16"/>
  <c r="N206" i="16"/>
  <c r="M206" i="16"/>
  <c r="O206" i="16"/>
  <c r="N214" i="16"/>
  <c r="M214" i="16"/>
  <c r="O214" i="16"/>
  <c r="N222" i="16"/>
  <c r="M222" i="16"/>
  <c r="O222" i="16"/>
  <c r="N230" i="16"/>
  <c r="M230" i="16"/>
  <c r="O230" i="16"/>
  <c r="O238" i="16"/>
  <c r="N238" i="16"/>
  <c r="O246" i="16"/>
  <c r="N246" i="16"/>
  <c r="M246" i="16"/>
  <c r="O254" i="16"/>
  <c r="N254" i="16"/>
  <c r="M254" i="16"/>
  <c r="M10" i="16"/>
  <c r="M13" i="16"/>
  <c r="M26" i="16"/>
  <c r="M29" i="16"/>
  <c r="M42" i="16"/>
  <c r="M45" i="16"/>
  <c r="M58" i="16"/>
  <c r="M61" i="16"/>
  <c r="O70" i="16"/>
  <c r="O84" i="16"/>
  <c r="O100" i="16"/>
  <c r="O116" i="16"/>
  <c r="N186" i="16"/>
  <c r="N220" i="16"/>
  <c r="O258" i="16"/>
  <c r="O39" i="16"/>
  <c r="N39" i="16"/>
  <c r="O95" i="16"/>
  <c r="N95" i="16"/>
  <c r="M95" i="16"/>
  <c r="O103" i="16"/>
  <c r="N103" i="16"/>
  <c r="M103" i="16"/>
  <c r="O11" i="16"/>
  <c r="N11" i="16"/>
  <c r="O19" i="16"/>
  <c r="N19" i="16"/>
  <c r="O27" i="16"/>
  <c r="N27" i="16"/>
  <c r="O35" i="16"/>
  <c r="N35" i="16"/>
  <c r="O43" i="16"/>
  <c r="N43" i="16"/>
  <c r="O51" i="16"/>
  <c r="N51" i="16"/>
  <c r="O59" i="16"/>
  <c r="N59" i="16"/>
  <c r="O67" i="16"/>
  <c r="N67" i="16"/>
  <c r="M67" i="16"/>
  <c r="O75" i="16"/>
  <c r="N75" i="16"/>
  <c r="M75" i="16"/>
  <c r="O83" i="16"/>
  <c r="N83" i="16"/>
  <c r="M83" i="16"/>
  <c r="O91" i="16"/>
  <c r="N91" i="16"/>
  <c r="M91" i="16"/>
  <c r="O99" i="16"/>
  <c r="N99" i="16"/>
  <c r="M99" i="16"/>
  <c r="O107" i="16"/>
  <c r="N107" i="16"/>
  <c r="M107" i="16"/>
  <c r="O115" i="16"/>
  <c r="N115" i="16"/>
  <c r="M115" i="16"/>
  <c r="O123" i="16"/>
  <c r="N123" i="16"/>
  <c r="M123" i="16"/>
  <c r="N131" i="16"/>
  <c r="M131" i="16"/>
  <c r="O131" i="16"/>
  <c r="N139" i="16"/>
  <c r="M139" i="16"/>
  <c r="O139" i="16"/>
  <c r="N147" i="16"/>
  <c r="M147" i="16"/>
  <c r="O147" i="16"/>
  <c r="N155" i="16"/>
  <c r="M155" i="16"/>
  <c r="O155" i="16"/>
  <c r="N163" i="16"/>
  <c r="M163" i="16"/>
  <c r="O163" i="16"/>
  <c r="N171" i="16"/>
  <c r="M171" i="16"/>
  <c r="O171" i="16"/>
  <c r="N179" i="16"/>
  <c r="M179" i="16"/>
  <c r="O179" i="16"/>
  <c r="O187" i="16"/>
  <c r="N187" i="16"/>
  <c r="M187" i="16"/>
  <c r="O195" i="16"/>
  <c r="N195" i="16"/>
  <c r="M195" i="16"/>
  <c r="O203" i="16"/>
  <c r="N203" i="16"/>
  <c r="O211" i="16"/>
  <c r="N211" i="16"/>
  <c r="M211" i="16"/>
  <c r="O219" i="16"/>
  <c r="N219" i="16"/>
  <c r="M219" i="16"/>
  <c r="O227" i="16"/>
  <c r="N227" i="16"/>
  <c r="M227" i="16"/>
  <c r="O235" i="16"/>
  <c r="N235" i="16"/>
  <c r="M235" i="16"/>
  <c r="O243" i="16"/>
  <c r="N243" i="16"/>
  <c r="O251" i="16"/>
  <c r="N251" i="16"/>
  <c r="M251" i="16"/>
  <c r="O259" i="16"/>
  <c r="N259" i="16"/>
  <c r="M259" i="16"/>
  <c r="O10" i="16"/>
  <c r="M20" i="16"/>
  <c r="O26" i="16"/>
  <c r="M36" i="16"/>
  <c r="M39" i="16"/>
  <c r="O42" i="16"/>
  <c r="M52" i="16"/>
  <c r="M55" i="16"/>
  <c r="O58" i="16"/>
  <c r="O76" i="16"/>
  <c r="O86" i="16"/>
  <c r="O102" i="16"/>
  <c r="O118" i="16"/>
  <c r="N138" i="16"/>
  <c r="O7" i="16"/>
  <c r="N7" i="16"/>
  <c r="O15" i="16"/>
  <c r="N15" i="16"/>
  <c r="O23" i="16"/>
  <c r="N23" i="16"/>
  <c r="O87" i="16"/>
  <c r="N87" i="16"/>
  <c r="M87" i="16"/>
  <c r="N135" i="16"/>
  <c r="M135" i="16"/>
  <c r="O135" i="16"/>
  <c r="K576" i="17"/>
  <c r="K574" i="17"/>
  <c r="K572" i="17"/>
  <c r="K568" i="17"/>
  <c r="K560" i="17"/>
  <c r="K552" i="17"/>
  <c r="K544" i="17"/>
  <c r="K536" i="17"/>
  <c r="K528" i="17"/>
  <c r="K520" i="17"/>
  <c r="K512" i="17"/>
  <c r="K504" i="17"/>
  <c r="K496" i="17"/>
  <c r="K488" i="17"/>
  <c r="K480" i="17"/>
  <c r="K472" i="17"/>
  <c r="K464" i="17"/>
  <c r="K456" i="17"/>
  <c r="K448" i="17"/>
  <c r="K440" i="17"/>
  <c r="K432" i="17"/>
  <c r="K424" i="17"/>
  <c r="K416" i="17"/>
  <c r="K408" i="17"/>
  <c r="K400" i="17"/>
  <c r="K392" i="17"/>
  <c r="K384" i="17"/>
  <c r="K376" i="17"/>
  <c r="K368" i="17"/>
  <c r="K360" i="17"/>
  <c r="K352" i="17"/>
  <c r="K344" i="17"/>
  <c r="K336" i="17"/>
  <c r="K328" i="17"/>
  <c r="K320" i="17"/>
  <c r="K312" i="17"/>
  <c r="K304" i="17"/>
  <c r="K296" i="17"/>
  <c r="K288" i="17"/>
  <c r="K280" i="17"/>
  <c r="K272" i="17"/>
  <c r="K264" i="17"/>
  <c r="K256" i="17"/>
  <c r="K248" i="17"/>
  <c r="K240" i="17"/>
  <c r="K232" i="17"/>
  <c r="K224" i="17"/>
  <c r="K216" i="17"/>
  <c r="K208" i="17"/>
  <c r="K200" i="17"/>
  <c r="K192" i="17"/>
  <c r="K184" i="17"/>
  <c r="K176" i="17"/>
  <c r="K168" i="17"/>
  <c r="K160" i="17"/>
  <c r="K152" i="17"/>
  <c r="K144" i="17"/>
  <c r="K136" i="17"/>
  <c r="K128" i="17"/>
  <c r="K120" i="17"/>
  <c r="K567" i="17"/>
  <c r="K559" i="17"/>
  <c r="K551" i="17"/>
  <c r="K543" i="17"/>
  <c r="K535" i="17"/>
  <c r="K527" i="17"/>
  <c r="K519" i="17"/>
  <c r="K511" i="17"/>
  <c r="K503" i="17"/>
  <c r="K495" i="17"/>
  <c r="K487" i="17"/>
  <c r="K479" i="17"/>
  <c r="K471" i="17"/>
  <c r="K463" i="17"/>
  <c r="K455" i="17"/>
  <c r="K447" i="17"/>
  <c r="K439" i="17"/>
  <c r="K431" i="17"/>
  <c r="K423" i="17"/>
  <c r="K415" i="17"/>
  <c r="K407" i="17"/>
  <c r="K399" i="17"/>
  <c r="K391" i="17"/>
  <c r="K383" i="17"/>
  <c r="K375" i="17"/>
  <c r="K367" i="17"/>
  <c r="K359" i="17"/>
  <c r="K351" i="17"/>
  <c r="K343" i="17"/>
  <c r="K335" i="17"/>
  <c r="K327" i="17"/>
  <c r="K319" i="17"/>
  <c r="K311" i="17"/>
  <c r="K303" i="17"/>
  <c r="K295" i="17"/>
  <c r="K287" i="17"/>
  <c r="K279" i="17"/>
  <c r="K271" i="17"/>
  <c r="K263" i="17"/>
  <c r="K255" i="17"/>
  <c r="K247" i="17"/>
  <c r="K239" i="17"/>
  <c r="K231" i="17"/>
  <c r="K223" i="17"/>
  <c r="K215" i="17"/>
  <c r="K207" i="17"/>
  <c r="K199" i="17"/>
  <c r="K191" i="17"/>
  <c r="K183" i="17"/>
  <c r="K175" i="17"/>
  <c r="K167" i="17"/>
  <c r="K159" i="17"/>
  <c r="K151" i="17"/>
  <c r="K143" i="17"/>
  <c r="K135" i="17"/>
  <c r="K127" i="17"/>
  <c r="K566" i="17"/>
  <c r="K558" i="17"/>
  <c r="K550" i="17"/>
  <c r="K542" i="17"/>
  <c r="K534" i="17"/>
  <c r="K526" i="17"/>
  <c r="K518" i="17"/>
  <c r="K510" i="17"/>
  <c r="K502" i="17"/>
  <c r="K494" i="17"/>
  <c r="K486" i="17"/>
  <c r="K478" i="17"/>
  <c r="K470" i="17"/>
  <c r="K462" i="17"/>
  <c r="K454" i="17"/>
  <c r="K446" i="17"/>
  <c r="K438" i="17"/>
  <c r="K430" i="17"/>
  <c r="K422" i="17"/>
  <c r="K414" i="17"/>
  <c r="K406" i="17"/>
  <c r="K398" i="17"/>
  <c r="K390" i="17"/>
  <c r="K382" i="17"/>
  <c r="K374" i="17"/>
  <c r="K366" i="17"/>
  <c r="K358" i="17"/>
  <c r="K350" i="17"/>
  <c r="K342" i="17"/>
  <c r="K334" i="17"/>
  <c r="K326" i="17"/>
  <c r="K318" i="17"/>
  <c r="K310" i="17"/>
  <c r="K302" i="17"/>
  <c r="K294" i="17"/>
  <c r="K286" i="17"/>
  <c r="K278" i="17"/>
  <c r="K270" i="17"/>
  <c r="K262" i="17"/>
  <c r="K254" i="17"/>
  <c r="K246" i="17"/>
  <c r="K238" i="17"/>
  <c r="K230" i="17"/>
  <c r="K222" i="17"/>
  <c r="K214" i="17"/>
  <c r="K206" i="17"/>
  <c r="K198" i="17"/>
  <c r="K190" i="17"/>
  <c r="K182" i="17"/>
  <c r="K174" i="17"/>
  <c r="K166" i="17"/>
  <c r="K158" i="17"/>
  <c r="K150" i="17"/>
  <c r="K142" i="17"/>
  <c r="K134" i="17"/>
  <c r="K126" i="17"/>
  <c r="K575" i="17"/>
  <c r="K565" i="17"/>
  <c r="K557" i="17"/>
  <c r="K549" i="17"/>
  <c r="K541" i="17"/>
  <c r="K533" i="17"/>
  <c r="K525" i="17"/>
  <c r="K517" i="17"/>
  <c r="K509" i="17"/>
  <c r="K501" i="17"/>
  <c r="K493" i="17"/>
  <c r="K485" i="17"/>
  <c r="K477" i="17"/>
  <c r="K469" i="17"/>
  <c r="K461" i="17"/>
  <c r="K453" i="17"/>
  <c r="K445" i="17"/>
  <c r="K437" i="17"/>
  <c r="K429" i="17"/>
  <c r="K421" i="17"/>
  <c r="K413" i="17"/>
  <c r="K405" i="17"/>
  <c r="K397" i="17"/>
  <c r="K389" i="17"/>
  <c r="K381" i="17"/>
  <c r="K373" i="17"/>
  <c r="K365" i="17"/>
  <c r="K357" i="17"/>
  <c r="K349" i="17"/>
  <c r="K341" i="17"/>
  <c r="K333" i="17"/>
  <c r="K325" i="17"/>
  <c r="K317" i="17"/>
  <c r="K309" i="17"/>
  <c r="K301" i="17"/>
  <c r="K293" i="17"/>
  <c r="K285" i="17"/>
  <c r="K277" i="17"/>
  <c r="K269" i="17"/>
  <c r="K261" i="17"/>
  <c r="K253" i="17"/>
  <c r="K245" i="17"/>
  <c r="K237" i="17"/>
  <c r="K229" i="17"/>
  <c r="K221" i="17"/>
  <c r="K213" i="17"/>
  <c r="K205" i="17"/>
  <c r="K197" i="17"/>
  <c r="K189" i="17"/>
  <c r="K181" i="17"/>
  <c r="K173" i="17"/>
  <c r="K165" i="17"/>
  <c r="K157" i="17"/>
  <c r="K149" i="17"/>
  <c r="K141" i="17"/>
  <c r="K133" i="17"/>
  <c r="K125" i="17"/>
  <c r="K117" i="17"/>
  <c r="K109" i="17"/>
  <c r="K101" i="17"/>
  <c r="K93" i="17"/>
  <c r="K573" i="17"/>
  <c r="K564" i="17"/>
  <c r="K556" i="17"/>
  <c r="K548" i="17"/>
  <c r="K540" i="17"/>
  <c r="K532" i="17"/>
  <c r="K524" i="17"/>
  <c r="K516" i="17"/>
  <c r="K508" i="17"/>
  <c r="K500" i="17"/>
  <c r="K492" i="17"/>
  <c r="K484" i="17"/>
  <c r="K476" i="17"/>
  <c r="K468" i="17"/>
  <c r="K460" i="17"/>
  <c r="K452" i="17"/>
  <c r="K444" i="17"/>
  <c r="K436" i="17"/>
  <c r="K428" i="17"/>
  <c r="K420" i="17"/>
  <c r="K412" i="17"/>
  <c r="K404" i="17"/>
  <c r="K396" i="17"/>
  <c r="K388" i="17"/>
  <c r="K380" i="17"/>
  <c r="K372" i="17"/>
  <c r="K364" i="17"/>
  <c r="K356" i="17"/>
  <c r="K348" i="17"/>
  <c r="K340" i="17"/>
  <c r="K332" i="17"/>
  <c r="K324" i="17"/>
  <c r="K316" i="17"/>
  <c r="K308" i="17"/>
  <c r="K300" i="17"/>
  <c r="K292" i="17"/>
  <c r="K284" i="17"/>
  <c r="K276" i="17"/>
  <c r="K268" i="17"/>
  <c r="K260" i="17"/>
  <c r="K252" i="17"/>
  <c r="K244" i="17"/>
  <c r="K236" i="17"/>
  <c r="K228" i="17"/>
  <c r="K220" i="17"/>
  <c r="K212" i="17"/>
  <c r="K204" i="17"/>
  <c r="K196" i="17"/>
  <c r="K188" i="17"/>
  <c r="K180" i="17"/>
  <c r="K172" i="17"/>
  <c r="K164" i="17"/>
  <c r="K156" i="17"/>
  <c r="K148" i="17"/>
  <c r="K140" i="17"/>
  <c r="K132" i="17"/>
  <c r="K571" i="17"/>
  <c r="K563" i="17"/>
  <c r="K555" i="17"/>
  <c r="K547" i="17"/>
  <c r="K539" i="17"/>
  <c r="K531" i="17"/>
  <c r="K523" i="17"/>
  <c r="K515" i="17"/>
  <c r="K507" i="17"/>
  <c r="K499" i="17"/>
  <c r="K491" i="17"/>
  <c r="K483" i="17"/>
  <c r="K475" i="17"/>
  <c r="K467" i="17"/>
  <c r="K459" i="17"/>
  <c r="K451" i="17"/>
  <c r="K443" i="17"/>
  <c r="K435" i="17"/>
  <c r="K427" i="17"/>
  <c r="K419" i="17"/>
  <c r="K411" i="17"/>
  <c r="K403" i="17"/>
  <c r="K395" i="17"/>
  <c r="K387" i="17"/>
  <c r="K379" i="17"/>
  <c r="K371" i="17"/>
  <c r="K363" i="17"/>
  <c r="K355" i="17"/>
  <c r="K347" i="17"/>
  <c r="K339" i="17"/>
  <c r="K331" i="17"/>
  <c r="K323" i="17"/>
  <c r="K315" i="17"/>
  <c r="K307" i="17"/>
  <c r="K299" i="17"/>
  <c r="K291" i="17"/>
  <c r="K283" i="17"/>
  <c r="K275" i="17"/>
  <c r="K267" i="17"/>
  <c r="K259" i="17"/>
  <c r="K251" i="17"/>
  <c r="K243" i="17"/>
  <c r="K235" i="17"/>
  <c r="K227" i="17"/>
  <c r="K219" i="17"/>
  <c r="K211" i="17"/>
  <c r="K203" i="17"/>
  <c r="K195" i="17"/>
  <c r="K187" i="17"/>
  <c r="K179" i="17"/>
  <c r="K171" i="17"/>
  <c r="K163" i="17"/>
  <c r="K155" i="17"/>
  <c r="K147" i="17"/>
  <c r="K139" i="17"/>
  <c r="K131" i="17"/>
  <c r="K123" i="17"/>
  <c r="K115" i="17"/>
  <c r="K107" i="17"/>
  <c r="K570" i="17"/>
  <c r="K562" i="17"/>
  <c r="K554" i="17"/>
  <c r="K546" i="17"/>
  <c r="K538" i="17"/>
  <c r="K530" i="17"/>
  <c r="K522" i="17"/>
  <c r="K514" i="17"/>
  <c r="K506" i="17"/>
  <c r="K498" i="17"/>
  <c r="K490" i="17"/>
  <c r="K482" i="17"/>
  <c r="K474" i="17"/>
  <c r="K466" i="17"/>
  <c r="K458" i="17"/>
  <c r="K450" i="17"/>
  <c r="K442" i="17"/>
  <c r="K434" i="17"/>
  <c r="K426" i="17"/>
  <c r="K418" i="17"/>
  <c r="K410" i="17"/>
  <c r="K402" i="17"/>
  <c r="K394" i="17"/>
  <c r="K386" i="17"/>
  <c r="K378" i="17"/>
  <c r="K370" i="17"/>
  <c r="K362" i="17"/>
  <c r="K354" i="17"/>
  <c r="K346" i="17"/>
  <c r="K338" i="17"/>
  <c r="K330" i="17"/>
  <c r="K322" i="17"/>
  <c r="K314" i="17"/>
  <c r="K306" i="17"/>
  <c r="K298" i="17"/>
  <c r="K290" i="17"/>
  <c r="K282" i="17"/>
  <c r="K274" i="17"/>
  <c r="K266" i="17"/>
  <c r="K258" i="17"/>
  <c r="K250" i="17"/>
  <c r="K242" i="17"/>
  <c r="K234" i="17"/>
  <c r="K226" i="17"/>
  <c r="K218" i="17"/>
  <c r="K210" i="17"/>
  <c r="K202" i="17"/>
  <c r="K194" i="17"/>
  <c r="K186" i="17"/>
  <c r="K178" i="17"/>
  <c r="K170" i="17"/>
  <c r="K162" i="17"/>
  <c r="K154" i="17"/>
  <c r="K146" i="17"/>
  <c r="K138" i="17"/>
  <c r="K130" i="17"/>
  <c r="K122" i="17"/>
  <c r="K114" i="17"/>
  <c r="K106" i="17"/>
  <c r="K569" i="17"/>
  <c r="K505" i="17"/>
  <c r="K441" i="17"/>
  <c r="K377" i="17"/>
  <c r="K313" i="17"/>
  <c r="K249" i="17"/>
  <c r="K185" i="17"/>
  <c r="K124" i="17"/>
  <c r="K110" i="17"/>
  <c r="K98" i="17"/>
  <c r="K89" i="17"/>
  <c r="K81" i="17"/>
  <c r="K73" i="17"/>
  <c r="K65" i="17"/>
  <c r="K57" i="17"/>
  <c r="K561" i="17"/>
  <c r="K497" i="17"/>
  <c r="K433" i="17"/>
  <c r="K369" i="17"/>
  <c r="K305" i="17"/>
  <c r="K241" i="17"/>
  <c r="K177" i="17"/>
  <c r="K121" i="17"/>
  <c r="K108" i="17"/>
  <c r="K97" i="17"/>
  <c r="K88" i="17"/>
  <c r="K553" i="17"/>
  <c r="K489" i="17"/>
  <c r="K425" i="17"/>
  <c r="K361" i="17"/>
  <c r="K297" i="17"/>
  <c r="K233" i="17"/>
  <c r="K169" i="17"/>
  <c r="K119" i="17"/>
  <c r="K105" i="17"/>
  <c r="K96" i="17"/>
  <c r="K87" i="17"/>
  <c r="K545" i="17"/>
  <c r="K481" i="17"/>
  <c r="K417" i="17"/>
  <c r="K353" i="17"/>
  <c r="K289" i="17"/>
  <c r="K225" i="17"/>
  <c r="K161" i="17"/>
  <c r="K118" i="17"/>
  <c r="K104" i="17"/>
  <c r="K95" i="17"/>
  <c r="K86" i="17"/>
  <c r="K78" i="17"/>
  <c r="K70" i="17"/>
  <c r="K62" i="17"/>
  <c r="K54" i="17"/>
  <c r="K46" i="17"/>
  <c r="K38" i="17"/>
  <c r="K30" i="17"/>
  <c r="K22" i="17"/>
  <c r="K14" i="17"/>
  <c r="K6" i="17"/>
  <c r="K537" i="17"/>
  <c r="K473" i="17"/>
  <c r="K409" i="17"/>
  <c r="K345" i="17"/>
  <c r="K281" i="17"/>
  <c r="K217" i="17"/>
  <c r="K153" i="17"/>
  <c r="K116" i="17"/>
  <c r="K103" i="17"/>
  <c r="K94" i="17"/>
  <c r="K85" i="17"/>
  <c r="K77" i="17"/>
  <c r="K69" i="17"/>
  <c r="K61" i="17"/>
  <c r="K53" i="17"/>
  <c r="K529" i="17"/>
  <c r="K465" i="17"/>
  <c r="K401" i="17"/>
  <c r="K337" i="17"/>
  <c r="K273" i="17"/>
  <c r="K209" i="17"/>
  <c r="K145" i="17"/>
  <c r="K113" i="17"/>
  <c r="K102" i="17"/>
  <c r="K92" i="17"/>
  <c r="K84" i="17"/>
  <c r="K76" i="17"/>
  <c r="K68" i="17"/>
  <c r="K60" i="17"/>
  <c r="K52" i="17"/>
  <c r="K44" i="17"/>
  <c r="K36" i="17"/>
  <c r="K28" i="17"/>
  <c r="K20" i="17"/>
  <c r="K12" i="17"/>
  <c r="K521" i="17"/>
  <c r="K457" i="17"/>
  <c r="K393" i="17"/>
  <c r="K329" i="17"/>
  <c r="K265" i="17"/>
  <c r="K201" i="17"/>
  <c r="K137" i="17"/>
  <c r="K112" i="17"/>
  <c r="K100" i="17"/>
  <c r="K91" i="17"/>
  <c r="K83" i="17"/>
  <c r="K75" i="17"/>
  <c r="K67" i="17"/>
  <c r="K59" i="17"/>
  <c r="K51" i="17"/>
  <c r="K43" i="17"/>
  <c r="K35" i="17"/>
  <c r="K27" i="17"/>
  <c r="K19" i="17"/>
  <c r="K11" i="17"/>
  <c r="K111" i="17"/>
  <c r="K513" i="17"/>
  <c r="K99" i="17"/>
  <c r="K66" i="17"/>
  <c r="K48" i="17"/>
  <c r="K34" i="17"/>
  <c r="K23" i="17"/>
  <c r="K9" i="17"/>
  <c r="K449" i="17"/>
  <c r="K90" i="17"/>
  <c r="K64" i="17"/>
  <c r="K47" i="17"/>
  <c r="K33" i="17"/>
  <c r="K21" i="17"/>
  <c r="K8" i="17"/>
  <c r="K321" i="17"/>
  <c r="K257" i="17"/>
  <c r="K79" i="17"/>
  <c r="K56" i="17"/>
  <c r="K41" i="17"/>
  <c r="K29" i="17"/>
  <c r="K16" i="17"/>
  <c r="K193" i="17"/>
  <c r="K58" i="17"/>
  <c r="K37" i="17"/>
  <c r="K15" i="17"/>
  <c r="K129" i="17"/>
  <c r="K55" i="17"/>
  <c r="K32" i="17"/>
  <c r="K13" i="17"/>
  <c r="K72" i="17"/>
  <c r="K42" i="17"/>
  <c r="K24" i="17"/>
  <c r="K385" i="17"/>
  <c r="K45" i="17"/>
  <c r="K10" i="17"/>
  <c r="K82" i="17"/>
  <c r="K40" i="17"/>
  <c r="K7" i="17"/>
  <c r="K80" i="17"/>
  <c r="K39" i="17"/>
  <c r="K5" i="17"/>
  <c r="K74" i="17"/>
  <c r="K31" i="17"/>
  <c r="K71" i="17"/>
  <c r="K26" i="17"/>
  <c r="K63" i="17"/>
  <c r="K25" i="17"/>
  <c r="K49" i="17"/>
  <c r="K17" i="17"/>
  <c r="N8" i="16"/>
  <c r="N16" i="16"/>
  <c r="N24" i="16"/>
  <c r="N32" i="16"/>
  <c r="N40" i="16"/>
  <c r="N48" i="16"/>
  <c r="N56" i="16"/>
  <c r="M64" i="16"/>
  <c r="N64" i="16"/>
  <c r="M72" i="16"/>
  <c r="N72" i="16"/>
  <c r="M80" i="16"/>
  <c r="N80" i="16"/>
  <c r="M88" i="16"/>
  <c r="N88" i="16"/>
  <c r="M96" i="16"/>
  <c r="N96" i="16"/>
  <c r="M104" i="16"/>
  <c r="N104" i="16"/>
  <c r="M112" i="16"/>
  <c r="N112" i="16"/>
  <c r="M120" i="16"/>
  <c r="N120" i="16"/>
  <c r="M128" i="16"/>
  <c r="N128" i="16"/>
  <c r="M136" i="16"/>
  <c r="O136" i="16"/>
  <c r="N136" i="16"/>
  <c r="M144" i="16"/>
  <c r="N144" i="16"/>
  <c r="M152" i="16"/>
  <c r="O152" i="16"/>
  <c r="N152" i="16"/>
  <c r="M160" i="16"/>
  <c r="N160" i="16"/>
  <c r="M168" i="16"/>
  <c r="O168" i="16"/>
  <c r="N168" i="16"/>
  <c r="M176" i="16"/>
  <c r="N176" i="16"/>
  <c r="M184" i="16"/>
  <c r="O184" i="16"/>
  <c r="N184" i="16"/>
  <c r="O192" i="16"/>
  <c r="N192" i="16"/>
  <c r="M192" i="16"/>
  <c r="O200" i="16"/>
  <c r="N200" i="16"/>
  <c r="M200" i="16"/>
  <c r="O208" i="16"/>
  <c r="N208" i="16"/>
  <c r="M208" i="16"/>
  <c r="O216" i="16"/>
  <c r="N216" i="16"/>
  <c r="O224" i="16"/>
  <c r="M224" i="16"/>
  <c r="O232" i="16"/>
  <c r="M232" i="16"/>
  <c r="N232" i="16"/>
  <c r="N240" i="16"/>
  <c r="O240" i="16"/>
  <c r="M240" i="16"/>
  <c r="O248" i="16"/>
  <c r="N248" i="16"/>
  <c r="N256" i="16"/>
  <c r="O256" i="16"/>
  <c r="M256" i="16"/>
  <c r="M14" i="16"/>
  <c r="M17" i="16"/>
  <c r="O20" i="16"/>
  <c r="M30" i="16"/>
  <c r="M33" i="16"/>
  <c r="O36" i="16"/>
  <c r="M46" i="16"/>
  <c r="M49" i="16"/>
  <c r="O52" i="16"/>
  <c r="M62" i="16"/>
  <c r="O66" i="16"/>
  <c r="O88" i="16"/>
  <c r="O104" i="16"/>
  <c r="O120" i="16"/>
  <c r="O141" i="16"/>
  <c r="M229" i="16"/>
  <c r="K50" i="17"/>
  <c r="L46" i="17"/>
  <c r="L42" i="17"/>
  <c r="L38" i="17"/>
  <c r="L28" i="17"/>
  <c r="L48" i="17"/>
  <c r="L44" i="17"/>
  <c r="L40" i="17"/>
  <c r="L36" i="17"/>
  <c r="L32" i="17"/>
  <c r="L25" i="17"/>
  <c r="L21" i="17"/>
  <c r="L45" i="17"/>
  <c r="L41" i="17"/>
  <c r="L37" i="17"/>
  <c r="L30" i="17"/>
  <c r="L39" i="17"/>
  <c r="L10" i="17"/>
  <c r="L34" i="17"/>
  <c r="L27" i="17"/>
  <c r="L9" i="17"/>
  <c r="L29" i="17"/>
  <c r="L20" i="17"/>
  <c r="L18" i="17"/>
  <c r="L8" i="17"/>
  <c r="L43" i="17"/>
  <c r="L31" i="17"/>
  <c r="Q16" i="17"/>
  <c r="L13" i="17"/>
  <c r="L7" i="17"/>
  <c r="L33" i="17"/>
  <c r="L26" i="17"/>
  <c r="L16" i="17"/>
  <c r="L14" i="17"/>
  <c r="L12" i="17"/>
  <c r="L6" i="17"/>
  <c r="L23" i="17"/>
  <c r="L22" i="17"/>
  <c r="L15" i="17"/>
  <c r="L5" i="17"/>
  <c r="L17" i="17"/>
  <c r="L47" i="17"/>
  <c r="L19" i="17"/>
  <c r="L11" i="17"/>
  <c r="L35" i="17"/>
  <c r="L24" i="17"/>
  <c r="L56" i="17"/>
  <c r="L79" i="17"/>
  <c r="L83" i="17"/>
  <c r="AB15" i="17"/>
  <c r="L65" i="17"/>
  <c r="L77" i="17"/>
  <c r="L54" i="17"/>
  <c r="L63" i="17"/>
  <c r="L75" i="17"/>
  <c r="L88" i="17"/>
  <c r="L90" i="17"/>
  <c r="AD15" i="17"/>
  <c r="L59" i="17"/>
  <c r="L82" i="17"/>
  <c r="L86" i="17"/>
  <c r="L92" i="17"/>
  <c r="B585" i="17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641" i="17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445" i="17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533" i="17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489" i="17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423" i="17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67" i="17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01" i="17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511" i="17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379" i="17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357" i="17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35" i="17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13" i="17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247" i="17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25" i="17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03" i="17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69" i="17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181" i="17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159" i="17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37" i="17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115" i="17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93" i="17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71" i="17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49" i="17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G624" i="17"/>
  <c r="G620" i="17"/>
  <c r="G580" i="17"/>
  <c r="G583" i="17"/>
  <c r="G621" i="17"/>
  <c r="G617" i="17"/>
  <c r="G578" i="17"/>
  <c r="G581" i="17"/>
  <c r="G622" i="17"/>
  <c r="G618" i="17"/>
  <c r="G584" i="17"/>
  <c r="G579" i="17"/>
  <c r="G623" i="17"/>
  <c r="G619" i="17"/>
  <c r="G582" i="17"/>
  <c r="G577" i="17"/>
  <c r="L49" i="17"/>
  <c r="L57" i="17"/>
  <c r="L70" i="17"/>
  <c r="L72" i="17"/>
  <c r="L80" i="17"/>
  <c r="L84" i="17"/>
  <c r="AF15" i="17"/>
  <c r="G638" i="17"/>
  <c r="G593" i="17"/>
  <c r="G639" i="17"/>
  <c r="G594" i="17"/>
  <c r="G640" i="17"/>
  <c r="G595" i="17"/>
  <c r="G633" i="17"/>
  <c r="G596" i="17"/>
  <c r="G634" i="17"/>
  <c r="G597" i="17"/>
  <c r="G635" i="17"/>
  <c r="G598" i="17"/>
  <c r="G636" i="17"/>
  <c r="G599" i="17"/>
  <c r="G637" i="17"/>
  <c r="G600" i="17"/>
  <c r="L51" i="17"/>
  <c r="L55" i="17"/>
  <c r="L64" i="17"/>
  <c r="L74" i="17"/>
  <c r="L78" i="17"/>
  <c r="G652" i="17"/>
  <c r="G615" i="17"/>
  <c r="G653" i="17"/>
  <c r="G616" i="17"/>
  <c r="G654" i="17"/>
  <c r="G609" i="17"/>
  <c r="G655" i="17"/>
  <c r="G610" i="17"/>
  <c r="G656" i="17"/>
  <c r="G611" i="17"/>
  <c r="G649" i="17"/>
  <c r="G612" i="17"/>
  <c r="G650" i="17"/>
  <c r="G613" i="17"/>
  <c r="G614" i="17"/>
  <c r="G651" i="17"/>
  <c r="L87" i="17"/>
  <c r="L62" i="17"/>
  <c r="L71" i="17"/>
  <c r="L85" i="17"/>
  <c r="L91" i="17"/>
  <c r="K610" i="17"/>
  <c r="K625" i="17"/>
  <c r="K603" i="17"/>
  <c r="K605" i="17"/>
  <c r="K607" i="17"/>
  <c r="K608" i="17"/>
  <c r="K604" i="17"/>
  <c r="K606" i="17"/>
  <c r="L594" i="17"/>
  <c r="L602" i="17" s="1"/>
  <c r="L610" i="17" s="1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AG34" i="15"/>
  <c r="AF34" i="15"/>
  <c r="AG33" i="15"/>
  <c r="AG32" i="15"/>
  <c r="I32" i="15"/>
  <c r="AG31" i="15"/>
  <c r="AG30" i="15"/>
  <c r="AG29" i="15"/>
  <c r="I29" i="15"/>
  <c r="AG28" i="15"/>
  <c r="I28" i="15"/>
  <c r="AG27" i="15"/>
  <c r="I27" i="15"/>
  <c r="AG26" i="15"/>
  <c r="I26" i="15"/>
  <c r="AG25" i="15"/>
  <c r="X25" i="15"/>
  <c r="X26" i="15" s="1"/>
  <c r="I25" i="15"/>
  <c r="H25" i="15"/>
  <c r="AE24" i="15"/>
  <c r="AE25" i="15" s="1"/>
  <c r="X24" i="15"/>
  <c r="I24" i="15"/>
  <c r="H24" i="15"/>
  <c r="I20" i="15"/>
  <c r="I36" i="15" s="1"/>
  <c r="AG19" i="15"/>
  <c r="AG35" i="15" s="1"/>
  <c r="AG18" i="15"/>
  <c r="I17" i="15"/>
  <c r="I21" i="15" s="1"/>
  <c r="I16" i="15"/>
  <c r="I15" i="15"/>
  <c r="I31" i="15" s="1"/>
  <c r="I14" i="15"/>
  <c r="S13" i="15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12" i="15"/>
  <c r="S11" i="15"/>
  <c r="X10" i="15"/>
  <c r="S10" i="15"/>
  <c r="AA9" i="15"/>
  <c r="AQ8" i="15" s="1"/>
  <c r="X9" i="15"/>
  <c r="H9" i="15" s="1"/>
  <c r="S9" i="15"/>
  <c r="R9" i="15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AU8" i="15"/>
  <c r="AT8" i="15"/>
  <c r="AT9" i="15" s="1"/>
  <c r="AG8" i="15"/>
  <c r="AG24" i="15" s="1"/>
  <c r="AE8" i="15"/>
  <c r="AE9" i="15" s="1"/>
  <c r="AA8" i="15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X8" i="15"/>
  <c r="Q8" i="15"/>
  <c r="L8" i="15"/>
  <c r="L9" i="15" s="1"/>
  <c r="J8" i="15"/>
  <c r="J9" i="15" s="1"/>
  <c r="H8" i="15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E18" i="5"/>
  <c r="E19" i="5"/>
  <c r="E20" i="5"/>
  <c r="E21" i="5"/>
  <c r="E22" i="5"/>
  <c r="E23" i="5"/>
  <c r="E24" i="5"/>
  <c r="E17" i="5"/>
  <c r="F17" i="7"/>
  <c r="G17" i="7"/>
  <c r="H17" i="7"/>
  <c r="I17" i="7"/>
  <c r="J17" i="7"/>
  <c r="K17" i="7"/>
  <c r="L17" i="7"/>
  <c r="M17" i="7"/>
  <c r="N17" i="7"/>
  <c r="O17" i="7"/>
  <c r="F18" i="7"/>
  <c r="G18" i="7"/>
  <c r="H18" i="7"/>
  <c r="I18" i="7"/>
  <c r="J18" i="7"/>
  <c r="K18" i="7"/>
  <c r="L18" i="7"/>
  <c r="M18" i="7"/>
  <c r="N18" i="7"/>
  <c r="O18" i="7"/>
  <c r="F19" i="7"/>
  <c r="G19" i="7"/>
  <c r="H19" i="7"/>
  <c r="I19" i="7"/>
  <c r="J19" i="7"/>
  <c r="K19" i="7"/>
  <c r="L19" i="7"/>
  <c r="M19" i="7"/>
  <c r="N19" i="7"/>
  <c r="O19" i="7"/>
  <c r="F20" i="7"/>
  <c r="G20" i="7"/>
  <c r="H20" i="7"/>
  <c r="I20" i="7"/>
  <c r="J20" i="7"/>
  <c r="K20" i="7"/>
  <c r="L20" i="7"/>
  <c r="M20" i="7"/>
  <c r="N20" i="7"/>
  <c r="O20" i="7"/>
  <c r="F21" i="7"/>
  <c r="G21" i="7"/>
  <c r="H21" i="7"/>
  <c r="I21" i="7"/>
  <c r="J21" i="7"/>
  <c r="K21" i="7"/>
  <c r="L21" i="7"/>
  <c r="M21" i="7"/>
  <c r="N21" i="7"/>
  <c r="O21" i="7"/>
  <c r="F22" i="7"/>
  <c r="G22" i="7"/>
  <c r="H22" i="7"/>
  <c r="I22" i="7"/>
  <c r="J22" i="7"/>
  <c r="K22" i="7"/>
  <c r="L22" i="7"/>
  <c r="M22" i="7"/>
  <c r="N22" i="7"/>
  <c r="O22" i="7"/>
  <c r="F23" i="7"/>
  <c r="G23" i="7"/>
  <c r="H23" i="7"/>
  <c r="I23" i="7"/>
  <c r="J23" i="7"/>
  <c r="K23" i="7"/>
  <c r="L23" i="7"/>
  <c r="M23" i="7"/>
  <c r="N23" i="7"/>
  <c r="O23" i="7"/>
  <c r="F24" i="7"/>
  <c r="G24" i="7"/>
  <c r="H24" i="7"/>
  <c r="I24" i="7"/>
  <c r="J24" i="7"/>
  <c r="K24" i="7"/>
  <c r="L24" i="7"/>
  <c r="M24" i="7"/>
  <c r="N24" i="7"/>
  <c r="O24" i="7"/>
  <c r="E18" i="7"/>
  <c r="E19" i="7"/>
  <c r="E20" i="7"/>
  <c r="E21" i="7"/>
  <c r="E22" i="7"/>
  <c r="E23" i="7"/>
  <c r="E24" i="7"/>
  <c r="E17" i="7"/>
  <c r="E15" i="7"/>
  <c r="F17" i="4"/>
  <c r="G17" i="4"/>
  <c r="H17" i="4"/>
  <c r="I17" i="4"/>
  <c r="J17" i="4"/>
  <c r="K17" i="4"/>
  <c r="L17" i="4"/>
  <c r="M17" i="4"/>
  <c r="N17" i="4"/>
  <c r="O17" i="4"/>
  <c r="F18" i="4"/>
  <c r="G18" i="4"/>
  <c r="H18" i="4"/>
  <c r="I18" i="4"/>
  <c r="J18" i="4"/>
  <c r="K18" i="4"/>
  <c r="L18" i="4"/>
  <c r="M18" i="4"/>
  <c r="N18" i="4"/>
  <c r="O18" i="4"/>
  <c r="F19" i="4"/>
  <c r="G19" i="4"/>
  <c r="H19" i="4"/>
  <c r="I19" i="4"/>
  <c r="J19" i="4"/>
  <c r="K19" i="4"/>
  <c r="L19" i="4"/>
  <c r="M19" i="4"/>
  <c r="N19" i="4"/>
  <c r="O19" i="4"/>
  <c r="F20" i="4"/>
  <c r="G20" i="4"/>
  <c r="H20" i="4"/>
  <c r="I20" i="4"/>
  <c r="J20" i="4"/>
  <c r="K20" i="4"/>
  <c r="L20" i="4"/>
  <c r="M20" i="4"/>
  <c r="N20" i="4"/>
  <c r="O20" i="4"/>
  <c r="F21" i="4"/>
  <c r="G21" i="4"/>
  <c r="H21" i="4"/>
  <c r="I21" i="4"/>
  <c r="J21" i="4"/>
  <c r="K21" i="4"/>
  <c r="L21" i="4"/>
  <c r="M21" i="4"/>
  <c r="N21" i="4"/>
  <c r="O21" i="4"/>
  <c r="F22" i="4"/>
  <c r="G22" i="4"/>
  <c r="H22" i="4"/>
  <c r="I22" i="4"/>
  <c r="J22" i="4"/>
  <c r="K22" i="4"/>
  <c r="L22" i="4"/>
  <c r="M22" i="4"/>
  <c r="N22" i="4"/>
  <c r="O22" i="4"/>
  <c r="F23" i="4"/>
  <c r="G23" i="4"/>
  <c r="H23" i="4"/>
  <c r="I23" i="4"/>
  <c r="J23" i="4"/>
  <c r="K23" i="4"/>
  <c r="L23" i="4"/>
  <c r="M23" i="4"/>
  <c r="N23" i="4"/>
  <c r="O23" i="4"/>
  <c r="F24" i="4"/>
  <c r="G24" i="4"/>
  <c r="H24" i="4"/>
  <c r="I24" i="4"/>
  <c r="J24" i="4"/>
  <c r="K24" i="4"/>
  <c r="L24" i="4"/>
  <c r="M24" i="4"/>
  <c r="N24" i="4"/>
  <c r="O24" i="4"/>
  <c r="E18" i="4"/>
  <c r="E19" i="4"/>
  <c r="E20" i="4"/>
  <c r="E21" i="4"/>
  <c r="E22" i="4"/>
  <c r="E23" i="4"/>
  <c r="E24" i="4"/>
  <c r="E17" i="4"/>
  <c r="K618" i="17" l="1"/>
  <c r="K614" i="17"/>
  <c r="K613" i="17"/>
  <c r="K612" i="17"/>
  <c r="L67" i="17"/>
  <c r="L68" i="17"/>
  <c r="L60" i="17"/>
  <c r="L52" i="17"/>
  <c r="L76" i="17"/>
  <c r="L69" i="17"/>
  <c r="L61" i="17"/>
  <c r="L53" i="17"/>
  <c r="L66" i="17"/>
  <c r="L73" i="17"/>
  <c r="L50" i="17"/>
  <c r="L81" i="17"/>
  <c r="L58" i="17"/>
  <c r="L89" i="17"/>
  <c r="Q17" i="17"/>
  <c r="K616" i="17"/>
  <c r="K611" i="17"/>
  <c r="K615" i="17"/>
  <c r="K633" i="17"/>
  <c r="AH9" i="15"/>
  <c r="AE10" i="15"/>
  <c r="G24" i="15"/>
  <c r="AQ9" i="15"/>
  <c r="AH25" i="15"/>
  <c r="AE26" i="15"/>
  <c r="X11" i="15"/>
  <c r="H10" i="15"/>
  <c r="AT10" i="15"/>
  <c r="AP9" i="15"/>
  <c r="G9" i="15" s="1"/>
  <c r="J25" i="15"/>
  <c r="J10" i="15"/>
  <c r="AP8" i="15"/>
  <c r="G8" i="15" s="1"/>
  <c r="AP6" i="15"/>
  <c r="AU9" i="15"/>
  <c r="AU10" i="15" s="1"/>
  <c r="AU11" i="15" s="1"/>
  <c r="AU12" i="15" s="1"/>
  <c r="AU13" i="15" s="1"/>
  <c r="AU14" i="15" s="1"/>
  <c r="AU15" i="15" s="1"/>
  <c r="AU16" i="15" s="1"/>
  <c r="AU17" i="15" s="1"/>
  <c r="AU18" i="15" s="1"/>
  <c r="AU19" i="15" s="1"/>
  <c r="AU20" i="15" s="1"/>
  <c r="AU21" i="15" s="1"/>
  <c r="AU22" i="15" s="1"/>
  <c r="AU23" i="15" s="1"/>
  <c r="AP4" i="15"/>
  <c r="I37" i="15"/>
  <c r="L25" i="15"/>
  <c r="L10" i="15"/>
  <c r="Q9" i="15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X27" i="15"/>
  <c r="H26" i="15"/>
  <c r="AG20" i="15"/>
  <c r="F24" i="15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I33" i="15"/>
  <c r="AH24" i="15"/>
  <c r="I30" i="15"/>
  <c r="AH8" i="15"/>
  <c r="I19" i="15"/>
  <c r="J24" i="15"/>
  <c r="I18" i="15"/>
  <c r="L24" i="15"/>
  <c r="B259" i="9"/>
  <c r="D259" i="9"/>
  <c r="E259" i="9"/>
  <c r="K259" i="9"/>
  <c r="L259" i="9"/>
  <c r="B260" i="9"/>
  <c r="D260" i="9"/>
  <c r="E260" i="9"/>
  <c r="K260" i="9"/>
  <c r="L260" i="9"/>
  <c r="K623" i="17" l="1"/>
  <c r="K621" i="17"/>
  <c r="K619" i="17"/>
  <c r="K624" i="17"/>
  <c r="K622" i="17"/>
  <c r="K641" i="17"/>
  <c r="L133" i="17"/>
  <c r="L125" i="17"/>
  <c r="L117" i="17"/>
  <c r="L135" i="17"/>
  <c r="L124" i="17"/>
  <c r="L128" i="17"/>
  <c r="L122" i="17"/>
  <c r="L115" i="17"/>
  <c r="L109" i="17"/>
  <c r="L101" i="17"/>
  <c r="L93" i="17"/>
  <c r="L130" i="17"/>
  <c r="L120" i="17"/>
  <c r="L111" i="17"/>
  <c r="L127" i="17"/>
  <c r="L112" i="17"/>
  <c r="L104" i="17"/>
  <c r="L96" i="17"/>
  <c r="Q18" i="17"/>
  <c r="Q19" i="17" s="1"/>
  <c r="L100" i="17"/>
  <c r="L98" i="17"/>
  <c r="L105" i="17"/>
  <c r="L103" i="17"/>
  <c r="L110" i="17"/>
  <c r="L106" i="17"/>
  <c r="L113" i="17"/>
  <c r="L108" i="17"/>
  <c r="L134" i="17"/>
  <c r="L132" i="17"/>
  <c r="L107" i="17"/>
  <c r="L116" i="17"/>
  <c r="L123" i="17"/>
  <c r="L119" i="17"/>
  <c r="L126" i="17"/>
  <c r="L136" i="17"/>
  <c r="L118" i="17"/>
  <c r="L129" i="17"/>
  <c r="L121" i="17"/>
  <c r="L94" i="17"/>
  <c r="L99" i="17"/>
  <c r="L95" i="17"/>
  <c r="L102" i="17"/>
  <c r="L114" i="17"/>
  <c r="L131" i="17"/>
  <c r="L97" i="17"/>
  <c r="K620" i="17"/>
  <c r="K626" i="17"/>
  <c r="I34" i="15"/>
  <c r="I22" i="15"/>
  <c r="L11" i="15"/>
  <c r="L26" i="15"/>
  <c r="AP10" i="15"/>
  <c r="G10" i="15" s="1"/>
  <c r="AT11" i="15"/>
  <c r="G25" i="15"/>
  <c r="AQ10" i="15"/>
  <c r="AE11" i="15"/>
  <c r="AH10" i="15"/>
  <c r="X12" i="15"/>
  <c r="H11" i="15"/>
  <c r="D9" i="15"/>
  <c r="D24" i="15"/>
  <c r="AI24" i="15"/>
  <c r="E24" i="15" s="1"/>
  <c r="D8" i="15"/>
  <c r="AI8" i="15"/>
  <c r="E8" i="15" s="1"/>
  <c r="X28" i="15"/>
  <c r="H27" i="15"/>
  <c r="J26" i="15"/>
  <c r="J11" i="15"/>
  <c r="AE27" i="15"/>
  <c r="AH26" i="15"/>
  <c r="I23" i="15"/>
  <c r="I35" i="15"/>
  <c r="AG36" i="15"/>
  <c r="AG21" i="15"/>
  <c r="D25" i="15"/>
  <c r="AI25" i="15"/>
  <c r="E25" i="15" s="1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E7" i="14"/>
  <c r="E8" i="14"/>
  <c r="E9" i="14"/>
  <c r="E10" i="14"/>
  <c r="E11" i="14"/>
  <c r="E12" i="14"/>
  <c r="E13" i="14"/>
  <c r="E6" i="14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C6" i="1"/>
  <c r="C7" i="1"/>
  <c r="C8" i="1"/>
  <c r="C9" i="1"/>
  <c r="C10" i="1"/>
  <c r="C11" i="1"/>
  <c r="C12" i="1"/>
  <c r="C5" i="1"/>
  <c r="K630" i="17" l="1"/>
  <c r="K631" i="17"/>
  <c r="K632" i="17"/>
  <c r="L420" i="17"/>
  <c r="L416" i="17"/>
  <c r="L412" i="17"/>
  <c r="L408" i="17"/>
  <c r="L404" i="17"/>
  <c r="L441" i="17"/>
  <c r="L437" i="17"/>
  <c r="L433" i="17"/>
  <c r="L429" i="17"/>
  <c r="L425" i="17"/>
  <c r="L442" i="17"/>
  <c r="L438" i="17"/>
  <c r="L434" i="17"/>
  <c r="L430" i="17"/>
  <c r="L426" i="17"/>
  <c r="L419" i="17"/>
  <c r="L415" i="17"/>
  <c r="L411" i="17"/>
  <c r="L407" i="17"/>
  <c r="L403" i="17"/>
  <c r="L432" i="17"/>
  <c r="L414" i="17"/>
  <c r="L444" i="17"/>
  <c r="L440" i="17"/>
  <c r="L436" i="17"/>
  <c r="L410" i="17"/>
  <c r="L427" i="17"/>
  <c r="L423" i="17"/>
  <c r="L421" i="17"/>
  <c r="L401" i="17"/>
  <c r="L417" i="17"/>
  <c r="L406" i="17"/>
  <c r="L431" i="17"/>
  <c r="L413" i="17"/>
  <c r="L443" i="17"/>
  <c r="L439" i="17"/>
  <c r="L435" i="17"/>
  <c r="L409" i="17"/>
  <c r="L402" i="17"/>
  <c r="L424" i="17"/>
  <c r="L422" i="17"/>
  <c r="L428" i="17"/>
  <c r="L418" i="17"/>
  <c r="L405" i="17"/>
  <c r="Q20" i="17"/>
  <c r="K627" i="17"/>
  <c r="K634" i="17"/>
  <c r="K629" i="17"/>
  <c r="K628" i="17"/>
  <c r="K649" i="17"/>
  <c r="H28" i="15"/>
  <c r="X29" i="15"/>
  <c r="AI9" i="15"/>
  <c r="E9" i="15" s="1"/>
  <c r="AG37" i="15"/>
  <c r="AG22" i="15"/>
  <c r="D10" i="15"/>
  <c r="AI10" i="15"/>
  <c r="E10" i="15" s="1"/>
  <c r="L27" i="15"/>
  <c r="L12" i="15"/>
  <c r="AI26" i="15"/>
  <c r="E26" i="15" s="1"/>
  <c r="D26" i="15"/>
  <c r="AE12" i="15"/>
  <c r="AH11" i="15"/>
  <c r="AE28" i="15"/>
  <c r="AH27" i="15"/>
  <c r="H12" i="15"/>
  <c r="X13" i="15"/>
  <c r="J27" i="15"/>
  <c r="J12" i="15"/>
  <c r="G26" i="15"/>
  <c r="AQ11" i="15"/>
  <c r="I39" i="15"/>
  <c r="AP11" i="15"/>
  <c r="G11" i="15" s="1"/>
  <c r="AT12" i="15"/>
  <c r="I38" i="15"/>
  <c r="B2" i="9"/>
  <c r="C17" i="1"/>
  <c r="T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E18" i="14"/>
  <c r="E19" i="14"/>
  <c r="E20" i="14"/>
  <c r="E21" i="14"/>
  <c r="E22" i="14"/>
  <c r="E23" i="14"/>
  <c r="E24" i="14"/>
  <c r="E17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C35" i="14"/>
  <c r="C34" i="14"/>
  <c r="C33" i="14"/>
  <c r="C32" i="14"/>
  <c r="C31" i="14"/>
  <c r="C30" i="14"/>
  <c r="C29" i="14"/>
  <c r="C28" i="14"/>
  <c r="K642" i="17" l="1"/>
  <c r="K640" i="17"/>
  <c r="K635" i="17"/>
  <c r="K639" i="17"/>
  <c r="L463" i="17"/>
  <c r="L459" i="17"/>
  <c r="L455" i="17"/>
  <c r="L451" i="17"/>
  <c r="L447" i="17"/>
  <c r="L487" i="17"/>
  <c r="L483" i="17"/>
  <c r="L479" i="17"/>
  <c r="L475" i="17"/>
  <c r="L471" i="17"/>
  <c r="L467" i="17"/>
  <c r="L464" i="17"/>
  <c r="L460" i="17"/>
  <c r="L456" i="17"/>
  <c r="L452" i="17"/>
  <c r="L448" i="17"/>
  <c r="L488" i="17"/>
  <c r="L484" i="17"/>
  <c r="L480" i="17"/>
  <c r="L476" i="17"/>
  <c r="L472" i="17"/>
  <c r="L468" i="17"/>
  <c r="L465" i="17"/>
  <c r="L461" i="17"/>
  <c r="L457" i="17"/>
  <c r="L453" i="17"/>
  <c r="L449" i="17"/>
  <c r="L445" i="17"/>
  <c r="L485" i="17"/>
  <c r="L481" i="17"/>
  <c r="L477" i="17"/>
  <c r="L473" i="17"/>
  <c r="L469" i="17"/>
  <c r="L466" i="17"/>
  <c r="L462" i="17"/>
  <c r="L458" i="17"/>
  <c r="L454" i="17"/>
  <c r="L450" i="17"/>
  <c r="L446" i="17"/>
  <c r="L482" i="17"/>
  <c r="L474" i="17"/>
  <c r="L486" i="17"/>
  <c r="L478" i="17"/>
  <c r="L470" i="17"/>
  <c r="Q21" i="17"/>
  <c r="Q22" i="17" s="1"/>
  <c r="Q23" i="17" s="1"/>
  <c r="K636" i="17"/>
  <c r="K638" i="17"/>
  <c r="K637" i="17"/>
  <c r="J13" i="15"/>
  <c r="J28" i="15"/>
  <c r="AH12" i="15"/>
  <c r="AE13" i="15"/>
  <c r="AH28" i="15"/>
  <c r="AE29" i="15"/>
  <c r="AT13" i="15"/>
  <c r="AP12" i="15"/>
  <c r="G12" i="15" s="1"/>
  <c r="AG23" i="15"/>
  <c r="AG39" i="15" s="1"/>
  <c r="AG38" i="15"/>
  <c r="AI11" i="15"/>
  <c r="E11" i="15" s="1"/>
  <c r="D11" i="15"/>
  <c r="X14" i="15"/>
  <c r="H13" i="15"/>
  <c r="H29" i="15"/>
  <c r="X30" i="15"/>
  <c r="AQ12" i="15"/>
  <c r="G27" i="15"/>
  <c r="D27" i="15"/>
  <c r="AI27" i="15"/>
  <c r="E27" i="15" s="1"/>
  <c r="L13" i="15"/>
  <c r="L28" i="15"/>
  <c r="N35" i="14"/>
  <c r="L35" i="14"/>
  <c r="F35" i="14"/>
  <c r="E35" i="14"/>
  <c r="K646" i="17" l="1"/>
  <c r="K647" i="17"/>
  <c r="L175" i="17"/>
  <c r="L167" i="17"/>
  <c r="L159" i="17"/>
  <c r="L176" i="17"/>
  <c r="L168" i="17"/>
  <c r="L160" i="17"/>
  <c r="L153" i="17"/>
  <c r="L170" i="17"/>
  <c r="L173" i="17"/>
  <c r="L165" i="17"/>
  <c r="L158" i="17"/>
  <c r="L150" i="17"/>
  <c r="L142" i="17"/>
  <c r="L145" i="17"/>
  <c r="L162" i="17"/>
  <c r="L137" i="17"/>
  <c r="L155" i="17"/>
  <c r="L147" i="17"/>
  <c r="Q24" i="17"/>
  <c r="L148" i="17"/>
  <c r="L180" i="17"/>
  <c r="L171" i="17"/>
  <c r="L157" i="17"/>
  <c r="L144" i="17"/>
  <c r="L166" i="17"/>
  <c r="L152" i="17"/>
  <c r="L169" i="17"/>
  <c r="L164" i="17"/>
  <c r="L178" i="17"/>
  <c r="L143" i="17"/>
  <c r="L151" i="17"/>
  <c r="L139" i="17"/>
  <c r="L154" i="17"/>
  <c r="L161" i="17"/>
  <c r="L156" i="17"/>
  <c r="L163" i="17"/>
  <c r="L172" i="17"/>
  <c r="L177" i="17"/>
  <c r="L138" i="17"/>
  <c r="L140" i="17"/>
  <c r="L174" i="17"/>
  <c r="L146" i="17"/>
  <c r="L179" i="17"/>
  <c r="L149" i="17"/>
  <c r="L141" i="17"/>
  <c r="K643" i="17"/>
  <c r="K648" i="17"/>
  <c r="K644" i="17"/>
  <c r="K645" i="17"/>
  <c r="K650" i="17"/>
  <c r="X31" i="15"/>
  <c r="H30" i="15"/>
  <c r="AP13" i="15"/>
  <c r="G13" i="15" s="1"/>
  <c r="AT14" i="15"/>
  <c r="AE30" i="15"/>
  <c r="AH29" i="15"/>
  <c r="H14" i="15"/>
  <c r="X15" i="15"/>
  <c r="AE14" i="15"/>
  <c r="AH13" i="15"/>
  <c r="D12" i="15"/>
  <c r="AI12" i="15"/>
  <c r="E12" i="15" s="1"/>
  <c r="L29" i="15"/>
  <c r="L14" i="15"/>
  <c r="AI28" i="15"/>
  <c r="E28" i="15" s="1"/>
  <c r="D28" i="15"/>
  <c r="G28" i="15"/>
  <c r="AQ13" i="15"/>
  <c r="J29" i="15"/>
  <c r="J14" i="15"/>
  <c r="H20" i="9" a="1"/>
  <c r="H20" i="9" s="1"/>
  <c r="AM20" i="16" s="1"/>
  <c r="H148" i="9" a="1"/>
  <c r="H148" i="9" s="1"/>
  <c r="AM148" i="16" s="1"/>
  <c r="H68" i="9" a="1"/>
  <c r="H68" i="9" s="1"/>
  <c r="AM68" i="16" s="1"/>
  <c r="H196" i="9" a="1"/>
  <c r="H196" i="9" s="1"/>
  <c r="AM196" i="16" s="1"/>
  <c r="H84" i="9" a="1"/>
  <c r="H84" i="9" s="1"/>
  <c r="AM84" i="16" s="1"/>
  <c r="H12" i="9" a="1"/>
  <c r="H12" i="9" s="1"/>
  <c r="AM12" i="16" s="1"/>
  <c r="H140" i="9" a="1"/>
  <c r="H140" i="9" s="1"/>
  <c r="AM140" i="16" s="1"/>
  <c r="F32" i="14"/>
  <c r="G30" i="14"/>
  <c r="H28" i="14"/>
  <c r="N33" i="14"/>
  <c r="I33" i="14"/>
  <c r="S31" i="14"/>
  <c r="P33" i="14"/>
  <c r="L32" i="14"/>
  <c r="O28" i="14"/>
  <c r="P30" i="14"/>
  <c r="P28" i="14"/>
  <c r="S30" i="14"/>
  <c r="S29" i="14"/>
  <c r="Q29" i="14"/>
  <c r="O35" i="14"/>
  <c r="M35" i="14"/>
  <c r="J35" i="14"/>
  <c r="H35" i="14"/>
  <c r="E28" i="14"/>
  <c r="F34" i="14"/>
  <c r="G31" i="14"/>
  <c r="E33" i="14"/>
  <c r="E30" i="14"/>
  <c r="F28" i="14"/>
  <c r="T34" i="14"/>
  <c r="H259" i="9" s="1" a="1"/>
  <c r="H259" i="9" s="1"/>
  <c r="AM253" i="16" s="1"/>
  <c r="R34" i="14"/>
  <c r="J33" i="14"/>
  <c r="T31" i="14"/>
  <c r="S32" i="14"/>
  <c r="Q32" i="14"/>
  <c r="M31" i="14"/>
  <c r="L33" i="14"/>
  <c r="L28" i="14"/>
  <c r="J29" i="14"/>
  <c r="S34" i="14"/>
  <c r="Q34" i="14"/>
  <c r="O29" i="14"/>
  <c r="M28" i="14"/>
  <c r="K28" i="14"/>
  <c r="Q30" i="14"/>
  <c r="O30" i="14"/>
  <c r="P29" i="14"/>
  <c r="J28" i="14"/>
  <c r="K35" i="14"/>
  <c r="T35" i="14"/>
  <c r="H30" i="14"/>
  <c r="E31" i="14"/>
  <c r="E32" i="14"/>
  <c r="H33" i="14"/>
  <c r="F33" i="14"/>
  <c r="E29" i="14"/>
  <c r="G32" i="14"/>
  <c r="H29" i="14"/>
  <c r="F29" i="14"/>
  <c r="K33" i="14"/>
  <c r="T32" i="14"/>
  <c r="R32" i="14"/>
  <c r="S33" i="14"/>
  <c r="Q33" i="14"/>
  <c r="O32" i="14"/>
  <c r="M32" i="14"/>
  <c r="P34" i="14"/>
  <c r="N34" i="14"/>
  <c r="R31" i="14"/>
  <c r="P31" i="14"/>
  <c r="K34" i="14"/>
  <c r="M29" i="14"/>
  <c r="I30" i="14"/>
  <c r="S28" i="14"/>
  <c r="Q28" i="14"/>
  <c r="O34" i="14"/>
  <c r="M34" i="14"/>
  <c r="N29" i="14"/>
  <c r="L29" i="14"/>
  <c r="K31" i="14"/>
  <c r="I31" i="14"/>
  <c r="M30" i="14"/>
  <c r="K29" i="14"/>
  <c r="I29" i="14"/>
  <c r="S35" i="14"/>
  <c r="Q35" i="14"/>
  <c r="G33" i="14"/>
  <c r="F30" i="14"/>
  <c r="I34" i="14"/>
  <c r="G34" i="14"/>
  <c r="F31" i="14"/>
  <c r="E34" i="14"/>
  <c r="J32" i="14"/>
  <c r="H32" i="14"/>
  <c r="G29" i="14"/>
  <c r="J34" i="14"/>
  <c r="H34" i="14"/>
  <c r="H31" i="14"/>
  <c r="I28" i="14"/>
  <c r="G28" i="14"/>
  <c r="L34" i="14"/>
  <c r="Q31" i="14"/>
  <c r="O31" i="14"/>
  <c r="T33" i="14"/>
  <c r="R33" i="14"/>
  <c r="N32" i="14"/>
  <c r="J31" i="14"/>
  <c r="O33" i="14"/>
  <c r="M33" i="14"/>
  <c r="K32" i="14"/>
  <c r="I32" i="14"/>
  <c r="P32" i="14"/>
  <c r="N31" i="14"/>
  <c r="L31" i="14"/>
  <c r="N30" i="14"/>
  <c r="L30" i="14"/>
  <c r="T30" i="14"/>
  <c r="R30" i="14"/>
  <c r="T29" i="14"/>
  <c r="R29" i="14"/>
  <c r="N28" i="14"/>
  <c r="K30" i="14"/>
  <c r="J30" i="14"/>
  <c r="T28" i="14"/>
  <c r="R28" i="14"/>
  <c r="R35" i="14"/>
  <c r="P35" i="14"/>
  <c r="I35" i="14"/>
  <c r="G35" i="14"/>
  <c r="H12" i="16" l="1"/>
  <c r="AB12" i="16" s="1"/>
  <c r="AC12" i="16" s="1"/>
  <c r="AD12" i="16" s="1"/>
  <c r="H20" i="16"/>
  <c r="AB20" i="16" s="1"/>
  <c r="AC20" i="16" s="1"/>
  <c r="AD20" i="16" s="1"/>
  <c r="H140" i="16"/>
  <c r="AB140" i="16" s="1"/>
  <c r="AC140" i="16" s="1"/>
  <c r="AD140" i="16" s="1"/>
  <c r="H148" i="16"/>
  <c r="AB148" i="16" s="1"/>
  <c r="AC148" i="16" s="1"/>
  <c r="AD148" i="16" s="1"/>
  <c r="L221" i="17"/>
  <c r="L198" i="17"/>
  <c r="L190" i="17"/>
  <c r="L182" i="17"/>
  <c r="L222" i="17"/>
  <c r="L214" i="17"/>
  <c r="L206" i="17"/>
  <c r="L199" i="17"/>
  <c r="L191" i="17"/>
  <c r="L183" i="17"/>
  <c r="L208" i="17"/>
  <c r="L201" i="17"/>
  <c r="L219" i="17"/>
  <c r="L211" i="17"/>
  <c r="L203" i="17"/>
  <c r="L196" i="17"/>
  <c r="L188" i="17"/>
  <c r="L220" i="17"/>
  <c r="L189" i="17"/>
  <c r="L181" i="17"/>
  <c r="Q25" i="17"/>
  <c r="L185" i="17"/>
  <c r="L207" i="17"/>
  <c r="L205" i="17"/>
  <c r="L213" i="17"/>
  <c r="L184" i="17"/>
  <c r="L192" i="17"/>
  <c r="L195" i="17"/>
  <c r="L186" i="17"/>
  <c r="L216" i="17"/>
  <c r="L212" i="17"/>
  <c r="L204" i="17"/>
  <c r="L197" i="17"/>
  <c r="L194" i="17"/>
  <c r="L193" i="17"/>
  <c r="L210" i="17"/>
  <c r="L215" i="17"/>
  <c r="L200" i="17"/>
  <c r="L224" i="17"/>
  <c r="L209" i="17"/>
  <c r="L187" i="17"/>
  <c r="L217" i="17"/>
  <c r="L202" i="17"/>
  <c r="L223" i="17"/>
  <c r="L218" i="17"/>
  <c r="K652" i="17"/>
  <c r="K654" i="17"/>
  <c r="K653" i="17"/>
  <c r="K656" i="17"/>
  <c r="K655" i="17"/>
  <c r="K651" i="17"/>
  <c r="X16" i="15"/>
  <c r="H15" i="15"/>
  <c r="L30" i="15"/>
  <c r="L15" i="15"/>
  <c r="AI29" i="15"/>
  <c r="E29" i="15" s="1"/>
  <c r="D29" i="15"/>
  <c r="AE31" i="15"/>
  <c r="AH30" i="15"/>
  <c r="J30" i="15"/>
  <c r="J15" i="15"/>
  <c r="AT15" i="15"/>
  <c r="AP14" i="15"/>
  <c r="G14" i="15" s="1"/>
  <c r="D13" i="15"/>
  <c r="AI13" i="15"/>
  <c r="E13" i="15" s="1"/>
  <c r="G29" i="15"/>
  <c r="AQ14" i="15"/>
  <c r="AH14" i="15"/>
  <c r="AE15" i="15"/>
  <c r="X32" i="15"/>
  <c r="H31" i="15"/>
  <c r="H132" i="9" a="1"/>
  <c r="H132" i="9" s="1"/>
  <c r="AM132" i="16" s="1"/>
  <c r="H260" i="9" a="1"/>
  <c r="H260" i="9" s="1"/>
  <c r="AM260" i="16" s="1"/>
  <c r="H28" i="9" a="1"/>
  <c r="H28" i="9" s="1"/>
  <c r="AM28" i="16" s="1"/>
  <c r="H156" i="9" a="1"/>
  <c r="H156" i="9" s="1"/>
  <c r="AM156" i="16" s="1"/>
  <c r="H188" i="16" s="1"/>
  <c r="AB188" i="16" s="1"/>
  <c r="AC188" i="16" s="1"/>
  <c r="AD188" i="16" s="1"/>
  <c r="H109" i="9" a="1"/>
  <c r="H109" i="9" s="1"/>
  <c r="AM115" i="16" s="1"/>
  <c r="H77" i="9" a="1"/>
  <c r="H77" i="9" s="1"/>
  <c r="AM83" i="16" s="1"/>
  <c r="H127" i="9" a="1"/>
  <c r="H127" i="9" s="1"/>
  <c r="AM129" i="16" s="1"/>
  <c r="H80" i="9" a="1"/>
  <c r="H80" i="9" s="1"/>
  <c r="AM80" i="16" s="1"/>
  <c r="H202" i="9" a="1"/>
  <c r="H202" i="9" s="1"/>
  <c r="AM198" i="16" s="1"/>
  <c r="H74" i="9" a="1"/>
  <c r="H74" i="9" s="1"/>
  <c r="AM70" i="16" s="1"/>
  <c r="H114" i="9" a="1"/>
  <c r="H114" i="9" s="1"/>
  <c r="AM110" i="16" s="1"/>
  <c r="H67" i="9" a="1"/>
  <c r="H67" i="9" s="1"/>
  <c r="AM61" i="16" s="1"/>
  <c r="H195" i="9" a="1"/>
  <c r="H195" i="9" s="1"/>
  <c r="AM189" i="16" s="1"/>
  <c r="H35" i="9" a="1"/>
  <c r="H35" i="9" s="1"/>
  <c r="AM29" i="16" s="1"/>
  <c r="H163" i="9" a="1"/>
  <c r="H163" i="9" s="1"/>
  <c r="AM157" i="16" s="1"/>
  <c r="H49" i="9" a="1"/>
  <c r="H49" i="9" s="1"/>
  <c r="AM47" i="16" s="1"/>
  <c r="H177" i="9" a="1"/>
  <c r="H177" i="9" s="1"/>
  <c r="AM175" i="16" s="1"/>
  <c r="H43" i="9" a="1"/>
  <c r="H43" i="9" s="1"/>
  <c r="AM37" i="16" s="1"/>
  <c r="H171" i="9" a="1"/>
  <c r="H171" i="9" s="1"/>
  <c r="AM165" i="16" s="1"/>
  <c r="H124" i="9" a="1"/>
  <c r="H124" i="9" s="1"/>
  <c r="AM124" i="16" s="1"/>
  <c r="H40" i="9" a="1"/>
  <c r="H40" i="9" s="1"/>
  <c r="AM40" i="16" s="1"/>
  <c r="H168" i="9" a="1"/>
  <c r="H168" i="9" s="1"/>
  <c r="AM168" i="16" s="1"/>
  <c r="H75" i="9" a="1"/>
  <c r="H75" i="9" s="1"/>
  <c r="AM69" i="16" s="1"/>
  <c r="H203" i="9" a="1"/>
  <c r="H203" i="9" s="1"/>
  <c r="AM197" i="16" s="1"/>
  <c r="H39" i="9" a="1"/>
  <c r="H39" i="9" s="1"/>
  <c r="AM41" i="16" s="1"/>
  <c r="H167" i="9" a="1"/>
  <c r="H167" i="9" s="1"/>
  <c r="AM169" i="16" s="1"/>
  <c r="H112" i="9" a="1"/>
  <c r="H112" i="9" s="1"/>
  <c r="AM112" i="16" s="1"/>
  <c r="H89" i="9" a="1"/>
  <c r="H89" i="9" s="1"/>
  <c r="AM87" i="16" s="1"/>
  <c r="H129" i="9" a="1"/>
  <c r="H129" i="9" s="1"/>
  <c r="AM127" i="16" s="1"/>
  <c r="H25" i="9" a="1"/>
  <c r="H25" i="9" s="1"/>
  <c r="AM23" i="16" s="1"/>
  <c r="H153" i="9" a="1"/>
  <c r="H153" i="9" s="1"/>
  <c r="AM151" i="16" s="1"/>
  <c r="H60" i="9" a="1"/>
  <c r="H60" i="9" s="1"/>
  <c r="AM60" i="16" s="1"/>
  <c r="H188" i="9" a="1"/>
  <c r="H188" i="9" s="1"/>
  <c r="AM188" i="16" s="1"/>
  <c r="H103" i="9" a="1"/>
  <c r="H103" i="9" s="1"/>
  <c r="AM105" i="16" s="1"/>
  <c r="H107" i="9" a="1"/>
  <c r="H107" i="9" s="1"/>
  <c r="AM101" i="16" s="1"/>
  <c r="H194" i="9" a="1"/>
  <c r="H194" i="9" s="1"/>
  <c r="AM190" i="16" s="1"/>
  <c r="H66" i="9" a="1"/>
  <c r="H66" i="9" s="1"/>
  <c r="AM62" i="16" s="1"/>
  <c r="H128" i="9" a="1"/>
  <c r="H128" i="9" s="1"/>
  <c r="AM128" i="16" s="1"/>
  <c r="H13" i="9" a="1"/>
  <c r="H13" i="9" s="1"/>
  <c r="AM19" i="16" s="1"/>
  <c r="H141" i="9" a="1"/>
  <c r="H141" i="9" s="1"/>
  <c r="AM147" i="16" s="1"/>
  <c r="H19" i="9" a="1"/>
  <c r="H19" i="9" s="1"/>
  <c r="AM13" i="16" s="1"/>
  <c r="H147" i="9" a="1"/>
  <c r="H147" i="9" s="1"/>
  <c r="AM141" i="16" s="1"/>
  <c r="H76" i="9" a="1"/>
  <c r="H76" i="9" s="1"/>
  <c r="AM76" i="16" s="1"/>
  <c r="H204" i="9" a="1"/>
  <c r="H204" i="9" s="1"/>
  <c r="AM204" i="16" s="1"/>
  <c r="H119" i="9" a="1"/>
  <c r="H119" i="9" s="1"/>
  <c r="AM121" i="16" s="1"/>
  <c r="H193" i="9" a="1"/>
  <c r="H193" i="9" s="1"/>
  <c r="AM191" i="16" s="1"/>
  <c r="H65" i="9" a="1"/>
  <c r="H65" i="9" s="1"/>
  <c r="AM63" i="16" s="1"/>
  <c r="H82" i="9" a="1"/>
  <c r="H82" i="9" s="1"/>
  <c r="AM78" i="16" s="1"/>
  <c r="H44" i="9" a="1"/>
  <c r="H44" i="9" s="1"/>
  <c r="AM44" i="16" s="1"/>
  <c r="H172" i="9" a="1"/>
  <c r="H172" i="9" s="1"/>
  <c r="AM172" i="16" s="1"/>
  <c r="H125" i="9" a="1"/>
  <c r="H125" i="9" s="1"/>
  <c r="AM131" i="16" s="1"/>
  <c r="H110" i="9" a="1"/>
  <c r="H110" i="9" s="1"/>
  <c r="AM114" i="16" s="1"/>
  <c r="H63" i="9" a="1"/>
  <c r="H63" i="9" s="1"/>
  <c r="AM65" i="16" s="1"/>
  <c r="H191" i="9" a="1"/>
  <c r="H191" i="9" s="1"/>
  <c r="AM193" i="16" s="1"/>
  <c r="H97" i="9" a="1"/>
  <c r="H97" i="9" s="1"/>
  <c r="AM95" i="16" s="1"/>
  <c r="H90" i="9" a="1"/>
  <c r="H90" i="9" s="1"/>
  <c r="AM86" i="16" s="1"/>
  <c r="H130" i="9" a="1"/>
  <c r="H130" i="9" s="1"/>
  <c r="AM126" i="16" s="1"/>
  <c r="H21" i="9" a="1"/>
  <c r="H21" i="9" s="1"/>
  <c r="AM27" i="16" s="1"/>
  <c r="H149" i="9" a="1"/>
  <c r="H149" i="9" s="1"/>
  <c r="AM155" i="16" s="1"/>
  <c r="H51" i="9" a="1"/>
  <c r="H51" i="9" s="1"/>
  <c r="AM45" i="16" s="1"/>
  <c r="H179" i="9" a="1"/>
  <c r="H179" i="9" s="1"/>
  <c r="AM173" i="16" s="1"/>
  <c r="H143" i="9" a="1"/>
  <c r="H143" i="9" s="1"/>
  <c r="AM145" i="16" s="1"/>
  <c r="H15" i="9" a="1"/>
  <c r="H15" i="9" s="1"/>
  <c r="AM17" i="16" s="1"/>
  <c r="H166" i="9" a="1"/>
  <c r="H166" i="9" s="1"/>
  <c r="AM170" i="16" s="1"/>
  <c r="H38" i="9" a="1"/>
  <c r="H38" i="9" s="1"/>
  <c r="AM42" i="16" s="1"/>
  <c r="H56" i="9" a="1"/>
  <c r="H56" i="9" s="1"/>
  <c r="AM56" i="16" s="1"/>
  <c r="H184" i="9" a="1"/>
  <c r="H184" i="9" s="1"/>
  <c r="AM184" i="16" s="1"/>
  <c r="H91" i="9" a="1"/>
  <c r="H91" i="9" s="1"/>
  <c r="AM85" i="16" s="1"/>
  <c r="H198" i="9" a="1"/>
  <c r="H198" i="9" s="1"/>
  <c r="AM202" i="16" s="1"/>
  <c r="H70" i="9" a="1"/>
  <c r="H70" i="9" s="1"/>
  <c r="AM74" i="16" s="1"/>
  <c r="H83" i="9" a="1"/>
  <c r="H83" i="9" s="1"/>
  <c r="AM77" i="16" s="1"/>
  <c r="H106" i="9" a="1"/>
  <c r="H106" i="9" s="1"/>
  <c r="AM102" i="16" s="1"/>
  <c r="H186" i="9" a="1"/>
  <c r="H186" i="9" s="1"/>
  <c r="AM182" i="16" s="1"/>
  <c r="H58" i="9" a="1"/>
  <c r="H58" i="9" s="1"/>
  <c r="AM54" i="16" s="1"/>
  <c r="H45" i="9" a="1"/>
  <c r="H45" i="9" s="1"/>
  <c r="AM51" i="16" s="1"/>
  <c r="H173" i="9" a="1"/>
  <c r="H173" i="9" s="1"/>
  <c r="AM179" i="16" s="1"/>
  <c r="H53" i="9" a="1"/>
  <c r="H53" i="9" s="1"/>
  <c r="AM59" i="16" s="1"/>
  <c r="H181" i="9" a="1"/>
  <c r="H181" i="9" s="1"/>
  <c r="AM187" i="16" s="1"/>
  <c r="H123" i="9" a="1"/>
  <c r="H123" i="9" s="1"/>
  <c r="AM117" i="16" s="1"/>
  <c r="H72" i="9" a="1"/>
  <c r="H72" i="9" s="1"/>
  <c r="AM72" i="16" s="1"/>
  <c r="H200" i="9" a="1"/>
  <c r="H200" i="9" s="1"/>
  <c r="AM200" i="16" s="1"/>
  <c r="H178" i="9" a="1"/>
  <c r="H178" i="9" s="1"/>
  <c r="AM174" i="16" s="1"/>
  <c r="H50" i="9" a="1"/>
  <c r="H50" i="9" s="1"/>
  <c r="AM46" i="16" s="1"/>
  <c r="H92" i="9" a="1"/>
  <c r="H92" i="9" s="1"/>
  <c r="AM92" i="16" s="1"/>
  <c r="H93" i="9" a="1"/>
  <c r="H93" i="9" s="1"/>
  <c r="AM99" i="16" s="1"/>
  <c r="H98" i="9" a="1"/>
  <c r="H98" i="9" s="1"/>
  <c r="AM94" i="16" s="1"/>
  <c r="H29" i="9" a="1"/>
  <c r="H29" i="9" s="1"/>
  <c r="AM35" i="16" s="1"/>
  <c r="H157" i="9" a="1"/>
  <c r="H157" i="9" s="1"/>
  <c r="AM163" i="16" s="1"/>
  <c r="H100" i="9" a="1"/>
  <c r="H100" i="9" s="1"/>
  <c r="AM100" i="16" s="1"/>
  <c r="H47" i="9" a="1"/>
  <c r="H47" i="9" s="1"/>
  <c r="AM49" i="16" s="1"/>
  <c r="H175" i="9" a="1"/>
  <c r="H175" i="9" s="1"/>
  <c r="AM177" i="16" s="1"/>
  <c r="H126" i="9" a="1"/>
  <c r="H126" i="9" s="1"/>
  <c r="AM130" i="16" s="1"/>
  <c r="H79" i="9" a="1"/>
  <c r="H79" i="9" s="1"/>
  <c r="AM81" i="16" s="1"/>
  <c r="H41" i="9" a="1"/>
  <c r="H41" i="9" s="1"/>
  <c r="AM39" i="16" s="1"/>
  <c r="H169" i="9" a="1"/>
  <c r="H169" i="9" s="1"/>
  <c r="AM167" i="16" s="1"/>
  <c r="H48" i="9" a="1"/>
  <c r="H48" i="9" s="1"/>
  <c r="AM48" i="16" s="1"/>
  <c r="H176" i="9" a="1"/>
  <c r="H176" i="9" s="1"/>
  <c r="AM176" i="16" s="1"/>
  <c r="H88" i="9" a="1"/>
  <c r="H88" i="9" s="1"/>
  <c r="AM88" i="16" s="1"/>
  <c r="H37" i="9" a="1"/>
  <c r="H37" i="9" s="1"/>
  <c r="AM43" i="16" s="1"/>
  <c r="H165" i="9" a="1"/>
  <c r="H165" i="9" s="1"/>
  <c r="AM171" i="16" s="1"/>
  <c r="H150" i="9" a="1"/>
  <c r="H150" i="9" s="1"/>
  <c r="AM154" i="16" s="1"/>
  <c r="H22" i="9" a="1"/>
  <c r="H22" i="9" s="1"/>
  <c r="AM26" i="16" s="1"/>
  <c r="H16" i="9" a="1"/>
  <c r="H16" i="9" s="1"/>
  <c r="AM16" i="16" s="1"/>
  <c r="H144" i="9" a="1"/>
  <c r="H144" i="9" s="1"/>
  <c r="AM144" i="16" s="1"/>
  <c r="H154" i="9" a="1"/>
  <c r="H154" i="9" s="1"/>
  <c r="AM150" i="16" s="1"/>
  <c r="H26" i="9" a="1"/>
  <c r="H26" i="9" s="1"/>
  <c r="AM22" i="16" s="1"/>
  <c r="H182" i="9" a="1"/>
  <c r="H182" i="9" s="1"/>
  <c r="AM186" i="16" s="1"/>
  <c r="H54" i="9" a="1"/>
  <c r="H54" i="9" s="1"/>
  <c r="AM58" i="16" s="1"/>
  <c r="H190" i="9" a="1"/>
  <c r="H190" i="9" s="1"/>
  <c r="AM194" i="16" s="1"/>
  <c r="H62" i="9" a="1"/>
  <c r="H62" i="9" s="1"/>
  <c r="AM66" i="16" s="1"/>
  <c r="H101" i="9" a="1"/>
  <c r="H101" i="9" s="1"/>
  <c r="AM107" i="16" s="1"/>
  <c r="H59" i="9" a="1"/>
  <c r="H59" i="9" s="1"/>
  <c r="AM53" i="16" s="1"/>
  <c r="H187" i="9" a="1"/>
  <c r="H187" i="9" s="1"/>
  <c r="AM181" i="16" s="1"/>
  <c r="H99" i="9" a="1"/>
  <c r="H99" i="9" s="1"/>
  <c r="AM93" i="16" s="1"/>
  <c r="H122" i="9" a="1"/>
  <c r="H122" i="9" s="1"/>
  <c r="AM118" i="16" s="1"/>
  <c r="H142" i="9" a="1"/>
  <c r="H142" i="9" s="1"/>
  <c r="AM146" i="16" s="1"/>
  <c r="H14" i="9" a="1"/>
  <c r="H14" i="9" s="1"/>
  <c r="AM18" i="16" s="1"/>
  <c r="H146" i="9" a="1"/>
  <c r="H146" i="9" s="1"/>
  <c r="AM142" i="16" s="1"/>
  <c r="H18" i="9" a="1"/>
  <c r="H18" i="9" s="1"/>
  <c r="AM14" i="16" s="1"/>
  <c r="H31" i="9" a="1"/>
  <c r="H31" i="9" s="1"/>
  <c r="AM33" i="16" s="1"/>
  <c r="H159" i="9" a="1"/>
  <c r="H159" i="9" s="1"/>
  <c r="AM161" i="16" s="1"/>
  <c r="H94" i="9" a="1"/>
  <c r="H94" i="9" s="1"/>
  <c r="AM98" i="16" s="1"/>
  <c r="H197" i="9" a="1"/>
  <c r="H197" i="9" s="1"/>
  <c r="AM203" i="16" s="1"/>
  <c r="H69" i="9" a="1"/>
  <c r="H69" i="9" s="1"/>
  <c r="AM75" i="16" s="1"/>
  <c r="H174" i="9" a="1"/>
  <c r="H174" i="9" s="1"/>
  <c r="AM178" i="16" s="1"/>
  <c r="H46" i="9" a="1"/>
  <c r="H46" i="9" s="1"/>
  <c r="AM50" i="16" s="1"/>
  <c r="H105" i="9" a="1"/>
  <c r="H105" i="9" s="1"/>
  <c r="AM103" i="16" s="1"/>
  <c r="H115" i="9" a="1"/>
  <c r="H115" i="9" s="1"/>
  <c r="AM109" i="16" s="1"/>
  <c r="H36" i="9" a="1"/>
  <c r="H36" i="9" s="1"/>
  <c r="AM36" i="16" s="1"/>
  <c r="H164" i="9" a="1"/>
  <c r="H164" i="9" s="1"/>
  <c r="AM164" i="16" s="1"/>
  <c r="H102" i="9" a="1"/>
  <c r="H102" i="9" s="1"/>
  <c r="AM106" i="16" s="1"/>
  <c r="H95" i="9" a="1"/>
  <c r="H95" i="9" s="1"/>
  <c r="AM97" i="16" s="1"/>
  <c r="H120" i="9" a="1"/>
  <c r="H120" i="9" s="1"/>
  <c r="AM120" i="16" s="1"/>
  <c r="H23" i="9" a="1"/>
  <c r="H23" i="9" s="1"/>
  <c r="AM25" i="16" s="1"/>
  <c r="H151" i="9" a="1"/>
  <c r="H151" i="9" s="1"/>
  <c r="AM153" i="16" s="1"/>
  <c r="H116" i="9" a="1"/>
  <c r="H116" i="9" s="1"/>
  <c r="AM116" i="16" s="1"/>
  <c r="H55" i="9" a="1"/>
  <c r="H55" i="9" s="1"/>
  <c r="AM57" i="16" s="1"/>
  <c r="H183" i="9" a="1"/>
  <c r="H183" i="9" s="1"/>
  <c r="AM185" i="16" s="1"/>
  <c r="H111" i="9" a="1"/>
  <c r="H111" i="9" s="1"/>
  <c r="AM113" i="16" s="1"/>
  <c r="H64" i="9" a="1"/>
  <c r="H64" i="9" s="1"/>
  <c r="AM64" i="16" s="1"/>
  <c r="H192" i="9" a="1"/>
  <c r="H192" i="9" s="1"/>
  <c r="AM192" i="16" s="1"/>
  <c r="H185" i="9" a="1"/>
  <c r="H185" i="9" s="1"/>
  <c r="AM183" i="16" s="1"/>
  <c r="H57" i="9" a="1"/>
  <c r="H57" i="9" s="1"/>
  <c r="AM55" i="16" s="1"/>
  <c r="H81" i="9" a="1"/>
  <c r="H81" i="9" s="1"/>
  <c r="AM79" i="16" s="1"/>
  <c r="H104" i="9" a="1"/>
  <c r="H104" i="9" s="1"/>
  <c r="AM104" i="16" s="1"/>
  <c r="H32" i="9" a="1"/>
  <c r="H32" i="9" s="1"/>
  <c r="AM32" i="16" s="1"/>
  <c r="H160" i="9" a="1"/>
  <c r="H160" i="9" s="1"/>
  <c r="AM160" i="16" s="1"/>
  <c r="H33" i="9" a="1"/>
  <c r="H33" i="9" s="1"/>
  <c r="AM31" i="16" s="1"/>
  <c r="H161" i="9" a="1"/>
  <c r="H161" i="9" s="1"/>
  <c r="AM159" i="16" s="1"/>
  <c r="H27" i="9" a="1"/>
  <c r="H27" i="9" s="1"/>
  <c r="AM21" i="16" s="1"/>
  <c r="H155" i="9" a="1"/>
  <c r="H155" i="9" s="1"/>
  <c r="AM149" i="16" s="1"/>
  <c r="H108" i="9" a="1"/>
  <c r="H108" i="9" s="1"/>
  <c r="AM108" i="16" s="1"/>
  <c r="H71" i="9" a="1"/>
  <c r="H71" i="9" s="1"/>
  <c r="AM73" i="16" s="1"/>
  <c r="H199" i="9" a="1"/>
  <c r="H199" i="9" s="1"/>
  <c r="AM201" i="16" s="1"/>
  <c r="H78" i="9" a="1"/>
  <c r="H78" i="9" s="1"/>
  <c r="AM82" i="16" s="1"/>
  <c r="H117" i="9" a="1"/>
  <c r="H117" i="9" s="1"/>
  <c r="AM123" i="16" s="1"/>
  <c r="H96" i="9" a="1"/>
  <c r="H96" i="9" s="1"/>
  <c r="AM96" i="16" s="1"/>
  <c r="H201" i="9" a="1"/>
  <c r="H201" i="9" s="1"/>
  <c r="AM199" i="16" s="1"/>
  <c r="H73" i="9" a="1"/>
  <c r="H73" i="9" s="1"/>
  <c r="AM71" i="16" s="1"/>
  <c r="H113" i="9" a="1"/>
  <c r="H113" i="9" s="1"/>
  <c r="AM111" i="16" s="1"/>
  <c r="H158" i="9" a="1"/>
  <c r="H158" i="9" s="1"/>
  <c r="AM162" i="16" s="1"/>
  <c r="H30" i="9" a="1"/>
  <c r="H30" i="9" s="1"/>
  <c r="AM34" i="16" s="1"/>
  <c r="H162" i="9" a="1"/>
  <c r="H162" i="9" s="1"/>
  <c r="AM158" i="16" s="1"/>
  <c r="H34" i="9" a="1"/>
  <c r="H34" i="9" s="1"/>
  <c r="AM30" i="16" s="1"/>
  <c r="H87" i="9" a="1"/>
  <c r="H87" i="9" s="1"/>
  <c r="AM89" i="16" s="1"/>
  <c r="H86" i="9" a="1"/>
  <c r="H86" i="9" s="1"/>
  <c r="AM90" i="16" s="1"/>
  <c r="H189" i="9" a="1"/>
  <c r="H189" i="9" s="1"/>
  <c r="AM195" i="16" s="1"/>
  <c r="H61" i="9" a="1"/>
  <c r="H61" i="9" s="1"/>
  <c r="AM67" i="16" s="1"/>
  <c r="H121" i="9" a="1"/>
  <c r="H121" i="9" s="1"/>
  <c r="AM119" i="16" s="1"/>
  <c r="H131" i="9" a="1"/>
  <c r="H131" i="9" s="1"/>
  <c r="AM125" i="16" s="1"/>
  <c r="H24" i="9" a="1"/>
  <c r="H24" i="9" s="1"/>
  <c r="AM24" i="16" s="1"/>
  <c r="H152" i="9" a="1"/>
  <c r="H152" i="9" s="1"/>
  <c r="AM152" i="16" s="1"/>
  <c r="H52" i="9" a="1"/>
  <c r="H52" i="9" s="1"/>
  <c r="AM52" i="16" s="1"/>
  <c r="H180" i="9" a="1"/>
  <c r="H180" i="9" s="1"/>
  <c r="AM180" i="16" s="1"/>
  <c r="H118" i="9" a="1"/>
  <c r="H118" i="9" s="1"/>
  <c r="AM122" i="16" s="1"/>
  <c r="H85" i="9" a="1"/>
  <c r="H85" i="9" s="1"/>
  <c r="AM91" i="16" s="1"/>
  <c r="H170" i="9" a="1"/>
  <c r="H170" i="9" s="1"/>
  <c r="AM166" i="16" s="1"/>
  <c r="H42" i="9" a="1"/>
  <c r="H42" i="9" s="1"/>
  <c r="AM38" i="16" s="1"/>
  <c r="H17" i="9" a="1"/>
  <c r="H17" i="9" s="1"/>
  <c r="AM15" i="16" s="1"/>
  <c r="H145" i="9" a="1"/>
  <c r="H145" i="9" s="1"/>
  <c r="AM143" i="16" s="1"/>
  <c r="H6" i="9" a="1"/>
  <c r="H6" i="9" s="1"/>
  <c r="AM10" i="16" s="1"/>
  <c r="H134" i="9" a="1"/>
  <c r="H134" i="9" s="1"/>
  <c r="AM138" i="16" s="1"/>
  <c r="H9" i="9" a="1"/>
  <c r="H9" i="9" s="1"/>
  <c r="AM7" i="16" s="1"/>
  <c r="H137" i="9" a="1"/>
  <c r="H137" i="9" s="1"/>
  <c r="AM135" i="16" s="1"/>
  <c r="H11" i="9" a="1"/>
  <c r="H11" i="9" s="1"/>
  <c r="AM5" i="16" s="1"/>
  <c r="H139" i="9" a="1"/>
  <c r="H139" i="9" s="1"/>
  <c r="AM133" i="16" s="1"/>
  <c r="H136" i="9" a="1"/>
  <c r="H136" i="9" s="1"/>
  <c r="AM136" i="16" s="1"/>
  <c r="H8" i="9" a="1"/>
  <c r="H8" i="9" s="1"/>
  <c r="AM8" i="16" s="1"/>
  <c r="H135" i="9" a="1"/>
  <c r="H135" i="9" s="1"/>
  <c r="AM137" i="16" s="1"/>
  <c r="H7" i="9" a="1"/>
  <c r="H7" i="9" s="1"/>
  <c r="AM9" i="16" s="1"/>
  <c r="H10" i="9" a="1"/>
  <c r="H10" i="9" s="1"/>
  <c r="AM6" i="16" s="1"/>
  <c r="H138" i="9" a="1"/>
  <c r="H138" i="9" s="1"/>
  <c r="AM134" i="16" s="1"/>
  <c r="H5" i="9" a="1"/>
  <c r="H5" i="9" s="1"/>
  <c r="AM11" i="16" s="1"/>
  <c r="H133" i="9" a="1"/>
  <c r="H133" i="9" s="1"/>
  <c r="AM139" i="16" s="1"/>
  <c r="H124" i="16" l="1"/>
  <c r="AB124" i="16" s="1"/>
  <c r="AC124" i="16" s="1"/>
  <c r="AD124" i="16" s="1"/>
  <c r="H36" i="16"/>
  <c r="AB36" i="16" s="1"/>
  <c r="AC36" i="16" s="1"/>
  <c r="AD36" i="16" s="1"/>
  <c r="H28" i="16"/>
  <c r="AB28" i="16" s="1"/>
  <c r="AC28" i="16" s="1"/>
  <c r="AD28" i="16" s="1"/>
  <c r="H44" i="16"/>
  <c r="AB44" i="16" s="1"/>
  <c r="AC44" i="16" s="1"/>
  <c r="AD44" i="16" s="1"/>
  <c r="H204" i="16"/>
  <c r="AB204" i="16" s="1"/>
  <c r="AC204" i="16" s="1"/>
  <c r="AD204" i="16" s="1"/>
  <c r="H164" i="16"/>
  <c r="AB164" i="16" s="1"/>
  <c r="AC164" i="16" s="1"/>
  <c r="AD164" i="16" s="1"/>
  <c r="H92" i="16"/>
  <c r="AB92" i="16" s="1"/>
  <c r="AC92" i="16" s="1"/>
  <c r="AD92" i="16" s="1"/>
  <c r="H100" i="16"/>
  <c r="AB100" i="16" s="1"/>
  <c r="AC100" i="16" s="1"/>
  <c r="AD100" i="16" s="1"/>
  <c r="H153" i="16"/>
  <c r="AB153" i="16" s="1"/>
  <c r="AC153" i="16" s="1"/>
  <c r="AD153" i="16" s="1"/>
  <c r="H137" i="16"/>
  <c r="AB137" i="16" s="1"/>
  <c r="AC137" i="16" s="1"/>
  <c r="AD137" i="16" s="1"/>
  <c r="H169" i="16"/>
  <c r="AB169" i="16" s="1"/>
  <c r="AC169" i="16" s="1"/>
  <c r="AD169" i="16" s="1"/>
  <c r="H185" i="16"/>
  <c r="AB185" i="16" s="1"/>
  <c r="AC185" i="16" s="1"/>
  <c r="AD185" i="16" s="1"/>
  <c r="H145" i="16"/>
  <c r="AB145" i="16" s="1"/>
  <c r="AC145" i="16" s="1"/>
  <c r="AD145" i="16" s="1"/>
  <c r="H161" i="16"/>
  <c r="AB161" i="16" s="1"/>
  <c r="AC161" i="16" s="1"/>
  <c r="AD161" i="16" s="1"/>
  <c r="H193" i="16"/>
  <c r="AB193" i="16" s="1"/>
  <c r="AC193" i="16" s="1"/>
  <c r="AD193" i="16" s="1"/>
  <c r="H201" i="16"/>
  <c r="AB201" i="16" s="1"/>
  <c r="AC201" i="16" s="1"/>
  <c r="AD201" i="16" s="1"/>
  <c r="H177" i="16"/>
  <c r="AB177" i="16" s="1"/>
  <c r="AC177" i="16" s="1"/>
  <c r="AD177" i="16" s="1"/>
  <c r="H64" i="16"/>
  <c r="AB64" i="16" s="1"/>
  <c r="AC64" i="16" s="1"/>
  <c r="AD64" i="16" s="1"/>
  <c r="H48" i="16"/>
  <c r="AB48" i="16" s="1"/>
  <c r="AC48" i="16" s="1"/>
  <c r="AD48" i="16" s="1"/>
  <c r="H96" i="16"/>
  <c r="AB96" i="16" s="1"/>
  <c r="AC96" i="16" s="1"/>
  <c r="AD96" i="16" s="1"/>
  <c r="H16" i="16"/>
  <c r="AB16" i="16" s="1"/>
  <c r="AC16" i="16" s="1"/>
  <c r="AD16" i="16" s="1"/>
  <c r="H24" i="16"/>
  <c r="AB24" i="16" s="1"/>
  <c r="AC24" i="16" s="1"/>
  <c r="AD24" i="16" s="1"/>
  <c r="H8" i="16"/>
  <c r="AB8" i="16" s="1"/>
  <c r="AC8" i="16" s="1"/>
  <c r="AD8" i="16" s="1"/>
  <c r="H88" i="16"/>
  <c r="AB88" i="16" s="1"/>
  <c r="AC88" i="16" s="1"/>
  <c r="AD88" i="16" s="1"/>
  <c r="H72" i="16"/>
  <c r="AB72" i="16" s="1"/>
  <c r="AC72" i="16" s="1"/>
  <c r="AD72" i="16" s="1"/>
  <c r="H32" i="16"/>
  <c r="AB32" i="16" s="1"/>
  <c r="AC32" i="16" s="1"/>
  <c r="AD32" i="16" s="1"/>
  <c r="H112" i="16"/>
  <c r="AB112" i="16" s="1"/>
  <c r="AC112" i="16" s="1"/>
  <c r="AD112" i="16" s="1"/>
  <c r="H120" i="16"/>
  <c r="AB120" i="16" s="1"/>
  <c r="AC120" i="16" s="1"/>
  <c r="AD120" i="16" s="1"/>
  <c r="H56" i="16"/>
  <c r="AB56" i="16" s="1"/>
  <c r="AC56" i="16" s="1"/>
  <c r="AD56" i="16" s="1"/>
  <c r="H80" i="16"/>
  <c r="AB80" i="16" s="1"/>
  <c r="AC80" i="16" s="1"/>
  <c r="AD80" i="16" s="1"/>
  <c r="H40" i="16"/>
  <c r="AB40" i="16" s="1"/>
  <c r="AC40" i="16" s="1"/>
  <c r="AD40" i="16" s="1"/>
  <c r="H104" i="16"/>
  <c r="AB104" i="16" s="1"/>
  <c r="AC104" i="16" s="1"/>
  <c r="AD104" i="16" s="1"/>
  <c r="H128" i="16"/>
  <c r="AB128" i="16" s="1"/>
  <c r="AC128" i="16" s="1"/>
  <c r="AD128" i="16" s="1"/>
  <c r="H141" i="16"/>
  <c r="AB141" i="16" s="1"/>
  <c r="AC141" i="16" s="1"/>
  <c r="AD141" i="16" s="1"/>
  <c r="H133" i="16"/>
  <c r="AB133" i="16" s="1"/>
  <c r="AC133" i="16" s="1"/>
  <c r="AD133" i="16" s="1"/>
  <c r="H157" i="16"/>
  <c r="AB157" i="16" s="1"/>
  <c r="AC157" i="16" s="1"/>
  <c r="AD157" i="16" s="1"/>
  <c r="H149" i="16"/>
  <c r="AB149" i="16" s="1"/>
  <c r="AC149" i="16" s="1"/>
  <c r="AD149" i="16" s="1"/>
  <c r="H165" i="16"/>
  <c r="AB165" i="16" s="1"/>
  <c r="AC165" i="16" s="1"/>
  <c r="AD165" i="16" s="1"/>
  <c r="H173" i="16"/>
  <c r="AB173" i="16" s="1"/>
  <c r="AC173" i="16" s="1"/>
  <c r="AD173" i="16" s="1"/>
  <c r="H181" i="16"/>
  <c r="AB181" i="16" s="1"/>
  <c r="AC181" i="16" s="1"/>
  <c r="AD181" i="16" s="1"/>
  <c r="H189" i="16"/>
  <c r="AB189" i="16" s="1"/>
  <c r="AC189" i="16" s="1"/>
  <c r="AD189" i="16" s="1"/>
  <c r="H197" i="16"/>
  <c r="AB197" i="16" s="1"/>
  <c r="AC197" i="16" s="1"/>
  <c r="AD197" i="16" s="1"/>
  <c r="H180" i="16"/>
  <c r="AB180" i="16" s="1"/>
  <c r="AC180" i="16" s="1"/>
  <c r="AD180" i="16" s="1"/>
  <c r="H132" i="16"/>
  <c r="AB132" i="16" s="1"/>
  <c r="AC132" i="16" s="1"/>
  <c r="AD132" i="16" s="1"/>
  <c r="H76" i="16"/>
  <c r="AB76" i="16" s="1"/>
  <c r="AC76" i="16" s="1"/>
  <c r="AD76" i="16" s="1"/>
  <c r="H58" i="16"/>
  <c r="AB58" i="16" s="1"/>
  <c r="AC58" i="16" s="1"/>
  <c r="AD58" i="16" s="1"/>
  <c r="H90" i="16"/>
  <c r="AB90" i="16" s="1"/>
  <c r="AC90" i="16" s="1"/>
  <c r="AD90" i="16" s="1"/>
  <c r="H82" i="16"/>
  <c r="AB82" i="16" s="1"/>
  <c r="AC82" i="16" s="1"/>
  <c r="AD82" i="16" s="1"/>
  <c r="H18" i="16"/>
  <c r="AB18" i="16" s="1"/>
  <c r="AC18" i="16" s="1"/>
  <c r="AD18" i="16" s="1"/>
  <c r="H26" i="16"/>
  <c r="AB26" i="16" s="1"/>
  <c r="AC26" i="16" s="1"/>
  <c r="AD26" i="16" s="1"/>
  <c r="H10" i="16"/>
  <c r="AB10" i="16" s="1"/>
  <c r="AC10" i="16" s="1"/>
  <c r="AD10" i="16" s="1"/>
  <c r="H98" i="16"/>
  <c r="AB98" i="16" s="1"/>
  <c r="AC98" i="16" s="1"/>
  <c r="AD98" i="16" s="1"/>
  <c r="H122" i="16"/>
  <c r="AB122" i="16" s="1"/>
  <c r="AC122" i="16" s="1"/>
  <c r="AD122" i="16" s="1"/>
  <c r="H66" i="16"/>
  <c r="AB66" i="16" s="1"/>
  <c r="AC66" i="16" s="1"/>
  <c r="AD66" i="16" s="1"/>
  <c r="H106" i="16"/>
  <c r="AB106" i="16" s="1"/>
  <c r="AC106" i="16" s="1"/>
  <c r="AD106" i="16" s="1"/>
  <c r="H130" i="16"/>
  <c r="AB130" i="16" s="1"/>
  <c r="AC130" i="16" s="1"/>
  <c r="AD130" i="16" s="1"/>
  <c r="H114" i="16"/>
  <c r="AB114" i="16" s="1"/>
  <c r="AC114" i="16" s="1"/>
  <c r="AD114" i="16" s="1"/>
  <c r="H74" i="16"/>
  <c r="AB74" i="16" s="1"/>
  <c r="AC74" i="16" s="1"/>
  <c r="AD74" i="16" s="1"/>
  <c r="H42" i="16"/>
  <c r="AB42" i="16" s="1"/>
  <c r="AC42" i="16" s="1"/>
  <c r="AD42" i="16" s="1"/>
  <c r="H34" i="16"/>
  <c r="AB34" i="16" s="1"/>
  <c r="AC34" i="16" s="1"/>
  <c r="AD34" i="16" s="1"/>
  <c r="H50" i="16"/>
  <c r="AB50" i="16" s="1"/>
  <c r="AC50" i="16" s="1"/>
  <c r="AD50" i="16" s="1"/>
  <c r="H192" i="16"/>
  <c r="AB192" i="16" s="1"/>
  <c r="AC192" i="16" s="1"/>
  <c r="AD192" i="16" s="1"/>
  <c r="H136" i="16"/>
  <c r="AB136" i="16" s="1"/>
  <c r="AC136" i="16" s="1"/>
  <c r="AD136" i="16" s="1"/>
  <c r="H184" i="16"/>
  <c r="AB184" i="16" s="1"/>
  <c r="AC184" i="16" s="1"/>
  <c r="AD184" i="16" s="1"/>
  <c r="H144" i="16"/>
  <c r="AB144" i="16" s="1"/>
  <c r="AC144" i="16" s="1"/>
  <c r="AD144" i="16" s="1"/>
  <c r="H168" i="16"/>
  <c r="AB168" i="16" s="1"/>
  <c r="AC168" i="16" s="1"/>
  <c r="AD168" i="16" s="1"/>
  <c r="H152" i="16"/>
  <c r="AB152" i="16" s="1"/>
  <c r="AC152" i="16" s="1"/>
  <c r="AD152" i="16" s="1"/>
  <c r="H160" i="16"/>
  <c r="AB160" i="16" s="1"/>
  <c r="AC160" i="16" s="1"/>
  <c r="AD160" i="16" s="1"/>
  <c r="H176" i="16"/>
  <c r="AB176" i="16" s="1"/>
  <c r="AC176" i="16" s="1"/>
  <c r="AD176" i="16" s="1"/>
  <c r="H200" i="16"/>
  <c r="AB200" i="16" s="1"/>
  <c r="AC200" i="16" s="1"/>
  <c r="AD200" i="16" s="1"/>
  <c r="H29" i="16"/>
  <c r="AB29" i="16" s="1"/>
  <c r="AC29" i="16" s="1"/>
  <c r="AD29" i="16" s="1"/>
  <c r="H13" i="16"/>
  <c r="AB13" i="16" s="1"/>
  <c r="AC13" i="16" s="1"/>
  <c r="AD13" i="16" s="1"/>
  <c r="H5" i="16"/>
  <c r="AB5" i="16" s="1"/>
  <c r="AC5" i="16" s="1"/>
  <c r="AD5" i="16" s="1"/>
  <c r="H93" i="16"/>
  <c r="AB93" i="16" s="1"/>
  <c r="AC93" i="16" s="1"/>
  <c r="AD93" i="16" s="1"/>
  <c r="H45" i="16"/>
  <c r="AB45" i="16" s="1"/>
  <c r="AC45" i="16" s="1"/>
  <c r="AD45" i="16" s="1"/>
  <c r="H37" i="16"/>
  <c r="AB37" i="16" s="1"/>
  <c r="AC37" i="16" s="1"/>
  <c r="AD37" i="16" s="1"/>
  <c r="H21" i="16"/>
  <c r="AB21" i="16" s="1"/>
  <c r="AC21" i="16" s="1"/>
  <c r="AD21" i="16" s="1"/>
  <c r="H109" i="16"/>
  <c r="AB109" i="16" s="1"/>
  <c r="AC109" i="16" s="1"/>
  <c r="AD109" i="16" s="1"/>
  <c r="H69" i="16"/>
  <c r="AB69" i="16" s="1"/>
  <c r="AC69" i="16" s="1"/>
  <c r="AD69" i="16" s="1"/>
  <c r="H101" i="16"/>
  <c r="AB101" i="16" s="1"/>
  <c r="AC101" i="16" s="1"/>
  <c r="AD101" i="16" s="1"/>
  <c r="H85" i="16"/>
  <c r="AB85" i="16" s="1"/>
  <c r="AC85" i="16" s="1"/>
  <c r="AD85" i="16" s="1"/>
  <c r="H77" i="16"/>
  <c r="AB77" i="16" s="1"/>
  <c r="AC77" i="16" s="1"/>
  <c r="AD77" i="16" s="1"/>
  <c r="H53" i="16"/>
  <c r="AB53" i="16" s="1"/>
  <c r="AC53" i="16" s="1"/>
  <c r="AD53" i="16" s="1"/>
  <c r="H61" i="16"/>
  <c r="AB61" i="16" s="1"/>
  <c r="AC61" i="16" s="1"/>
  <c r="AD61" i="16" s="1"/>
  <c r="H125" i="16"/>
  <c r="AB125" i="16" s="1"/>
  <c r="AC125" i="16" s="1"/>
  <c r="AD125" i="16" s="1"/>
  <c r="H117" i="16"/>
  <c r="AB117" i="16" s="1"/>
  <c r="AC117" i="16" s="1"/>
  <c r="AD117" i="16" s="1"/>
  <c r="H84" i="16"/>
  <c r="AB84" i="16" s="1"/>
  <c r="AC84" i="16" s="1"/>
  <c r="AD84" i="16" s="1"/>
  <c r="H171" i="16"/>
  <c r="AB171" i="16" s="1"/>
  <c r="AC171" i="16" s="1"/>
  <c r="AD171" i="16" s="1"/>
  <c r="H163" i="16"/>
  <c r="AB163" i="16" s="1"/>
  <c r="AC163" i="16" s="1"/>
  <c r="AD163" i="16" s="1"/>
  <c r="H187" i="16"/>
  <c r="AB187" i="16" s="1"/>
  <c r="AC187" i="16" s="1"/>
  <c r="AD187" i="16" s="1"/>
  <c r="H195" i="16"/>
  <c r="AB195" i="16" s="1"/>
  <c r="AC195" i="16" s="1"/>
  <c r="AD195" i="16" s="1"/>
  <c r="H179" i="16"/>
  <c r="AB179" i="16" s="1"/>
  <c r="AC179" i="16" s="1"/>
  <c r="AD179" i="16" s="1"/>
  <c r="H139" i="16"/>
  <c r="AB139" i="16" s="1"/>
  <c r="AC139" i="16" s="1"/>
  <c r="AD139" i="16" s="1"/>
  <c r="H155" i="16"/>
  <c r="AB155" i="16" s="1"/>
  <c r="AC155" i="16" s="1"/>
  <c r="AD155" i="16" s="1"/>
  <c r="H147" i="16"/>
  <c r="AB147" i="16" s="1"/>
  <c r="AC147" i="16" s="1"/>
  <c r="AD147" i="16" s="1"/>
  <c r="H203" i="16"/>
  <c r="AB203" i="16" s="1"/>
  <c r="AC203" i="16" s="1"/>
  <c r="AD203" i="16" s="1"/>
  <c r="H27" i="16"/>
  <c r="AB27" i="16" s="1"/>
  <c r="AC27" i="16" s="1"/>
  <c r="AD27" i="16" s="1"/>
  <c r="H75" i="16"/>
  <c r="AB75" i="16" s="1"/>
  <c r="AC75" i="16" s="1"/>
  <c r="AD75" i="16" s="1"/>
  <c r="H11" i="16"/>
  <c r="AB11" i="16" s="1"/>
  <c r="AC11" i="16" s="1"/>
  <c r="AD11" i="16" s="1"/>
  <c r="H131" i="16"/>
  <c r="AB131" i="16" s="1"/>
  <c r="AC131" i="16" s="1"/>
  <c r="AD131" i="16" s="1"/>
  <c r="H51" i="16"/>
  <c r="AB51" i="16" s="1"/>
  <c r="AC51" i="16" s="1"/>
  <c r="AD51" i="16" s="1"/>
  <c r="H19" i="16"/>
  <c r="AB19" i="16" s="1"/>
  <c r="AC19" i="16" s="1"/>
  <c r="AD19" i="16" s="1"/>
  <c r="H35" i="16"/>
  <c r="AB35" i="16" s="1"/>
  <c r="AC35" i="16" s="1"/>
  <c r="AD35" i="16" s="1"/>
  <c r="H43" i="16"/>
  <c r="AB43" i="16" s="1"/>
  <c r="AC43" i="16" s="1"/>
  <c r="AD43" i="16" s="1"/>
  <c r="H83" i="16"/>
  <c r="AB83" i="16" s="1"/>
  <c r="AC83" i="16" s="1"/>
  <c r="AD83" i="16" s="1"/>
  <c r="H123" i="16"/>
  <c r="AB123" i="16" s="1"/>
  <c r="AC123" i="16" s="1"/>
  <c r="AD123" i="16" s="1"/>
  <c r="H99" i="16"/>
  <c r="AB99" i="16" s="1"/>
  <c r="AC99" i="16" s="1"/>
  <c r="AD99" i="16" s="1"/>
  <c r="H91" i="16"/>
  <c r="AB91" i="16" s="1"/>
  <c r="AC91" i="16" s="1"/>
  <c r="AD91" i="16" s="1"/>
  <c r="H115" i="16"/>
  <c r="AB115" i="16" s="1"/>
  <c r="AC115" i="16" s="1"/>
  <c r="AD115" i="16" s="1"/>
  <c r="H107" i="16"/>
  <c r="AB107" i="16" s="1"/>
  <c r="AC107" i="16" s="1"/>
  <c r="AD107" i="16" s="1"/>
  <c r="H59" i="16"/>
  <c r="AB59" i="16" s="1"/>
  <c r="AC59" i="16" s="1"/>
  <c r="AD59" i="16" s="1"/>
  <c r="H67" i="16"/>
  <c r="AB67" i="16" s="1"/>
  <c r="AC67" i="16" s="1"/>
  <c r="AD67" i="16" s="1"/>
  <c r="H166" i="16"/>
  <c r="AB166" i="16" s="1"/>
  <c r="AC166" i="16" s="1"/>
  <c r="AD166" i="16" s="1"/>
  <c r="H150" i="16"/>
  <c r="AB150" i="16" s="1"/>
  <c r="AC150" i="16" s="1"/>
  <c r="AD150" i="16" s="1"/>
  <c r="H158" i="16"/>
  <c r="AB158" i="16" s="1"/>
  <c r="AC158" i="16" s="1"/>
  <c r="AD158" i="16" s="1"/>
  <c r="H134" i="16"/>
  <c r="AB134" i="16" s="1"/>
  <c r="AC134" i="16" s="1"/>
  <c r="AD134" i="16" s="1"/>
  <c r="H198" i="16"/>
  <c r="AB198" i="16" s="1"/>
  <c r="AC198" i="16" s="1"/>
  <c r="AD198" i="16" s="1"/>
  <c r="H182" i="16"/>
  <c r="AB182" i="16" s="1"/>
  <c r="AC182" i="16" s="1"/>
  <c r="AD182" i="16" s="1"/>
  <c r="H142" i="16"/>
  <c r="AB142" i="16" s="1"/>
  <c r="AC142" i="16" s="1"/>
  <c r="AD142" i="16" s="1"/>
  <c r="H190" i="16"/>
  <c r="AB190" i="16" s="1"/>
  <c r="AC190" i="16" s="1"/>
  <c r="AD190" i="16" s="1"/>
  <c r="H174" i="16"/>
  <c r="AB174" i="16" s="1"/>
  <c r="AC174" i="16" s="1"/>
  <c r="AD174" i="16" s="1"/>
  <c r="H199" i="16"/>
  <c r="AB199" i="16" s="1"/>
  <c r="AC199" i="16" s="1"/>
  <c r="AD199" i="16" s="1"/>
  <c r="H135" i="16"/>
  <c r="AB135" i="16" s="1"/>
  <c r="AC135" i="16" s="1"/>
  <c r="AD135" i="16" s="1"/>
  <c r="H151" i="16"/>
  <c r="AB151" i="16" s="1"/>
  <c r="AC151" i="16" s="1"/>
  <c r="AD151" i="16" s="1"/>
  <c r="H167" i="16"/>
  <c r="AB167" i="16" s="1"/>
  <c r="AC167" i="16" s="1"/>
  <c r="AD167" i="16" s="1"/>
  <c r="H183" i="16"/>
  <c r="AB183" i="16" s="1"/>
  <c r="AC183" i="16" s="1"/>
  <c r="AD183" i="16" s="1"/>
  <c r="H175" i="16"/>
  <c r="AB175" i="16" s="1"/>
  <c r="AC175" i="16" s="1"/>
  <c r="AD175" i="16" s="1"/>
  <c r="H159" i="16"/>
  <c r="AB159" i="16" s="1"/>
  <c r="AC159" i="16" s="1"/>
  <c r="AD159" i="16" s="1"/>
  <c r="H143" i="16"/>
  <c r="AB143" i="16" s="1"/>
  <c r="AC143" i="16" s="1"/>
  <c r="AD143" i="16" s="1"/>
  <c r="H191" i="16"/>
  <c r="AB191" i="16" s="1"/>
  <c r="AC191" i="16" s="1"/>
  <c r="AD191" i="16" s="1"/>
  <c r="H108" i="16"/>
  <c r="AB108" i="16" s="1"/>
  <c r="AC108" i="16" s="1"/>
  <c r="AD108" i="16" s="1"/>
  <c r="H68" i="16"/>
  <c r="AB68" i="16" s="1"/>
  <c r="AC68" i="16" s="1"/>
  <c r="AD68" i="16" s="1"/>
  <c r="H102" i="16"/>
  <c r="AB102" i="16" s="1"/>
  <c r="AC102" i="16" s="1"/>
  <c r="AD102" i="16" s="1"/>
  <c r="H54" i="16"/>
  <c r="AB54" i="16" s="1"/>
  <c r="AC54" i="16" s="1"/>
  <c r="AD54" i="16" s="1"/>
  <c r="H38" i="16"/>
  <c r="AB38" i="16" s="1"/>
  <c r="AC38" i="16" s="1"/>
  <c r="AD38" i="16" s="1"/>
  <c r="H14" i="16"/>
  <c r="AB14" i="16" s="1"/>
  <c r="AC14" i="16" s="1"/>
  <c r="AD14" i="16" s="1"/>
  <c r="H6" i="16"/>
  <c r="AB6" i="16" s="1"/>
  <c r="AC6" i="16" s="1"/>
  <c r="AD6" i="16" s="1"/>
  <c r="H30" i="16"/>
  <c r="AB30" i="16" s="1"/>
  <c r="AC30" i="16" s="1"/>
  <c r="AD30" i="16" s="1"/>
  <c r="H62" i="16"/>
  <c r="AB62" i="16" s="1"/>
  <c r="AC62" i="16" s="1"/>
  <c r="AD62" i="16" s="1"/>
  <c r="H22" i="16"/>
  <c r="AB22" i="16" s="1"/>
  <c r="AC22" i="16" s="1"/>
  <c r="AD22" i="16" s="1"/>
  <c r="H78" i="16"/>
  <c r="AB78" i="16" s="1"/>
  <c r="AC78" i="16" s="1"/>
  <c r="AD78" i="16" s="1"/>
  <c r="H86" i="16"/>
  <c r="AB86" i="16" s="1"/>
  <c r="AC86" i="16" s="1"/>
  <c r="AD86" i="16" s="1"/>
  <c r="H46" i="16"/>
  <c r="AB46" i="16" s="1"/>
  <c r="AC46" i="16" s="1"/>
  <c r="AD46" i="16" s="1"/>
  <c r="H94" i="16"/>
  <c r="AB94" i="16" s="1"/>
  <c r="AC94" i="16" s="1"/>
  <c r="AD94" i="16" s="1"/>
  <c r="H118" i="16"/>
  <c r="AB118" i="16" s="1"/>
  <c r="AC118" i="16" s="1"/>
  <c r="AD118" i="16" s="1"/>
  <c r="H70" i="16"/>
  <c r="AB70" i="16" s="1"/>
  <c r="AC70" i="16" s="1"/>
  <c r="AD70" i="16" s="1"/>
  <c r="H126" i="16"/>
  <c r="AB126" i="16" s="1"/>
  <c r="AC126" i="16" s="1"/>
  <c r="AD126" i="16" s="1"/>
  <c r="H110" i="16"/>
  <c r="AB110" i="16" s="1"/>
  <c r="AC110" i="16" s="1"/>
  <c r="AD110" i="16" s="1"/>
  <c r="H7" i="16"/>
  <c r="AB7" i="16" s="1"/>
  <c r="AC7" i="16" s="1"/>
  <c r="AD7" i="16" s="1"/>
  <c r="H103" i="16"/>
  <c r="AB103" i="16" s="1"/>
  <c r="AC103" i="16" s="1"/>
  <c r="AD103" i="16" s="1"/>
  <c r="H39" i="16"/>
  <c r="AB39" i="16" s="1"/>
  <c r="AC39" i="16" s="1"/>
  <c r="AD39" i="16" s="1"/>
  <c r="H15" i="16"/>
  <c r="AB15" i="16" s="1"/>
  <c r="AC15" i="16" s="1"/>
  <c r="AD15" i="16" s="1"/>
  <c r="H95" i="16"/>
  <c r="AB95" i="16" s="1"/>
  <c r="AC95" i="16" s="1"/>
  <c r="AD95" i="16" s="1"/>
  <c r="H47" i="16"/>
  <c r="AB47" i="16" s="1"/>
  <c r="AC47" i="16" s="1"/>
  <c r="AD47" i="16" s="1"/>
  <c r="H31" i="16"/>
  <c r="AB31" i="16" s="1"/>
  <c r="AC31" i="16" s="1"/>
  <c r="AD31" i="16" s="1"/>
  <c r="H79" i="16"/>
  <c r="AB79" i="16" s="1"/>
  <c r="AC79" i="16" s="1"/>
  <c r="AD79" i="16" s="1"/>
  <c r="H71" i="16"/>
  <c r="AB71" i="16" s="1"/>
  <c r="AC71" i="16" s="1"/>
  <c r="AD71" i="16" s="1"/>
  <c r="H23" i="16"/>
  <c r="AB23" i="16" s="1"/>
  <c r="AC23" i="16" s="1"/>
  <c r="AD23" i="16" s="1"/>
  <c r="H127" i="16"/>
  <c r="AB127" i="16" s="1"/>
  <c r="AC127" i="16" s="1"/>
  <c r="AD127" i="16" s="1"/>
  <c r="H63" i="16"/>
  <c r="AB63" i="16" s="1"/>
  <c r="AC63" i="16" s="1"/>
  <c r="AD63" i="16" s="1"/>
  <c r="H119" i="16"/>
  <c r="AB119" i="16" s="1"/>
  <c r="AC119" i="16" s="1"/>
  <c r="AD119" i="16" s="1"/>
  <c r="H87" i="16"/>
  <c r="AB87" i="16" s="1"/>
  <c r="AC87" i="16" s="1"/>
  <c r="AD87" i="16" s="1"/>
  <c r="H55" i="16"/>
  <c r="AB55" i="16" s="1"/>
  <c r="AC55" i="16" s="1"/>
  <c r="AD55" i="16" s="1"/>
  <c r="H111" i="16"/>
  <c r="AB111" i="16" s="1"/>
  <c r="AC111" i="16" s="1"/>
  <c r="AD111" i="16" s="1"/>
  <c r="H156" i="16"/>
  <c r="AB156" i="16" s="1"/>
  <c r="AC156" i="16" s="1"/>
  <c r="AD156" i="16" s="1"/>
  <c r="H196" i="16"/>
  <c r="AB196" i="16" s="1"/>
  <c r="AC196" i="16" s="1"/>
  <c r="AD196" i="16" s="1"/>
  <c r="H52" i="16"/>
  <c r="AB52" i="16" s="1"/>
  <c r="AC52" i="16" s="1"/>
  <c r="AD52" i="16" s="1"/>
  <c r="H60" i="16"/>
  <c r="AB60" i="16" s="1"/>
  <c r="AC60" i="16" s="1"/>
  <c r="AD60" i="16" s="1"/>
  <c r="H17" i="16"/>
  <c r="AB17" i="16" s="1"/>
  <c r="AC17" i="16" s="1"/>
  <c r="AD17" i="16" s="1"/>
  <c r="H41" i="16"/>
  <c r="AB41" i="16" s="1"/>
  <c r="AC41" i="16" s="1"/>
  <c r="AD41" i="16" s="1"/>
  <c r="H25" i="16"/>
  <c r="AB25" i="16" s="1"/>
  <c r="AC25" i="16" s="1"/>
  <c r="AD25" i="16" s="1"/>
  <c r="H97" i="16"/>
  <c r="AB97" i="16" s="1"/>
  <c r="AC97" i="16" s="1"/>
  <c r="AD97" i="16" s="1"/>
  <c r="H33" i="16"/>
  <c r="AB33" i="16" s="1"/>
  <c r="AC33" i="16" s="1"/>
  <c r="AD33" i="16" s="1"/>
  <c r="H113" i="16"/>
  <c r="AB113" i="16" s="1"/>
  <c r="AC113" i="16" s="1"/>
  <c r="AD113" i="16" s="1"/>
  <c r="H9" i="16"/>
  <c r="AB9" i="16" s="1"/>
  <c r="AC9" i="16" s="1"/>
  <c r="AD9" i="16" s="1"/>
  <c r="H89" i="16"/>
  <c r="AB89" i="16" s="1"/>
  <c r="AC89" i="16" s="1"/>
  <c r="AD89" i="16" s="1"/>
  <c r="H81" i="16"/>
  <c r="AB81" i="16" s="1"/>
  <c r="AC81" i="16" s="1"/>
  <c r="AD81" i="16" s="1"/>
  <c r="H73" i="16"/>
  <c r="AB73" i="16" s="1"/>
  <c r="AC73" i="16" s="1"/>
  <c r="AD73" i="16" s="1"/>
  <c r="H129" i="16"/>
  <c r="AB129" i="16" s="1"/>
  <c r="AC129" i="16" s="1"/>
  <c r="AD129" i="16" s="1"/>
  <c r="H121" i="16"/>
  <c r="AB121" i="16" s="1"/>
  <c r="AC121" i="16" s="1"/>
  <c r="AD121" i="16" s="1"/>
  <c r="H105" i="16"/>
  <c r="AB105" i="16" s="1"/>
  <c r="AC105" i="16" s="1"/>
  <c r="AD105" i="16" s="1"/>
  <c r="H49" i="16"/>
  <c r="AB49" i="16" s="1"/>
  <c r="AC49" i="16" s="1"/>
  <c r="AD49" i="16" s="1"/>
  <c r="H65" i="16"/>
  <c r="AB65" i="16" s="1"/>
  <c r="AC65" i="16" s="1"/>
  <c r="AD65" i="16" s="1"/>
  <c r="H57" i="16"/>
  <c r="AB57" i="16" s="1"/>
  <c r="AC57" i="16" s="1"/>
  <c r="AD57" i="16" s="1"/>
  <c r="H138" i="16"/>
  <c r="AB138" i="16" s="1"/>
  <c r="AC138" i="16" s="1"/>
  <c r="AD138" i="16" s="1"/>
  <c r="H154" i="16"/>
  <c r="AB154" i="16" s="1"/>
  <c r="AC154" i="16" s="1"/>
  <c r="AD154" i="16" s="1"/>
  <c r="H146" i="16"/>
  <c r="AB146" i="16" s="1"/>
  <c r="AC146" i="16" s="1"/>
  <c r="AD146" i="16" s="1"/>
  <c r="H178" i="16"/>
  <c r="AB178" i="16" s="1"/>
  <c r="AC178" i="16" s="1"/>
  <c r="AD178" i="16" s="1"/>
  <c r="H202" i="16"/>
  <c r="AB202" i="16" s="1"/>
  <c r="AC202" i="16" s="1"/>
  <c r="AD202" i="16" s="1"/>
  <c r="H186" i="16"/>
  <c r="AB186" i="16" s="1"/>
  <c r="AC186" i="16" s="1"/>
  <c r="AD186" i="16" s="1"/>
  <c r="H194" i="16"/>
  <c r="AB194" i="16" s="1"/>
  <c r="AC194" i="16" s="1"/>
  <c r="AD194" i="16" s="1"/>
  <c r="H170" i="16"/>
  <c r="AB170" i="16" s="1"/>
  <c r="AC170" i="16" s="1"/>
  <c r="AD170" i="16" s="1"/>
  <c r="H162" i="16"/>
  <c r="AB162" i="16" s="1"/>
  <c r="AC162" i="16" s="1"/>
  <c r="AD162" i="16" s="1"/>
  <c r="H172" i="16"/>
  <c r="AB172" i="16" s="1"/>
  <c r="AC172" i="16" s="1"/>
  <c r="AD172" i="16" s="1"/>
  <c r="H116" i="16"/>
  <c r="AB116" i="16" s="1"/>
  <c r="AC116" i="16" s="1"/>
  <c r="AD116" i="16" s="1"/>
  <c r="L265" i="17"/>
  <c r="L266" i="17"/>
  <c r="L260" i="17"/>
  <c r="L252" i="17"/>
  <c r="L245" i="17"/>
  <c r="L237" i="17"/>
  <c r="L229" i="17"/>
  <c r="L239" i="17"/>
  <c r="L255" i="17"/>
  <c r="L247" i="17"/>
  <c r="L257" i="17"/>
  <c r="L249" i="17"/>
  <c r="L242" i="17"/>
  <c r="L234" i="17"/>
  <c r="L226" i="17"/>
  <c r="L264" i="17"/>
  <c r="L227" i="17"/>
  <c r="Q26" i="17"/>
  <c r="Q27" i="17" s="1"/>
  <c r="L244" i="17"/>
  <c r="L236" i="17"/>
  <c r="L243" i="17"/>
  <c r="L248" i="17"/>
  <c r="L253" i="17"/>
  <c r="L232" i="17"/>
  <c r="L235" i="17"/>
  <c r="L231" i="17"/>
  <c r="L258" i="17"/>
  <c r="L267" i="17"/>
  <c r="L246" i="17"/>
  <c r="L259" i="17"/>
  <c r="L238" i="17"/>
  <c r="L262" i="17"/>
  <c r="L268" i="17"/>
  <c r="L230" i="17"/>
  <c r="L254" i="17"/>
  <c r="L261" i="17"/>
  <c r="L256" i="17"/>
  <c r="L233" i="17"/>
  <c r="L225" i="17"/>
  <c r="L250" i="17"/>
  <c r="L228" i="17"/>
  <c r="L263" i="17"/>
  <c r="L241" i="17"/>
  <c r="L240" i="17"/>
  <c r="L251" i="17"/>
  <c r="AQ15" i="15"/>
  <c r="G30" i="15"/>
  <c r="AH31" i="15"/>
  <c r="AE32" i="15"/>
  <c r="L16" i="15"/>
  <c r="L31" i="15"/>
  <c r="X33" i="15"/>
  <c r="H32" i="15"/>
  <c r="AP15" i="15"/>
  <c r="G15" i="15" s="1"/>
  <c r="AT16" i="15"/>
  <c r="D30" i="15"/>
  <c r="AI30" i="15"/>
  <c r="E30" i="15" s="1"/>
  <c r="AE16" i="15"/>
  <c r="AH15" i="15"/>
  <c r="J31" i="15"/>
  <c r="J16" i="15"/>
  <c r="AI14" i="15"/>
  <c r="E14" i="15" s="1"/>
  <c r="D14" i="15"/>
  <c r="H16" i="15"/>
  <c r="X17" i="15"/>
  <c r="F17" i="13"/>
  <c r="G17" i="13"/>
  <c r="H17" i="13"/>
  <c r="I17" i="13"/>
  <c r="I24" i="13" s="1"/>
  <c r="J17" i="13"/>
  <c r="K17" i="13"/>
  <c r="L17" i="13"/>
  <c r="M17" i="13"/>
  <c r="N17" i="13"/>
  <c r="O17" i="13"/>
  <c r="P17" i="13"/>
  <c r="P24" i="13" s="1"/>
  <c r="Q17" i="13"/>
  <c r="Q24" i="13" s="1"/>
  <c r="R17" i="13"/>
  <c r="S17" i="13"/>
  <c r="T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E18" i="13"/>
  <c r="E19" i="13"/>
  <c r="E20" i="13"/>
  <c r="E21" i="13"/>
  <c r="E22" i="13"/>
  <c r="E23" i="13"/>
  <c r="E17" i="13"/>
  <c r="F13" i="13"/>
  <c r="G13" i="13" s="1"/>
  <c r="H13" i="13" s="1"/>
  <c r="I13" i="13" s="1"/>
  <c r="J13" i="13" s="1"/>
  <c r="K13" i="13" s="1"/>
  <c r="L13" i="13" s="1"/>
  <c r="M13" i="13" s="1"/>
  <c r="N13" i="13" s="1"/>
  <c r="O13" i="13" s="1"/>
  <c r="P13" i="13" s="1"/>
  <c r="Q13" i="13" s="1"/>
  <c r="R13" i="13" s="1"/>
  <c r="S13" i="13" s="1"/>
  <c r="T13" i="13" s="1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V24" i="13"/>
  <c r="C35" i="13"/>
  <c r="C34" i="13"/>
  <c r="W22" i="13"/>
  <c r="W21" i="13"/>
  <c r="V21" i="13"/>
  <c r="V20" i="13"/>
  <c r="C31" i="13"/>
  <c r="C30" i="13"/>
  <c r="W18" i="13"/>
  <c r="W17" i="13"/>
  <c r="V17" i="13"/>
  <c r="W23" i="13"/>
  <c r="F6" i="12"/>
  <c r="G6" i="12"/>
  <c r="H6" i="12"/>
  <c r="I6" i="12"/>
  <c r="J6" i="12"/>
  <c r="K6" i="12"/>
  <c r="L6" i="12"/>
  <c r="M6" i="12"/>
  <c r="F7" i="12"/>
  <c r="G7" i="12"/>
  <c r="H7" i="12"/>
  <c r="I7" i="12"/>
  <c r="J7" i="12"/>
  <c r="K7" i="12"/>
  <c r="L7" i="12"/>
  <c r="M7" i="12"/>
  <c r="F8" i="12"/>
  <c r="G8" i="12"/>
  <c r="H8" i="12"/>
  <c r="I8" i="12"/>
  <c r="J8" i="12"/>
  <c r="K8" i="12"/>
  <c r="L8" i="12"/>
  <c r="M8" i="12"/>
  <c r="F9" i="12"/>
  <c r="G9" i="12"/>
  <c r="H9" i="12"/>
  <c r="I9" i="12"/>
  <c r="J9" i="12"/>
  <c r="K9" i="12"/>
  <c r="L9" i="12"/>
  <c r="M9" i="12"/>
  <c r="F10" i="12"/>
  <c r="G10" i="12"/>
  <c r="H10" i="12"/>
  <c r="I10" i="12"/>
  <c r="J10" i="12"/>
  <c r="K10" i="12"/>
  <c r="L10" i="12"/>
  <c r="M10" i="12"/>
  <c r="F11" i="12"/>
  <c r="G11" i="12"/>
  <c r="H11" i="12"/>
  <c r="I11" i="12"/>
  <c r="J11" i="12"/>
  <c r="K11" i="12"/>
  <c r="L11" i="12"/>
  <c r="M11" i="12"/>
  <c r="F12" i="12"/>
  <c r="G12" i="12"/>
  <c r="H12" i="12"/>
  <c r="I12" i="12"/>
  <c r="J12" i="12"/>
  <c r="K12" i="12"/>
  <c r="L12" i="12"/>
  <c r="M12" i="12"/>
  <c r="E7" i="12"/>
  <c r="E8" i="12"/>
  <c r="E9" i="12"/>
  <c r="E10" i="12"/>
  <c r="E11" i="12"/>
  <c r="E12" i="12"/>
  <c r="E6" i="12"/>
  <c r="L532" i="17" l="1"/>
  <c r="L529" i="17"/>
  <c r="L510" i="17"/>
  <c r="H510" i="17" s="1" a="1"/>
  <c r="H510" i="17" s="1"/>
  <c r="L506" i="17"/>
  <c r="H506" i="17" s="1" a="1"/>
  <c r="H506" i="17" s="1"/>
  <c r="L502" i="17"/>
  <c r="H502" i="17" s="1" a="1"/>
  <c r="H502" i="17" s="1"/>
  <c r="L498" i="17"/>
  <c r="H498" i="17" s="1" a="1"/>
  <c r="H498" i="17" s="1"/>
  <c r="L494" i="17"/>
  <c r="H494" i="17" s="1" a="1"/>
  <c r="H494" i="17" s="1"/>
  <c r="L490" i="17"/>
  <c r="H490" i="17" s="1" a="1"/>
  <c r="H490" i="17" s="1"/>
  <c r="L526" i="17"/>
  <c r="L522" i="17"/>
  <c r="L518" i="17"/>
  <c r="L514" i="17"/>
  <c r="L507" i="17"/>
  <c r="H507" i="17" s="1" a="1"/>
  <c r="H507" i="17" s="1"/>
  <c r="L503" i="17"/>
  <c r="H503" i="17" s="1" a="1"/>
  <c r="H503" i="17" s="1"/>
  <c r="L499" i="17"/>
  <c r="H499" i="17" s="1" a="1"/>
  <c r="H499" i="17" s="1"/>
  <c r="L495" i="17"/>
  <c r="H495" i="17" s="1" a="1"/>
  <c r="H495" i="17" s="1"/>
  <c r="L491" i="17"/>
  <c r="H491" i="17" s="1" a="1"/>
  <c r="H491" i="17" s="1"/>
  <c r="L530" i="17"/>
  <c r="L527" i="17"/>
  <c r="L523" i="17"/>
  <c r="L519" i="17"/>
  <c r="L515" i="17"/>
  <c r="L511" i="17"/>
  <c r="L508" i="17"/>
  <c r="H508" i="17" s="1" a="1"/>
  <c r="H508" i="17" s="1"/>
  <c r="L504" i="17"/>
  <c r="H504" i="17" s="1" a="1"/>
  <c r="H504" i="17" s="1"/>
  <c r="L500" i="17"/>
  <c r="H500" i="17" s="1" a="1"/>
  <c r="H500" i="17" s="1"/>
  <c r="L496" i="17"/>
  <c r="H496" i="17" s="1" a="1"/>
  <c r="H496" i="17" s="1"/>
  <c r="L492" i="17"/>
  <c r="H492" i="17" s="1" a="1"/>
  <c r="H492" i="17" s="1"/>
  <c r="L524" i="17"/>
  <c r="L520" i="17"/>
  <c r="L516" i="17"/>
  <c r="L512" i="17"/>
  <c r="L531" i="17"/>
  <c r="L528" i="17"/>
  <c r="L509" i="17"/>
  <c r="H509" i="17" s="1" a="1"/>
  <c r="H509" i="17" s="1"/>
  <c r="L505" i="17"/>
  <c r="H505" i="17" s="1" a="1"/>
  <c r="H505" i="17" s="1"/>
  <c r="L501" i="17"/>
  <c r="H501" i="17" s="1" a="1"/>
  <c r="H501" i="17" s="1"/>
  <c r="L497" i="17"/>
  <c r="H497" i="17" s="1" a="1"/>
  <c r="H497" i="17" s="1"/>
  <c r="L493" i="17"/>
  <c r="H493" i="17" s="1" a="1"/>
  <c r="H493" i="17" s="1"/>
  <c r="L489" i="17"/>
  <c r="H489" i="17" s="1" a="1"/>
  <c r="H489" i="17" s="1"/>
  <c r="L521" i="17"/>
  <c r="L525" i="17"/>
  <c r="L517" i="17"/>
  <c r="L513" i="17"/>
  <c r="Q28" i="17"/>
  <c r="H33" i="15"/>
  <c r="X34" i="15"/>
  <c r="D15" i="15"/>
  <c r="AI15" i="15"/>
  <c r="E15" i="15" s="1"/>
  <c r="X18" i="15"/>
  <c r="H17" i="15"/>
  <c r="AE33" i="15"/>
  <c r="AH32" i="15"/>
  <c r="AH16" i="15"/>
  <c r="AE17" i="15"/>
  <c r="AI31" i="15"/>
  <c r="E31" i="15" s="1"/>
  <c r="D31" i="15"/>
  <c r="J32" i="15"/>
  <c r="J17" i="15"/>
  <c r="L32" i="15"/>
  <c r="L17" i="15"/>
  <c r="AT17" i="15"/>
  <c r="AP16" i="15"/>
  <c r="G16" i="15" s="1"/>
  <c r="G31" i="15"/>
  <c r="AQ16" i="15"/>
  <c r="H24" i="13"/>
  <c r="O24" i="13"/>
  <c r="G24" i="13"/>
  <c r="N24" i="13"/>
  <c r="E24" i="13"/>
  <c r="M24" i="13"/>
  <c r="T24" i="13"/>
  <c r="L24" i="13"/>
  <c r="S24" i="13"/>
  <c r="K24" i="13"/>
  <c r="F24" i="13"/>
  <c r="R24" i="13"/>
  <c r="J24" i="13"/>
  <c r="C29" i="13"/>
  <c r="V19" i="13"/>
  <c r="W20" i="13"/>
  <c r="C33" i="13"/>
  <c r="V23" i="13"/>
  <c r="W24" i="13"/>
  <c r="C28" i="13"/>
  <c r="V18" i="13"/>
  <c r="W19" i="13"/>
  <c r="C32" i="13"/>
  <c r="V22" i="13"/>
  <c r="L575" i="17" l="1"/>
  <c r="L571" i="17"/>
  <c r="L567" i="17"/>
  <c r="L563" i="17"/>
  <c r="L559" i="17"/>
  <c r="L555" i="17"/>
  <c r="L576" i="17"/>
  <c r="L572" i="17"/>
  <c r="L568" i="17"/>
  <c r="L564" i="17"/>
  <c r="L560" i="17"/>
  <c r="L556" i="17"/>
  <c r="L573" i="17"/>
  <c r="L569" i="17"/>
  <c r="L565" i="17"/>
  <c r="L561" i="17"/>
  <c r="L557" i="17"/>
  <c r="L574" i="17"/>
  <c r="L570" i="17"/>
  <c r="L566" i="17"/>
  <c r="L562" i="17"/>
  <c r="L558" i="17"/>
  <c r="L550" i="17"/>
  <c r="H550" i="17" s="1" a="1"/>
  <c r="H550" i="17" s="1"/>
  <c r="L542" i="17"/>
  <c r="H542" i="17" s="1" a="1"/>
  <c r="H542" i="17" s="1"/>
  <c r="L534" i="17"/>
  <c r="H534" i="17" s="1" a="1"/>
  <c r="H534" i="17" s="1"/>
  <c r="L553" i="17"/>
  <c r="H553" i="17" s="1" a="1"/>
  <c r="H553" i="17" s="1"/>
  <c r="X11" i="17" s="1"/>
  <c r="X33" i="17" s="1"/>
  <c r="H607" i="17" s="1" a="1"/>
  <c r="H607" i="17" s="1"/>
  <c r="L545" i="17"/>
  <c r="H545" i="17" s="1" a="1"/>
  <c r="H545" i="17" s="1"/>
  <c r="L537" i="17"/>
  <c r="H537" i="17" s="1" a="1"/>
  <c r="H537" i="17" s="1"/>
  <c r="L548" i="17"/>
  <c r="H548" i="17" s="1" a="1"/>
  <c r="H548" i="17" s="1"/>
  <c r="L540" i="17"/>
  <c r="H540" i="17" s="1" a="1"/>
  <c r="H540" i="17" s="1"/>
  <c r="L551" i="17"/>
  <c r="H551" i="17" s="1" a="1"/>
  <c r="H551" i="17" s="1"/>
  <c r="L543" i="17"/>
  <c r="H543" i="17" s="1" a="1"/>
  <c r="H543" i="17" s="1"/>
  <c r="L535" i="17"/>
  <c r="H535" i="17" s="1" a="1"/>
  <c r="H535" i="17" s="1"/>
  <c r="L554" i="17"/>
  <c r="H554" i="17" s="1" a="1"/>
  <c r="H554" i="17" s="1"/>
  <c r="X12" i="17" s="1"/>
  <c r="X34" i="17" s="1"/>
  <c r="H608" i="17" s="1" a="1"/>
  <c r="H608" i="17" s="1"/>
  <c r="L546" i="17"/>
  <c r="H546" i="17" s="1" a="1"/>
  <c r="H546" i="17" s="1"/>
  <c r="L538" i="17"/>
  <c r="H538" i="17" s="1" a="1"/>
  <c r="H538" i="17" s="1"/>
  <c r="L549" i="17"/>
  <c r="H549" i="17" s="1" a="1"/>
  <c r="H549" i="17" s="1"/>
  <c r="L541" i="17"/>
  <c r="H541" i="17" s="1" a="1"/>
  <c r="H541" i="17" s="1"/>
  <c r="L533" i="17"/>
  <c r="H533" i="17" s="1" a="1"/>
  <c r="H533" i="17" s="1"/>
  <c r="X5" i="17" s="1"/>
  <c r="X27" i="17" s="1"/>
  <c r="H601" i="17" s="1" a="1"/>
  <c r="H601" i="17" s="1"/>
  <c r="L552" i="17"/>
  <c r="H552" i="17" s="1" a="1"/>
  <c r="H552" i="17" s="1"/>
  <c r="L544" i="17"/>
  <c r="H544" i="17" s="1" a="1"/>
  <c r="H544" i="17" s="1"/>
  <c r="L536" i="17"/>
  <c r="H536" i="17" s="1" a="1"/>
  <c r="H536" i="17" s="1"/>
  <c r="L547" i="17"/>
  <c r="H547" i="17" s="1" a="1"/>
  <c r="H547" i="17" s="1"/>
  <c r="L539" i="17"/>
  <c r="H539" i="17" s="1" a="1"/>
  <c r="H539" i="17" s="1"/>
  <c r="Q29" i="17"/>
  <c r="Q30" i="17" s="1"/>
  <c r="Q31" i="17" s="1"/>
  <c r="J33" i="15"/>
  <c r="J18" i="15"/>
  <c r="AQ17" i="15"/>
  <c r="G32" i="15"/>
  <c r="AH33" i="15"/>
  <c r="AE34" i="15"/>
  <c r="H18" i="15"/>
  <c r="X19" i="15"/>
  <c r="D32" i="15"/>
  <c r="AI32" i="15"/>
  <c r="E32" i="15" s="1"/>
  <c r="AE18" i="15"/>
  <c r="AH17" i="15"/>
  <c r="X35" i="15"/>
  <c r="H34" i="15"/>
  <c r="L33" i="15"/>
  <c r="L18" i="15"/>
  <c r="AP17" i="15"/>
  <c r="G17" i="15" s="1"/>
  <c r="AT18" i="15"/>
  <c r="D16" i="15"/>
  <c r="AI16" i="15"/>
  <c r="E16" i="15" s="1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B15" i="12"/>
  <c r="B15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V24" i="11"/>
  <c r="M24" i="11"/>
  <c r="J24" i="11"/>
  <c r="E24" i="11"/>
  <c r="V23" i="11"/>
  <c r="M23" i="11"/>
  <c r="H23" i="11"/>
  <c r="E23" i="11"/>
  <c r="K22" i="11"/>
  <c r="H22" i="11"/>
  <c r="W21" i="11"/>
  <c r="N21" i="11"/>
  <c r="K21" i="11"/>
  <c r="F21" i="11"/>
  <c r="W20" i="11"/>
  <c r="N20" i="11"/>
  <c r="I20" i="11"/>
  <c r="F20" i="11"/>
  <c r="L19" i="11"/>
  <c r="I19" i="11"/>
  <c r="C19" i="11"/>
  <c r="O18" i="11"/>
  <c r="L18" i="11"/>
  <c r="G18" i="11"/>
  <c r="C18" i="11"/>
  <c r="O17" i="11"/>
  <c r="J17" i="11"/>
  <c r="G17" i="11"/>
  <c r="F17" i="2"/>
  <c r="F18" i="2"/>
  <c r="F19" i="2"/>
  <c r="F20" i="2"/>
  <c r="F21" i="2"/>
  <c r="F22" i="2"/>
  <c r="F23" i="2"/>
  <c r="F24" i="2"/>
  <c r="E18" i="2"/>
  <c r="E19" i="2"/>
  <c r="E20" i="2"/>
  <c r="E21" i="2"/>
  <c r="E22" i="2"/>
  <c r="E23" i="2"/>
  <c r="E24" i="2"/>
  <c r="E17" i="2"/>
  <c r="V17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N28" i="10"/>
  <c r="O28" i="10"/>
  <c r="P28" i="10"/>
  <c r="Q28" i="10"/>
  <c r="R28" i="10"/>
  <c r="S28" i="10"/>
  <c r="T28" i="10"/>
  <c r="N29" i="10"/>
  <c r="O29" i="10"/>
  <c r="P29" i="10"/>
  <c r="Q29" i="10"/>
  <c r="R29" i="10"/>
  <c r="S29" i="10"/>
  <c r="T29" i="10"/>
  <c r="N30" i="10"/>
  <c r="O30" i="10"/>
  <c r="P30" i="10"/>
  <c r="Q30" i="10"/>
  <c r="R30" i="10"/>
  <c r="S30" i="10"/>
  <c r="T30" i="10"/>
  <c r="N31" i="10"/>
  <c r="O31" i="10"/>
  <c r="P31" i="10"/>
  <c r="Q31" i="10"/>
  <c r="R31" i="10"/>
  <c r="S31" i="10"/>
  <c r="T31" i="10"/>
  <c r="N32" i="10"/>
  <c r="O32" i="10"/>
  <c r="P32" i="10"/>
  <c r="Q32" i="10"/>
  <c r="R32" i="10"/>
  <c r="S32" i="10"/>
  <c r="T32" i="10"/>
  <c r="N33" i="10"/>
  <c r="O33" i="10"/>
  <c r="P33" i="10"/>
  <c r="Q33" i="10"/>
  <c r="R33" i="10"/>
  <c r="S33" i="10"/>
  <c r="T33" i="10"/>
  <c r="N34" i="10"/>
  <c r="O34" i="10"/>
  <c r="P34" i="10"/>
  <c r="Q34" i="10"/>
  <c r="R34" i="10"/>
  <c r="S34" i="10"/>
  <c r="T34" i="10"/>
  <c r="N17" i="10"/>
  <c r="N18" i="10"/>
  <c r="N19" i="10"/>
  <c r="N20" i="10"/>
  <c r="N21" i="10"/>
  <c r="N22" i="10"/>
  <c r="N23" i="10"/>
  <c r="N24" i="10"/>
  <c r="E25" i="10"/>
  <c r="E24" i="10" s="1"/>
  <c r="W24" i="10"/>
  <c r="V24" i="10"/>
  <c r="E18" i="10"/>
  <c r="E21" i="10"/>
  <c r="E22" i="10"/>
  <c r="W17" i="10"/>
  <c r="W18" i="10"/>
  <c r="W19" i="10"/>
  <c r="W20" i="10"/>
  <c r="W21" i="10"/>
  <c r="W22" i="10"/>
  <c r="W23" i="10"/>
  <c r="V18" i="10"/>
  <c r="V19" i="10"/>
  <c r="V20" i="10"/>
  <c r="V21" i="10"/>
  <c r="V22" i="10"/>
  <c r="V23" i="10"/>
  <c r="V17" i="10"/>
  <c r="F25" i="10"/>
  <c r="F20" i="10" s="1"/>
  <c r="L39" i="10"/>
  <c r="D6" i="10" s="1"/>
  <c r="M39" i="10"/>
  <c r="E6" i="10" s="1"/>
  <c r="N39" i="10"/>
  <c r="F6" i="10" s="1"/>
  <c r="O39" i="10"/>
  <c r="G6" i="10" s="1"/>
  <c r="P39" i="10"/>
  <c r="H6" i="10" s="1"/>
  <c r="Q39" i="10"/>
  <c r="I6" i="10" s="1"/>
  <c r="R39" i="10"/>
  <c r="J6" i="10" s="1"/>
  <c r="S39" i="10"/>
  <c r="K6" i="10" s="1"/>
  <c r="T39" i="10"/>
  <c r="L6" i="10" s="1"/>
  <c r="U39" i="10"/>
  <c r="M6" i="10" s="1"/>
  <c r="L40" i="10"/>
  <c r="D7" i="10" s="1"/>
  <c r="M40" i="10"/>
  <c r="E7" i="10" s="1"/>
  <c r="E29" i="10" s="1"/>
  <c r="N40" i="10"/>
  <c r="F7" i="10" s="1"/>
  <c r="O40" i="10"/>
  <c r="G7" i="10" s="1"/>
  <c r="G29" i="10" s="1"/>
  <c r="P40" i="10"/>
  <c r="H7" i="10" s="1"/>
  <c r="H29" i="10" s="1"/>
  <c r="Q40" i="10"/>
  <c r="I7" i="10" s="1"/>
  <c r="I29" i="10" s="1"/>
  <c r="R40" i="10"/>
  <c r="J7" i="10" s="1"/>
  <c r="J29" i="10" s="1"/>
  <c r="S40" i="10"/>
  <c r="K7" i="10" s="1"/>
  <c r="K29" i="10" s="1"/>
  <c r="T40" i="10"/>
  <c r="L7" i="10" s="1"/>
  <c r="L29" i="10" s="1"/>
  <c r="U40" i="10"/>
  <c r="M7" i="10" s="1"/>
  <c r="M29" i="10" s="1"/>
  <c r="L41" i="10"/>
  <c r="D8" i="10" s="1"/>
  <c r="D30" i="10" s="1"/>
  <c r="M41" i="10"/>
  <c r="E8" i="10" s="1"/>
  <c r="E30" i="10" s="1"/>
  <c r="N41" i="10"/>
  <c r="F8" i="10" s="1"/>
  <c r="O41" i="10"/>
  <c r="G8" i="10" s="1"/>
  <c r="G30" i="10" s="1"/>
  <c r="P41" i="10"/>
  <c r="H8" i="10" s="1"/>
  <c r="H30" i="10" s="1"/>
  <c r="Q41" i="10"/>
  <c r="I8" i="10" s="1"/>
  <c r="I30" i="10" s="1"/>
  <c r="R41" i="10"/>
  <c r="J8" i="10" s="1"/>
  <c r="J30" i="10" s="1"/>
  <c r="S41" i="10"/>
  <c r="K8" i="10" s="1"/>
  <c r="K30" i="10" s="1"/>
  <c r="T41" i="10"/>
  <c r="L8" i="10" s="1"/>
  <c r="L30" i="10" s="1"/>
  <c r="U41" i="10"/>
  <c r="M8" i="10" s="1"/>
  <c r="M30" i="10" s="1"/>
  <c r="L42" i="10"/>
  <c r="D9" i="10" s="1"/>
  <c r="M42" i="10"/>
  <c r="E9" i="10" s="1"/>
  <c r="E31" i="10" s="1"/>
  <c r="N42" i="10"/>
  <c r="F9" i="10" s="1"/>
  <c r="O42" i="10"/>
  <c r="G9" i="10" s="1"/>
  <c r="G31" i="10" s="1"/>
  <c r="P42" i="10"/>
  <c r="H9" i="10" s="1"/>
  <c r="H31" i="10" s="1"/>
  <c r="Q42" i="10"/>
  <c r="I9" i="10" s="1"/>
  <c r="I31" i="10" s="1"/>
  <c r="R42" i="10"/>
  <c r="J9" i="10" s="1"/>
  <c r="J31" i="10" s="1"/>
  <c r="S42" i="10"/>
  <c r="K9" i="10" s="1"/>
  <c r="K31" i="10" s="1"/>
  <c r="T42" i="10"/>
  <c r="L9" i="10" s="1"/>
  <c r="L31" i="10" s="1"/>
  <c r="U42" i="10"/>
  <c r="M9" i="10" s="1"/>
  <c r="M31" i="10" s="1"/>
  <c r="L43" i="10"/>
  <c r="D10" i="10" s="1"/>
  <c r="D32" i="10" s="1"/>
  <c r="M43" i="10"/>
  <c r="E10" i="10" s="1"/>
  <c r="E32" i="10" s="1"/>
  <c r="N43" i="10"/>
  <c r="F10" i="10" s="1"/>
  <c r="O43" i="10"/>
  <c r="G10" i="10" s="1"/>
  <c r="G32" i="10" s="1"/>
  <c r="P43" i="10"/>
  <c r="H10" i="10" s="1"/>
  <c r="H32" i="10" s="1"/>
  <c r="Q43" i="10"/>
  <c r="I10" i="10" s="1"/>
  <c r="I32" i="10" s="1"/>
  <c r="R43" i="10"/>
  <c r="J10" i="10" s="1"/>
  <c r="J32" i="10" s="1"/>
  <c r="S43" i="10"/>
  <c r="K10" i="10" s="1"/>
  <c r="K32" i="10" s="1"/>
  <c r="T43" i="10"/>
  <c r="L10" i="10" s="1"/>
  <c r="L32" i="10" s="1"/>
  <c r="U43" i="10"/>
  <c r="M10" i="10" s="1"/>
  <c r="M32" i="10" s="1"/>
  <c r="L44" i="10"/>
  <c r="D11" i="10" s="1"/>
  <c r="M44" i="10"/>
  <c r="E11" i="10" s="1"/>
  <c r="E33" i="10" s="1"/>
  <c r="N44" i="10"/>
  <c r="F11" i="10" s="1"/>
  <c r="O44" i="10"/>
  <c r="G11" i="10" s="1"/>
  <c r="G33" i="10" s="1"/>
  <c r="P44" i="10"/>
  <c r="H11" i="10" s="1"/>
  <c r="H33" i="10" s="1"/>
  <c r="Q44" i="10"/>
  <c r="I11" i="10" s="1"/>
  <c r="I33" i="10" s="1"/>
  <c r="R44" i="10"/>
  <c r="J11" i="10" s="1"/>
  <c r="J33" i="10" s="1"/>
  <c r="S44" i="10"/>
  <c r="K11" i="10" s="1"/>
  <c r="K33" i="10" s="1"/>
  <c r="T44" i="10"/>
  <c r="L11" i="10" s="1"/>
  <c r="L33" i="10" s="1"/>
  <c r="U44" i="10"/>
  <c r="M11" i="10" s="1"/>
  <c r="M33" i="10" s="1"/>
  <c r="L45" i="10"/>
  <c r="D12" i="10" s="1"/>
  <c r="M45" i="10"/>
  <c r="E12" i="10" s="1"/>
  <c r="E34" i="10" s="1"/>
  <c r="N45" i="10"/>
  <c r="F12" i="10" s="1"/>
  <c r="O45" i="10"/>
  <c r="G12" i="10" s="1"/>
  <c r="G34" i="10" s="1"/>
  <c r="P45" i="10"/>
  <c r="H12" i="10" s="1"/>
  <c r="H34" i="10" s="1"/>
  <c r="Q45" i="10"/>
  <c r="I12" i="10" s="1"/>
  <c r="I34" i="10" s="1"/>
  <c r="R45" i="10"/>
  <c r="J12" i="10" s="1"/>
  <c r="J34" i="10" s="1"/>
  <c r="S45" i="10"/>
  <c r="K12" i="10" s="1"/>
  <c r="K34" i="10" s="1"/>
  <c r="T45" i="10"/>
  <c r="L12" i="10" s="1"/>
  <c r="L34" i="10" s="1"/>
  <c r="U45" i="10"/>
  <c r="M12" i="10" s="1"/>
  <c r="M34" i="10" s="1"/>
  <c r="K40" i="10"/>
  <c r="C7" i="10" s="1"/>
  <c r="K41" i="10"/>
  <c r="C8" i="10" s="1"/>
  <c r="K42" i="10"/>
  <c r="C9" i="10" s="1"/>
  <c r="K43" i="10"/>
  <c r="C10" i="10" s="1"/>
  <c r="K44" i="10"/>
  <c r="C11" i="10" s="1"/>
  <c r="K45" i="10"/>
  <c r="C12" i="10" s="1"/>
  <c r="K39" i="10"/>
  <c r="C6" i="10" s="1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O24" i="10"/>
  <c r="K24" i="10"/>
  <c r="G24" i="10"/>
  <c r="C24" i="10"/>
  <c r="M23" i="10"/>
  <c r="I23" i="10"/>
  <c r="O22" i="10"/>
  <c r="K22" i="10"/>
  <c r="G22" i="10"/>
  <c r="C22" i="10"/>
  <c r="M21" i="10"/>
  <c r="I21" i="10"/>
  <c r="O20" i="10"/>
  <c r="K20" i="10"/>
  <c r="J20" i="10"/>
  <c r="G20" i="10"/>
  <c r="C20" i="10"/>
  <c r="M19" i="10"/>
  <c r="L19" i="10"/>
  <c r="I19" i="10"/>
  <c r="H19" i="10"/>
  <c r="O18" i="10"/>
  <c r="K18" i="10"/>
  <c r="J18" i="10"/>
  <c r="G18" i="10"/>
  <c r="C18" i="10"/>
  <c r="M17" i="10"/>
  <c r="L17" i="10"/>
  <c r="I17" i="10"/>
  <c r="H17" i="10"/>
  <c r="X8" i="17" l="1"/>
  <c r="X30" i="17" s="1"/>
  <c r="H604" i="17" s="1" a="1"/>
  <c r="H604" i="17" s="1"/>
  <c r="X6" i="17"/>
  <c r="X28" i="17" s="1"/>
  <c r="H602" i="17" s="1" a="1"/>
  <c r="H602" i="17" s="1"/>
  <c r="X7" i="17"/>
  <c r="X29" i="17" s="1"/>
  <c r="H603" i="17" s="1" a="1"/>
  <c r="H603" i="17" s="1"/>
  <c r="X10" i="17"/>
  <c r="X32" i="17" s="1"/>
  <c r="H606" i="17" s="1" a="1"/>
  <c r="H606" i="17" s="1"/>
  <c r="X9" i="17"/>
  <c r="X31" i="17" s="1"/>
  <c r="H605" i="17" s="1" a="1"/>
  <c r="H605" i="17" s="1"/>
  <c r="L309" i="17"/>
  <c r="L301" i="17"/>
  <c r="L310" i="17"/>
  <c r="L302" i="17"/>
  <c r="L294" i="17"/>
  <c r="L311" i="17"/>
  <c r="L303" i="17"/>
  <c r="L295" i="17"/>
  <c r="L288" i="17"/>
  <c r="L280" i="17"/>
  <c r="L312" i="17"/>
  <c r="L287" i="17"/>
  <c r="L282" i="17"/>
  <c r="L270" i="17"/>
  <c r="L293" i="17"/>
  <c r="L279" i="17"/>
  <c r="L271" i="17"/>
  <c r="L296" i="17"/>
  <c r="L289" i="17"/>
  <c r="L272" i="17"/>
  <c r="L304" i="17"/>
  <c r="L274" i="17"/>
  <c r="L269" i="17"/>
  <c r="Q32" i="17"/>
  <c r="L277" i="17"/>
  <c r="L300" i="17"/>
  <c r="L276" i="17"/>
  <c r="L307" i="17"/>
  <c r="L299" i="17"/>
  <c r="L292" i="17"/>
  <c r="L281" i="17"/>
  <c r="L291" i="17"/>
  <c r="L286" i="17"/>
  <c r="L283" i="17"/>
  <c r="L306" i="17"/>
  <c r="L273" i="17"/>
  <c r="L275" i="17"/>
  <c r="L278" i="17"/>
  <c r="L285" i="17"/>
  <c r="L298" i="17"/>
  <c r="L305" i="17"/>
  <c r="L297" i="17"/>
  <c r="L290" i="17"/>
  <c r="L284" i="17"/>
  <c r="L308" i="17"/>
  <c r="AH34" i="15"/>
  <c r="AE35" i="15"/>
  <c r="X36" i="15"/>
  <c r="H35" i="15"/>
  <c r="D33" i="15"/>
  <c r="AI33" i="15"/>
  <c r="E33" i="15" s="1"/>
  <c r="D17" i="15"/>
  <c r="AI17" i="15"/>
  <c r="E17" i="15" s="1"/>
  <c r="L19" i="15"/>
  <c r="L34" i="15"/>
  <c r="X20" i="15"/>
  <c r="H19" i="15"/>
  <c r="AE19" i="15"/>
  <c r="AH18" i="15"/>
  <c r="G33" i="15"/>
  <c r="AQ18" i="15"/>
  <c r="AP18" i="15"/>
  <c r="G18" i="15" s="1"/>
  <c r="AT19" i="15"/>
  <c r="J34" i="15"/>
  <c r="J19" i="15"/>
  <c r="L13" i="10"/>
  <c r="L28" i="10"/>
  <c r="L35" i="10" s="1"/>
  <c r="H13" i="10"/>
  <c r="H28" i="10"/>
  <c r="H35" i="10" s="1"/>
  <c r="D13" i="10"/>
  <c r="D35" i="10" s="1"/>
  <c r="F13" i="10"/>
  <c r="K13" i="10"/>
  <c r="K28" i="10"/>
  <c r="K35" i="10" s="1"/>
  <c r="G13" i="10"/>
  <c r="G28" i="10"/>
  <c r="G35" i="10" s="1"/>
  <c r="C13" i="10"/>
  <c r="C35" i="10" s="1"/>
  <c r="M13" i="10"/>
  <c r="M28" i="10"/>
  <c r="M35" i="10" s="1"/>
  <c r="I13" i="10"/>
  <c r="I28" i="10"/>
  <c r="I35" i="10" s="1"/>
  <c r="E13" i="10"/>
  <c r="E28" i="10"/>
  <c r="E35" i="10" s="1"/>
  <c r="J13" i="10"/>
  <c r="F31" i="10"/>
  <c r="J28" i="10"/>
  <c r="J35" i="10" s="1"/>
  <c r="C24" i="12"/>
  <c r="C35" i="12" s="1"/>
  <c r="W22" i="12"/>
  <c r="V21" i="12"/>
  <c r="C20" i="12"/>
  <c r="C31" i="12" s="1"/>
  <c r="W18" i="12"/>
  <c r="V17" i="12"/>
  <c r="W23" i="12"/>
  <c r="V22" i="12"/>
  <c r="C21" i="12"/>
  <c r="C32" i="12" s="1"/>
  <c r="W19" i="12"/>
  <c r="V18" i="12"/>
  <c r="C17" i="12"/>
  <c r="C28" i="12" s="1"/>
  <c r="V24" i="12"/>
  <c r="W21" i="12"/>
  <c r="C19" i="12"/>
  <c r="C30" i="12" s="1"/>
  <c r="V23" i="12"/>
  <c r="W20" i="12"/>
  <c r="C18" i="12"/>
  <c r="C29" i="12" s="1"/>
  <c r="C23" i="12"/>
  <c r="C34" i="12" s="1"/>
  <c r="V20" i="12"/>
  <c r="W17" i="12"/>
  <c r="V19" i="12"/>
  <c r="W24" i="12"/>
  <c r="C22" i="12"/>
  <c r="C33" i="12" s="1"/>
  <c r="L24" i="11"/>
  <c r="H24" i="11"/>
  <c r="C24" i="11"/>
  <c r="O23" i="11"/>
  <c r="K23" i="11"/>
  <c r="G23" i="11"/>
  <c r="W22" i="11"/>
  <c r="N22" i="11"/>
  <c r="J22" i="11"/>
  <c r="F22" i="11"/>
  <c r="V21" i="11"/>
  <c r="M21" i="11"/>
  <c r="I21" i="11"/>
  <c r="E21" i="11"/>
  <c r="L20" i="11"/>
  <c r="H20" i="11"/>
  <c r="C20" i="11"/>
  <c r="O19" i="11"/>
  <c r="K19" i="11"/>
  <c r="G19" i="11"/>
  <c r="W18" i="11"/>
  <c r="N18" i="11"/>
  <c r="J18" i="11"/>
  <c r="F18" i="11"/>
  <c r="V17" i="11"/>
  <c r="M17" i="11"/>
  <c r="I17" i="11"/>
  <c r="E17" i="11"/>
  <c r="B26" i="11"/>
  <c r="O24" i="11"/>
  <c r="K24" i="11"/>
  <c r="G24" i="11"/>
  <c r="W23" i="11"/>
  <c r="N23" i="11"/>
  <c r="J23" i="11"/>
  <c r="F23" i="11"/>
  <c r="V22" i="11"/>
  <c r="M22" i="11"/>
  <c r="I22" i="11"/>
  <c r="E22" i="11"/>
  <c r="L21" i="11"/>
  <c r="H21" i="11"/>
  <c r="C21" i="11"/>
  <c r="O20" i="11"/>
  <c r="K20" i="11"/>
  <c r="G20" i="11"/>
  <c r="W19" i="11"/>
  <c r="N19" i="11"/>
  <c r="J19" i="11"/>
  <c r="F19" i="11"/>
  <c r="V18" i="11"/>
  <c r="M18" i="11"/>
  <c r="I18" i="11"/>
  <c r="E18" i="11"/>
  <c r="L17" i="11"/>
  <c r="H17" i="11"/>
  <c r="C17" i="11"/>
  <c r="K17" i="11"/>
  <c r="H18" i="11"/>
  <c r="E19" i="11"/>
  <c r="M19" i="11"/>
  <c r="V19" i="11"/>
  <c r="J20" i="11"/>
  <c r="G21" i="11"/>
  <c r="O21" i="11"/>
  <c r="C22" i="11"/>
  <c r="L22" i="11"/>
  <c r="I23" i="11"/>
  <c r="F24" i="11"/>
  <c r="N24" i="11"/>
  <c r="W24" i="11"/>
  <c r="F17" i="11"/>
  <c r="N17" i="11"/>
  <c r="W17" i="11"/>
  <c r="K18" i="11"/>
  <c r="H19" i="11"/>
  <c r="E20" i="11"/>
  <c r="M20" i="11"/>
  <c r="V20" i="11"/>
  <c r="J21" i="11"/>
  <c r="G22" i="11"/>
  <c r="O22" i="11"/>
  <c r="C23" i="11"/>
  <c r="L23" i="11"/>
  <c r="I24" i="11"/>
  <c r="F23" i="10"/>
  <c r="F28" i="10" s="1"/>
  <c r="F19" i="10"/>
  <c r="F32" i="10" s="1"/>
  <c r="F22" i="10"/>
  <c r="F29" i="10" s="1"/>
  <c r="F18" i="10"/>
  <c r="F33" i="10" s="1"/>
  <c r="F21" i="10"/>
  <c r="F30" i="10" s="1"/>
  <c r="F17" i="10"/>
  <c r="F34" i="10" s="1"/>
  <c r="F24" i="10"/>
  <c r="E17" i="10"/>
  <c r="E20" i="10"/>
  <c r="E23" i="10"/>
  <c r="E19" i="10"/>
  <c r="D28" i="10"/>
  <c r="C31" i="10"/>
  <c r="C29" i="10"/>
  <c r="C33" i="10"/>
  <c r="J17" i="10"/>
  <c r="D29" i="10"/>
  <c r="H18" i="10"/>
  <c r="L18" i="10"/>
  <c r="J19" i="10"/>
  <c r="D31" i="10"/>
  <c r="H20" i="10"/>
  <c r="L20" i="10"/>
  <c r="J21" i="10"/>
  <c r="D33" i="10"/>
  <c r="H22" i="10"/>
  <c r="L22" i="10"/>
  <c r="J23" i="10"/>
  <c r="H24" i="10"/>
  <c r="L24" i="10"/>
  <c r="C17" i="10"/>
  <c r="C28" i="10" s="1"/>
  <c r="G17" i="10"/>
  <c r="K17" i="10"/>
  <c r="O17" i="10"/>
  <c r="I18" i="10"/>
  <c r="M18" i="10"/>
  <c r="C19" i="10"/>
  <c r="C30" i="10" s="1"/>
  <c r="G19" i="10"/>
  <c r="K19" i="10"/>
  <c r="O19" i="10"/>
  <c r="I20" i="10"/>
  <c r="M20" i="10"/>
  <c r="C21" i="10"/>
  <c r="C32" i="10" s="1"/>
  <c r="G21" i="10"/>
  <c r="K21" i="10"/>
  <c r="O21" i="10"/>
  <c r="I22" i="10"/>
  <c r="M22" i="10"/>
  <c r="C23" i="10"/>
  <c r="C34" i="10" s="1"/>
  <c r="G23" i="10"/>
  <c r="K23" i="10"/>
  <c r="O23" i="10"/>
  <c r="I24" i="10"/>
  <c r="M24" i="10"/>
  <c r="H21" i="10"/>
  <c r="L21" i="10"/>
  <c r="J22" i="10"/>
  <c r="D34" i="10"/>
  <c r="H23" i="10"/>
  <c r="L23" i="10"/>
  <c r="J24" i="10"/>
  <c r="L316" i="17" l="1"/>
  <c r="L356" i="17"/>
  <c r="L348" i="17"/>
  <c r="L340" i="17"/>
  <c r="L333" i="17"/>
  <c r="L325" i="17"/>
  <c r="L317" i="17"/>
  <c r="L349" i="17"/>
  <c r="L341" i="17"/>
  <c r="L334" i="17"/>
  <c r="L326" i="17"/>
  <c r="L318" i="17"/>
  <c r="L350" i="17"/>
  <c r="L342" i="17"/>
  <c r="L327" i="17"/>
  <c r="L319" i="17"/>
  <c r="L351" i="17"/>
  <c r="L343" i="17"/>
  <c r="L335" i="17"/>
  <c r="L328" i="17"/>
  <c r="Q33" i="17"/>
  <c r="L314" i="17"/>
  <c r="L339" i="17"/>
  <c r="L346" i="17"/>
  <c r="L330" i="17"/>
  <c r="L344" i="17"/>
  <c r="L352" i="17"/>
  <c r="L331" i="17"/>
  <c r="L320" i="17"/>
  <c r="L332" i="17"/>
  <c r="L323" i="17"/>
  <c r="L321" i="17"/>
  <c r="L313" i="17"/>
  <c r="L336" i="17"/>
  <c r="L353" i="17"/>
  <c r="L322" i="17"/>
  <c r="L324" i="17"/>
  <c r="L354" i="17"/>
  <c r="L337" i="17"/>
  <c r="L329" i="17"/>
  <c r="L345" i="17"/>
  <c r="L355" i="17"/>
  <c r="L315" i="17"/>
  <c r="L338" i="17"/>
  <c r="L347" i="17"/>
  <c r="G34" i="15"/>
  <c r="AQ19" i="15"/>
  <c r="AI18" i="15"/>
  <c r="E18" i="15" s="1"/>
  <c r="D18" i="15"/>
  <c r="AH19" i="15"/>
  <c r="AE20" i="15"/>
  <c r="J35" i="15"/>
  <c r="J20" i="15"/>
  <c r="H20" i="15"/>
  <c r="X21" i="15"/>
  <c r="H36" i="15"/>
  <c r="X37" i="15"/>
  <c r="AE36" i="15"/>
  <c r="AH35" i="15"/>
  <c r="AP19" i="15"/>
  <c r="G19" i="15" s="1"/>
  <c r="AT20" i="15"/>
  <c r="L35" i="15"/>
  <c r="L20" i="15"/>
  <c r="AI34" i="15"/>
  <c r="E34" i="15" s="1"/>
  <c r="D34" i="15"/>
  <c r="F35" i="10"/>
  <c r="L397" i="17" l="1"/>
  <c r="L394" i="17"/>
  <c r="L386" i="17"/>
  <c r="L371" i="17"/>
  <c r="L363" i="17"/>
  <c r="L387" i="17"/>
  <c r="L379" i="17"/>
  <c r="L372" i="17"/>
  <c r="L364" i="17"/>
  <c r="L400" i="17"/>
  <c r="L395" i="17"/>
  <c r="L388" i="17"/>
  <c r="L380" i="17"/>
  <c r="L373" i="17"/>
  <c r="L365" i="17"/>
  <c r="L357" i="17"/>
  <c r="L389" i="17"/>
  <c r="L381" i="17"/>
  <c r="L374" i="17"/>
  <c r="L366" i="17"/>
  <c r="L358" i="17"/>
  <c r="L376" i="17"/>
  <c r="L385" i="17"/>
  <c r="L391" i="17"/>
  <c r="L392" i="17"/>
  <c r="L384" i="17"/>
  <c r="L361" i="17"/>
  <c r="L360" i="17"/>
  <c r="L390" i="17"/>
  <c r="L396" i="17"/>
  <c r="L368" i="17"/>
  <c r="L377" i="17"/>
  <c r="L362" i="17"/>
  <c r="L370" i="17"/>
  <c r="L375" i="17"/>
  <c r="L399" i="17"/>
  <c r="L383" i="17"/>
  <c r="L393" i="17"/>
  <c r="L378" i="17"/>
  <c r="L367" i="17"/>
  <c r="L359" i="17"/>
  <c r="L382" i="17"/>
  <c r="L398" i="17"/>
  <c r="L369" i="17"/>
  <c r="AP20" i="15"/>
  <c r="G20" i="15" s="1"/>
  <c r="AT21" i="15"/>
  <c r="J36" i="15"/>
  <c r="J21" i="15"/>
  <c r="AH36" i="15"/>
  <c r="AE37" i="15"/>
  <c r="AI19" i="15"/>
  <c r="E19" i="15" s="1"/>
  <c r="D19" i="15"/>
  <c r="D35" i="15"/>
  <c r="AI35" i="15"/>
  <c r="E35" i="15" s="1"/>
  <c r="AE21" i="15"/>
  <c r="AH20" i="15"/>
  <c r="X38" i="15"/>
  <c r="H37" i="15"/>
  <c r="L21" i="15"/>
  <c r="L36" i="15"/>
  <c r="H21" i="15"/>
  <c r="X22" i="15"/>
  <c r="AQ20" i="15"/>
  <c r="G35" i="15"/>
  <c r="B251" i="9"/>
  <c r="D251" i="9"/>
  <c r="E251" i="9"/>
  <c r="K251" i="9"/>
  <c r="L251" i="9"/>
  <c r="H251" i="9" s="1" a="1"/>
  <c r="H251" i="9" s="1"/>
  <c r="AM245" i="16" s="1"/>
  <c r="B252" i="9"/>
  <c r="D252" i="9"/>
  <c r="E252" i="9"/>
  <c r="K252" i="9"/>
  <c r="L252" i="9"/>
  <c r="H252" i="9" s="1" a="1"/>
  <c r="H252" i="9" s="1"/>
  <c r="AM252" i="16" s="1"/>
  <c r="B253" i="9"/>
  <c r="D253" i="9"/>
  <c r="E253" i="9"/>
  <c r="K253" i="9"/>
  <c r="L253" i="9"/>
  <c r="H253" i="9" s="1" a="1"/>
  <c r="H253" i="9" s="1"/>
  <c r="AM259" i="16" s="1"/>
  <c r="B254" i="9"/>
  <c r="D254" i="9"/>
  <c r="E254" i="9"/>
  <c r="K254" i="9"/>
  <c r="L254" i="9"/>
  <c r="H254" i="9" s="1" a="1"/>
  <c r="H254" i="9" s="1"/>
  <c r="AM258" i="16" s="1"/>
  <c r="B255" i="9"/>
  <c r="D255" i="9"/>
  <c r="E255" i="9"/>
  <c r="K255" i="9"/>
  <c r="L255" i="9"/>
  <c r="H255" i="9" s="1" a="1"/>
  <c r="H255" i="9" s="1"/>
  <c r="AM257" i="16" s="1"/>
  <c r="B256" i="9"/>
  <c r="D256" i="9"/>
  <c r="E256" i="9"/>
  <c r="K256" i="9"/>
  <c r="L256" i="9"/>
  <c r="H256" i="9" s="1" a="1"/>
  <c r="H256" i="9" s="1"/>
  <c r="AM256" i="16" s="1"/>
  <c r="B257" i="9"/>
  <c r="D257" i="9"/>
  <c r="E257" i="9"/>
  <c r="K257" i="9"/>
  <c r="L257" i="9"/>
  <c r="H257" i="9" s="1" a="1"/>
  <c r="H257" i="9" s="1"/>
  <c r="AM255" i="16" s="1"/>
  <c r="B258" i="9"/>
  <c r="D258" i="9"/>
  <c r="E258" i="9"/>
  <c r="L258" i="9" s="1"/>
  <c r="H258" i="9" s="1" a="1"/>
  <c r="H258" i="9" s="1"/>
  <c r="AM254" i="16" s="1"/>
  <c r="K258" i="9"/>
  <c r="B141" i="9"/>
  <c r="D141" i="9"/>
  <c r="E141" i="9"/>
  <c r="K141" i="9"/>
  <c r="L141" i="9"/>
  <c r="B142" i="9"/>
  <c r="D142" i="9"/>
  <c r="E142" i="9"/>
  <c r="K142" i="9"/>
  <c r="L142" i="9"/>
  <c r="B143" i="9"/>
  <c r="D143" i="9"/>
  <c r="E143" i="9"/>
  <c r="K143" i="9"/>
  <c r="L143" i="9"/>
  <c r="B144" i="9"/>
  <c r="D144" i="9"/>
  <c r="E144" i="9"/>
  <c r="L144" i="9" s="1"/>
  <c r="K144" i="9"/>
  <c r="B145" i="9"/>
  <c r="D145" i="9"/>
  <c r="E145" i="9"/>
  <c r="L145" i="9" s="1"/>
  <c r="K145" i="9"/>
  <c r="B146" i="9"/>
  <c r="D146" i="9"/>
  <c r="E146" i="9"/>
  <c r="K146" i="9"/>
  <c r="L146" i="9"/>
  <c r="B147" i="9"/>
  <c r="D147" i="9"/>
  <c r="E147" i="9"/>
  <c r="K147" i="9"/>
  <c r="L147" i="9"/>
  <c r="B148" i="9"/>
  <c r="D148" i="9"/>
  <c r="E148" i="9"/>
  <c r="L148" i="9" s="1"/>
  <c r="K148" i="9"/>
  <c r="B149" i="9"/>
  <c r="D149" i="9"/>
  <c r="E149" i="9"/>
  <c r="K149" i="9"/>
  <c r="L149" i="9"/>
  <c r="B150" i="9"/>
  <c r="D150" i="9"/>
  <c r="E150" i="9"/>
  <c r="K150" i="9"/>
  <c r="L150" i="9"/>
  <c r="B151" i="9"/>
  <c r="D151" i="9"/>
  <c r="E151" i="9"/>
  <c r="K151" i="9"/>
  <c r="L151" i="9"/>
  <c r="B152" i="9"/>
  <c r="D152" i="9"/>
  <c r="E152" i="9"/>
  <c r="L152" i="9" s="1"/>
  <c r="K152" i="9"/>
  <c r="B153" i="9"/>
  <c r="D153" i="9"/>
  <c r="E153" i="9"/>
  <c r="K153" i="9"/>
  <c r="L153" i="9"/>
  <c r="B154" i="9"/>
  <c r="D154" i="9"/>
  <c r="E154" i="9"/>
  <c r="K154" i="9"/>
  <c r="L154" i="9"/>
  <c r="B155" i="9"/>
  <c r="D155" i="9"/>
  <c r="E155" i="9"/>
  <c r="K155" i="9"/>
  <c r="L155" i="9"/>
  <c r="B156" i="9"/>
  <c r="D156" i="9"/>
  <c r="E156" i="9"/>
  <c r="L156" i="9" s="1"/>
  <c r="K156" i="9"/>
  <c r="B157" i="9"/>
  <c r="D157" i="9"/>
  <c r="E157" i="9"/>
  <c r="K157" i="9"/>
  <c r="L157" i="9"/>
  <c r="B158" i="9"/>
  <c r="D158" i="9"/>
  <c r="E158" i="9"/>
  <c r="K158" i="9"/>
  <c r="L158" i="9"/>
  <c r="B159" i="9"/>
  <c r="D159" i="9"/>
  <c r="E159" i="9"/>
  <c r="K159" i="9"/>
  <c r="L159" i="9"/>
  <c r="B160" i="9"/>
  <c r="D160" i="9"/>
  <c r="E160" i="9"/>
  <c r="L160" i="9" s="1"/>
  <c r="K160" i="9"/>
  <c r="B161" i="9"/>
  <c r="D161" i="9"/>
  <c r="E161" i="9"/>
  <c r="K161" i="9"/>
  <c r="L161" i="9"/>
  <c r="B162" i="9"/>
  <c r="D162" i="9"/>
  <c r="E162" i="9"/>
  <c r="K162" i="9"/>
  <c r="L162" i="9"/>
  <c r="B163" i="9"/>
  <c r="D163" i="9"/>
  <c r="E163" i="9"/>
  <c r="K163" i="9"/>
  <c r="L163" i="9"/>
  <c r="B164" i="9"/>
  <c r="D164" i="9"/>
  <c r="E164" i="9"/>
  <c r="L164" i="9" s="1"/>
  <c r="K164" i="9"/>
  <c r="B165" i="9"/>
  <c r="D165" i="9"/>
  <c r="E165" i="9"/>
  <c r="K165" i="9"/>
  <c r="L165" i="9"/>
  <c r="B166" i="9"/>
  <c r="D166" i="9"/>
  <c r="E166" i="9"/>
  <c r="K166" i="9"/>
  <c r="L166" i="9"/>
  <c r="B167" i="9"/>
  <c r="D167" i="9"/>
  <c r="E167" i="9"/>
  <c r="K167" i="9"/>
  <c r="L167" i="9"/>
  <c r="B168" i="9"/>
  <c r="D168" i="9"/>
  <c r="E168" i="9"/>
  <c r="L168" i="9" s="1"/>
  <c r="K168" i="9"/>
  <c r="B169" i="9"/>
  <c r="D169" i="9"/>
  <c r="E169" i="9"/>
  <c r="K169" i="9"/>
  <c r="L169" i="9"/>
  <c r="B170" i="9"/>
  <c r="D170" i="9"/>
  <c r="E170" i="9"/>
  <c r="K170" i="9"/>
  <c r="L170" i="9"/>
  <c r="B171" i="9"/>
  <c r="D171" i="9"/>
  <c r="E171" i="9"/>
  <c r="K171" i="9"/>
  <c r="L171" i="9"/>
  <c r="B172" i="9"/>
  <c r="D172" i="9"/>
  <c r="E172" i="9"/>
  <c r="L172" i="9" s="1"/>
  <c r="K172" i="9"/>
  <c r="B173" i="9"/>
  <c r="D173" i="9"/>
  <c r="E173" i="9"/>
  <c r="K173" i="9"/>
  <c r="L173" i="9"/>
  <c r="B174" i="9"/>
  <c r="D174" i="9"/>
  <c r="E174" i="9"/>
  <c r="K174" i="9"/>
  <c r="L174" i="9"/>
  <c r="B175" i="9"/>
  <c r="D175" i="9"/>
  <c r="E175" i="9"/>
  <c r="K175" i="9"/>
  <c r="L175" i="9"/>
  <c r="B176" i="9"/>
  <c r="D176" i="9"/>
  <c r="E176" i="9"/>
  <c r="L176" i="9" s="1"/>
  <c r="K176" i="9"/>
  <c r="B177" i="9"/>
  <c r="D177" i="9"/>
  <c r="E177" i="9"/>
  <c r="K177" i="9"/>
  <c r="L177" i="9"/>
  <c r="B178" i="9"/>
  <c r="D178" i="9"/>
  <c r="E178" i="9"/>
  <c r="K178" i="9"/>
  <c r="L178" i="9"/>
  <c r="B179" i="9"/>
  <c r="D179" i="9"/>
  <c r="E179" i="9"/>
  <c r="K179" i="9"/>
  <c r="L179" i="9"/>
  <c r="B180" i="9"/>
  <c r="D180" i="9"/>
  <c r="E180" i="9"/>
  <c r="L180" i="9" s="1"/>
  <c r="K180" i="9"/>
  <c r="B181" i="9"/>
  <c r="D181" i="9"/>
  <c r="E181" i="9"/>
  <c r="K181" i="9"/>
  <c r="L181" i="9"/>
  <c r="B182" i="9"/>
  <c r="D182" i="9"/>
  <c r="E182" i="9"/>
  <c r="K182" i="9"/>
  <c r="L182" i="9"/>
  <c r="B183" i="9"/>
  <c r="D183" i="9"/>
  <c r="E183" i="9"/>
  <c r="K183" i="9"/>
  <c r="L183" i="9"/>
  <c r="B184" i="9"/>
  <c r="D184" i="9"/>
  <c r="E184" i="9"/>
  <c r="L184" i="9" s="1"/>
  <c r="K184" i="9"/>
  <c r="B185" i="9"/>
  <c r="D185" i="9"/>
  <c r="E185" i="9"/>
  <c r="K185" i="9"/>
  <c r="L185" i="9"/>
  <c r="B186" i="9"/>
  <c r="D186" i="9"/>
  <c r="E186" i="9"/>
  <c r="K186" i="9"/>
  <c r="L186" i="9"/>
  <c r="B187" i="9"/>
  <c r="D187" i="9"/>
  <c r="E187" i="9"/>
  <c r="K187" i="9"/>
  <c r="L187" i="9"/>
  <c r="B188" i="9"/>
  <c r="D188" i="9"/>
  <c r="D196" i="9" s="1"/>
  <c r="D204" i="9" s="1"/>
  <c r="D212" i="9" s="1"/>
  <c r="D220" i="9" s="1"/>
  <c r="D228" i="9" s="1"/>
  <c r="D236" i="9" s="1"/>
  <c r="D244" i="9" s="1"/>
  <c r="E188" i="9"/>
  <c r="L188" i="9" s="1"/>
  <c r="K188" i="9"/>
  <c r="B189" i="9"/>
  <c r="D189" i="9"/>
  <c r="E189" i="9"/>
  <c r="K189" i="9"/>
  <c r="L189" i="9"/>
  <c r="B190" i="9"/>
  <c r="D190" i="9"/>
  <c r="E190" i="9"/>
  <c r="K190" i="9"/>
  <c r="L190" i="9"/>
  <c r="B191" i="9"/>
  <c r="D191" i="9"/>
  <c r="E191" i="9"/>
  <c r="K191" i="9"/>
  <c r="L191" i="9"/>
  <c r="B192" i="9"/>
  <c r="D192" i="9"/>
  <c r="D200" i="9" s="1"/>
  <c r="D208" i="9" s="1"/>
  <c r="D216" i="9" s="1"/>
  <c r="D224" i="9" s="1"/>
  <c r="D232" i="9" s="1"/>
  <c r="D240" i="9" s="1"/>
  <c r="D248" i="9" s="1"/>
  <c r="E192" i="9"/>
  <c r="L192" i="9" s="1"/>
  <c r="K192" i="9"/>
  <c r="B193" i="9"/>
  <c r="D193" i="9"/>
  <c r="E193" i="9"/>
  <c r="K193" i="9"/>
  <c r="L193" i="9"/>
  <c r="B194" i="9"/>
  <c r="D194" i="9"/>
  <c r="E194" i="9"/>
  <c r="L194" i="9" s="1"/>
  <c r="K194" i="9"/>
  <c r="B195" i="9"/>
  <c r="D195" i="9"/>
  <c r="E195" i="9"/>
  <c r="L195" i="9"/>
  <c r="B196" i="9"/>
  <c r="E196" i="9"/>
  <c r="L196" i="9" s="1"/>
  <c r="K196" i="9"/>
  <c r="B197" i="9"/>
  <c r="D197" i="9"/>
  <c r="E197" i="9"/>
  <c r="L197" i="9" s="1"/>
  <c r="K197" i="9"/>
  <c r="B198" i="9"/>
  <c r="D198" i="9"/>
  <c r="E198" i="9"/>
  <c r="K198" i="9"/>
  <c r="L198" i="9"/>
  <c r="B199" i="9"/>
  <c r="D199" i="9"/>
  <c r="E199" i="9"/>
  <c r="L199" i="9"/>
  <c r="B200" i="9"/>
  <c r="E200" i="9"/>
  <c r="L200" i="9" s="1"/>
  <c r="K200" i="9"/>
  <c r="B201" i="9"/>
  <c r="D201" i="9"/>
  <c r="E201" i="9"/>
  <c r="L201" i="9" s="1"/>
  <c r="K201" i="9"/>
  <c r="B202" i="9"/>
  <c r="D202" i="9"/>
  <c r="E202" i="9"/>
  <c r="K202" i="9"/>
  <c r="L202" i="9"/>
  <c r="B203" i="9"/>
  <c r="D203" i="9"/>
  <c r="E203" i="9"/>
  <c r="L203" i="9"/>
  <c r="B204" i="9"/>
  <c r="E204" i="9"/>
  <c r="L204" i="9" s="1"/>
  <c r="K204" i="9"/>
  <c r="B205" i="9"/>
  <c r="D205" i="9"/>
  <c r="E205" i="9"/>
  <c r="L205" i="9" s="1"/>
  <c r="H205" i="9" s="1" a="1"/>
  <c r="H205" i="9" s="1"/>
  <c r="AM211" i="16" s="1"/>
  <c r="K205" i="9"/>
  <c r="B206" i="9"/>
  <c r="D206" i="9"/>
  <c r="E206" i="9"/>
  <c r="K206" i="9"/>
  <c r="L206" i="9"/>
  <c r="H206" i="9" s="1" a="1"/>
  <c r="H206" i="9" s="1"/>
  <c r="AM210" i="16" s="1"/>
  <c r="B207" i="9"/>
  <c r="D207" i="9"/>
  <c r="E207" i="9"/>
  <c r="L207" i="9"/>
  <c r="H207" i="9" s="1" a="1"/>
  <c r="H207" i="9" s="1"/>
  <c r="AM209" i="16" s="1"/>
  <c r="B208" i="9"/>
  <c r="E208" i="9"/>
  <c r="L208" i="9" s="1"/>
  <c r="H208" i="9" s="1" a="1"/>
  <c r="H208" i="9" s="1"/>
  <c r="AM208" i="16" s="1"/>
  <c r="K208" i="9"/>
  <c r="B209" i="9"/>
  <c r="D209" i="9"/>
  <c r="E209" i="9"/>
  <c r="L209" i="9" s="1"/>
  <c r="H209" i="9" s="1" a="1"/>
  <c r="H209" i="9" s="1"/>
  <c r="AM207" i="16" s="1"/>
  <c r="K209" i="9"/>
  <c r="B210" i="9"/>
  <c r="D210" i="9"/>
  <c r="E210" i="9"/>
  <c r="K210" i="9"/>
  <c r="L210" i="9"/>
  <c r="H210" i="9" s="1" a="1"/>
  <c r="H210" i="9" s="1"/>
  <c r="AM206" i="16" s="1"/>
  <c r="B211" i="9"/>
  <c r="D211" i="9"/>
  <c r="E211" i="9"/>
  <c r="L211" i="9"/>
  <c r="H211" i="9" s="1" a="1"/>
  <c r="H211" i="9" s="1"/>
  <c r="AM205" i="16" s="1"/>
  <c r="B212" i="9"/>
  <c r="E212" i="9"/>
  <c r="L212" i="9" s="1"/>
  <c r="H212" i="9" s="1" a="1"/>
  <c r="H212" i="9" s="1"/>
  <c r="AM212" i="16" s="1"/>
  <c r="K212" i="9"/>
  <c r="B213" i="9"/>
  <c r="D213" i="9"/>
  <c r="E213" i="9"/>
  <c r="L213" i="9" s="1"/>
  <c r="H213" i="9" s="1" a="1"/>
  <c r="H213" i="9" s="1"/>
  <c r="AM219" i="16" s="1"/>
  <c r="K213" i="9"/>
  <c r="B214" i="9"/>
  <c r="D214" i="9"/>
  <c r="E214" i="9"/>
  <c r="K214" i="9"/>
  <c r="L214" i="9"/>
  <c r="H214" i="9" s="1" a="1"/>
  <c r="H214" i="9" s="1"/>
  <c r="AM218" i="16" s="1"/>
  <c r="B215" i="9"/>
  <c r="D215" i="9"/>
  <c r="E215" i="9"/>
  <c r="L215" i="9"/>
  <c r="H215" i="9" s="1" a="1"/>
  <c r="H215" i="9" s="1"/>
  <c r="AM217" i="16" s="1"/>
  <c r="B216" i="9"/>
  <c r="E216" i="9"/>
  <c r="L216" i="9" s="1"/>
  <c r="H216" i="9" s="1" a="1"/>
  <c r="H216" i="9" s="1"/>
  <c r="AM216" i="16" s="1"/>
  <c r="K216" i="9"/>
  <c r="B217" i="9"/>
  <c r="D217" i="9"/>
  <c r="E217" i="9"/>
  <c r="L217" i="9" s="1"/>
  <c r="H217" i="9" s="1" a="1"/>
  <c r="H217" i="9" s="1"/>
  <c r="AM215" i="16" s="1"/>
  <c r="K217" i="9"/>
  <c r="B218" i="9"/>
  <c r="D218" i="9"/>
  <c r="E218" i="9"/>
  <c r="K218" i="9"/>
  <c r="L218" i="9"/>
  <c r="H218" i="9" s="1" a="1"/>
  <c r="H218" i="9" s="1"/>
  <c r="AM214" i="16" s="1"/>
  <c r="B219" i="9"/>
  <c r="D219" i="9"/>
  <c r="E219" i="9"/>
  <c r="L219" i="9"/>
  <c r="H219" i="9" s="1" a="1"/>
  <c r="H219" i="9" s="1"/>
  <c r="AM213" i="16" s="1"/>
  <c r="B220" i="9"/>
  <c r="E220" i="9"/>
  <c r="L220" i="9" s="1"/>
  <c r="H220" i="9" s="1" a="1"/>
  <c r="H220" i="9" s="1"/>
  <c r="AM220" i="16" s="1"/>
  <c r="K220" i="9"/>
  <c r="B221" i="9"/>
  <c r="D221" i="9"/>
  <c r="E221" i="9"/>
  <c r="L221" i="9" s="1"/>
  <c r="H221" i="9" s="1" a="1"/>
  <c r="H221" i="9" s="1"/>
  <c r="AM227" i="16" s="1"/>
  <c r="K221" i="9"/>
  <c r="B222" i="9"/>
  <c r="D222" i="9"/>
  <c r="E222" i="9"/>
  <c r="K222" i="9"/>
  <c r="L222" i="9"/>
  <c r="H222" i="9" s="1" a="1"/>
  <c r="H222" i="9" s="1"/>
  <c r="AM226" i="16" s="1"/>
  <c r="B223" i="9"/>
  <c r="D223" i="9"/>
  <c r="E223" i="9"/>
  <c r="L223" i="9"/>
  <c r="H223" i="9" s="1" a="1"/>
  <c r="H223" i="9" s="1"/>
  <c r="AM225" i="16" s="1"/>
  <c r="B224" i="9"/>
  <c r="E224" i="9"/>
  <c r="L224" i="9" s="1"/>
  <c r="H224" i="9" s="1" a="1"/>
  <c r="H224" i="9" s="1"/>
  <c r="AM224" i="16" s="1"/>
  <c r="K224" i="9"/>
  <c r="B225" i="9"/>
  <c r="D225" i="9"/>
  <c r="E225" i="9"/>
  <c r="L225" i="9" s="1"/>
  <c r="H225" i="9" s="1" a="1"/>
  <c r="H225" i="9" s="1"/>
  <c r="AM223" i="16" s="1"/>
  <c r="K225" i="9"/>
  <c r="B226" i="9"/>
  <c r="D226" i="9"/>
  <c r="E226" i="9"/>
  <c r="K226" i="9"/>
  <c r="L226" i="9"/>
  <c r="H226" i="9" s="1" a="1"/>
  <c r="H226" i="9" s="1"/>
  <c r="AM222" i="16" s="1"/>
  <c r="B227" i="9"/>
  <c r="D227" i="9"/>
  <c r="E227" i="9"/>
  <c r="L227" i="9"/>
  <c r="H227" i="9" s="1" a="1"/>
  <c r="H227" i="9" s="1"/>
  <c r="AM221" i="16" s="1"/>
  <c r="B228" i="9"/>
  <c r="E228" i="9"/>
  <c r="L228" i="9" s="1"/>
  <c r="H228" i="9" s="1" a="1"/>
  <c r="H228" i="9" s="1"/>
  <c r="AM228" i="16" s="1"/>
  <c r="K228" i="9"/>
  <c r="B229" i="9"/>
  <c r="D229" i="9"/>
  <c r="E229" i="9"/>
  <c r="L229" i="9" s="1"/>
  <c r="H229" i="9" s="1" a="1"/>
  <c r="H229" i="9" s="1"/>
  <c r="AM235" i="16" s="1"/>
  <c r="K229" i="9"/>
  <c r="B230" i="9"/>
  <c r="D230" i="9"/>
  <c r="E230" i="9"/>
  <c r="K230" i="9"/>
  <c r="L230" i="9"/>
  <c r="H230" i="9" s="1" a="1"/>
  <c r="H230" i="9" s="1"/>
  <c r="AM234" i="16" s="1"/>
  <c r="B231" i="9"/>
  <c r="D231" i="9"/>
  <c r="E231" i="9"/>
  <c r="L231" i="9"/>
  <c r="H231" i="9" s="1" a="1"/>
  <c r="H231" i="9" s="1"/>
  <c r="AM233" i="16" s="1"/>
  <c r="B232" i="9"/>
  <c r="E232" i="9"/>
  <c r="L232" i="9" s="1"/>
  <c r="H232" i="9" s="1" a="1"/>
  <c r="H232" i="9" s="1"/>
  <c r="AM232" i="16" s="1"/>
  <c r="K232" i="9"/>
  <c r="B233" i="9"/>
  <c r="D233" i="9"/>
  <c r="E233" i="9"/>
  <c r="L233" i="9" s="1"/>
  <c r="H233" i="9" s="1" a="1"/>
  <c r="H233" i="9" s="1"/>
  <c r="AM231" i="16" s="1"/>
  <c r="K233" i="9"/>
  <c r="B234" i="9"/>
  <c r="D234" i="9"/>
  <c r="E234" i="9"/>
  <c r="K234" i="9"/>
  <c r="L234" i="9"/>
  <c r="H234" i="9" s="1" a="1"/>
  <c r="H234" i="9" s="1"/>
  <c r="AM230" i="16" s="1"/>
  <c r="B235" i="9"/>
  <c r="D235" i="9"/>
  <c r="E235" i="9"/>
  <c r="L235" i="9"/>
  <c r="H235" i="9" s="1" a="1"/>
  <c r="H235" i="9" s="1"/>
  <c r="AM229" i="16" s="1"/>
  <c r="B236" i="9"/>
  <c r="E236" i="9"/>
  <c r="L236" i="9" s="1"/>
  <c r="H236" i="9" s="1" a="1"/>
  <c r="H236" i="9" s="1"/>
  <c r="AM236" i="16" s="1"/>
  <c r="K236" i="9"/>
  <c r="B237" i="9"/>
  <c r="D237" i="9"/>
  <c r="E237" i="9"/>
  <c r="L237" i="9" s="1"/>
  <c r="H237" i="9" s="1" a="1"/>
  <c r="H237" i="9" s="1"/>
  <c r="AM243" i="16" s="1"/>
  <c r="K237" i="9"/>
  <c r="B238" i="9"/>
  <c r="D238" i="9"/>
  <c r="E238" i="9"/>
  <c r="K238" i="9"/>
  <c r="L238" i="9"/>
  <c r="H238" i="9" s="1" a="1"/>
  <c r="H238" i="9" s="1"/>
  <c r="AM242" i="16" s="1"/>
  <c r="B239" i="9"/>
  <c r="D239" i="9"/>
  <c r="E239" i="9"/>
  <c r="L239" i="9"/>
  <c r="H239" i="9" s="1" a="1"/>
  <c r="H239" i="9" s="1"/>
  <c r="AM241" i="16" s="1"/>
  <c r="B240" i="9"/>
  <c r="E240" i="9"/>
  <c r="L240" i="9" s="1"/>
  <c r="H240" i="9" s="1" a="1"/>
  <c r="H240" i="9" s="1"/>
  <c r="AM240" i="16" s="1"/>
  <c r="K240" i="9"/>
  <c r="B241" i="9"/>
  <c r="D241" i="9"/>
  <c r="E241" i="9"/>
  <c r="L241" i="9" s="1"/>
  <c r="H241" i="9" s="1" a="1"/>
  <c r="H241" i="9" s="1"/>
  <c r="AM239" i="16" s="1"/>
  <c r="K241" i="9"/>
  <c r="B242" i="9"/>
  <c r="D242" i="9"/>
  <c r="E242" i="9"/>
  <c r="K242" i="9"/>
  <c r="L242" i="9"/>
  <c r="H242" i="9" s="1" a="1"/>
  <c r="H242" i="9" s="1"/>
  <c r="AM238" i="16" s="1"/>
  <c r="B243" i="9"/>
  <c r="D243" i="9"/>
  <c r="E243" i="9"/>
  <c r="L243" i="9"/>
  <c r="H243" i="9" s="1" a="1"/>
  <c r="H243" i="9" s="1"/>
  <c r="AM237" i="16" s="1"/>
  <c r="B244" i="9"/>
  <c r="E244" i="9"/>
  <c r="L244" i="9" s="1"/>
  <c r="H244" i="9" s="1" a="1"/>
  <c r="H244" i="9" s="1"/>
  <c r="AM244" i="16" s="1"/>
  <c r="K244" i="9"/>
  <c r="B245" i="9"/>
  <c r="D245" i="9"/>
  <c r="E245" i="9"/>
  <c r="L245" i="9" s="1"/>
  <c r="H245" i="9" s="1" a="1"/>
  <c r="H245" i="9" s="1"/>
  <c r="AM251" i="16" s="1"/>
  <c r="K245" i="9"/>
  <c r="B246" i="9"/>
  <c r="D246" i="9"/>
  <c r="E246" i="9"/>
  <c r="K246" i="9"/>
  <c r="L246" i="9"/>
  <c r="H246" i="9" s="1" a="1"/>
  <c r="H246" i="9" s="1"/>
  <c r="AM250" i="16" s="1"/>
  <c r="B247" i="9"/>
  <c r="D247" i="9"/>
  <c r="E247" i="9"/>
  <c r="L247" i="9"/>
  <c r="H247" i="9" s="1" a="1"/>
  <c r="H247" i="9" s="1"/>
  <c r="AM249" i="16" s="1"/>
  <c r="B248" i="9"/>
  <c r="E248" i="9"/>
  <c r="L248" i="9" s="1"/>
  <c r="H248" i="9" s="1" a="1"/>
  <c r="H248" i="9" s="1"/>
  <c r="AM248" i="16" s="1"/>
  <c r="K248" i="9"/>
  <c r="B249" i="9"/>
  <c r="D249" i="9"/>
  <c r="E249" i="9"/>
  <c r="L249" i="9" s="1"/>
  <c r="H249" i="9" s="1" a="1"/>
  <c r="H249" i="9" s="1"/>
  <c r="AM247" i="16" s="1"/>
  <c r="K249" i="9"/>
  <c r="B250" i="9"/>
  <c r="D250" i="9"/>
  <c r="E250" i="9"/>
  <c r="K250" i="9"/>
  <c r="L250" i="9"/>
  <c r="H250" i="9" s="1" a="1"/>
  <c r="H250" i="9" s="1"/>
  <c r="AM246" i="16" s="1"/>
  <c r="B137" i="9"/>
  <c r="D137" i="9"/>
  <c r="E137" i="9"/>
  <c r="K137" i="9"/>
  <c r="L137" i="9"/>
  <c r="B138" i="9"/>
  <c r="D138" i="9"/>
  <c r="E138" i="9"/>
  <c r="K138" i="9"/>
  <c r="L138" i="9"/>
  <c r="B139" i="9"/>
  <c r="D139" i="9"/>
  <c r="E139" i="9"/>
  <c r="K139" i="9"/>
  <c r="L139" i="9"/>
  <c r="B140" i="9"/>
  <c r="D140" i="9"/>
  <c r="E140" i="9"/>
  <c r="K140" i="9"/>
  <c r="L140" i="9"/>
  <c r="B134" i="9"/>
  <c r="D134" i="9"/>
  <c r="E134" i="9"/>
  <c r="K134" i="9"/>
  <c r="L134" i="9"/>
  <c r="B135" i="9"/>
  <c r="D135" i="9"/>
  <c r="E135" i="9"/>
  <c r="K135" i="9"/>
  <c r="L135" i="9"/>
  <c r="B136" i="9"/>
  <c r="D136" i="9"/>
  <c r="E136" i="9"/>
  <c r="K136" i="9"/>
  <c r="L136" i="9"/>
  <c r="E133" i="9"/>
  <c r="B133" i="9"/>
  <c r="D133" i="9"/>
  <c r="K133" i="9"/>
  <c r="L133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67" i="9"/>
  <c r="D67" i="9"/>
  <c r="D75" i="9" s="1"/>
  <c r="D83" i="9" s="1"/>
  <c r="D91" i="9" s="1"/>
  <c r="D99" i="9" s="1"/>
  <c r="D107" i="9" s="1"/>
  <c r="D115" i="9" s="1"/>
  <c r="D123" i="9" s="1"/>
  <c r="D131" i="9" s="1"/>
  <c r="B68" i="9"/>
  <c r="B69" i="9"/>
  <c r="D69" i="9"/>
  <c r="B70" i="9"/>
  <c r="K70" i="9"/>
  <c r="B71" i="9"/>
  <c r="B72" i="9"/>
  <c r="B73" i="9"/>
  <c r="D73" i="9"/>
  <c r="B74" i="9"/>
  <c r="K74" i="9"/>
  <c r="B75" i="9"/>
  <c r="B76" i="9"/>
  <c r="B77" i="9"/>
  <c r="D77" i="9"/>
  <c r="B78" i="9"/>
  <c r="K78" i="9"/>
  <c r="B79" i="9"/>
  <c r="B80" i="9"/>
  <c r="B81" i="9"/>
  <c r="D81" i="9"/>
  <c r="B82" i="9"/>
  <c r="K82" i="9"/>
  <c r="B83" i="9"/>
  <c r="B84" i="9"/>
  <c r="B85" i="9"/>
  <c r="D85" i="9"/>
  <c r="B86" i="9"/>
  <c r="K86" i="9"/>
  <c r="B87" i="9"/>
  <c r="B88" i="9"/>
  <c r="B89" i="9"/>
  <c r="D89" i="9"/>
  <c r="B90" i="9"/>
  <c r="K90" i="9"/>
  <c r="B91" i="9"/>
  <c r="B92" i="9"/>
  <c r="B93" i="9"/>
  <c r="D93" i="9"/>
  <c r="D101" i="9" s="1"/>
  <c r="D109" i="9" s="1"/>
  <c r="D117" i="9" s="1"/>
  <c r="D125" i="9" s="1"/>
  <c r="B94" i="9"/>
  <c r="K94" i="9"/>
  <c r="K102" i="9" s="1"/>
  <c r="K110" i="9" s="1"/>
  <c r="K118" i="9" s="1"/>
  <c r="K126" i="9" s="1"/>
  <c r="B95" i="9"/>
  <c r="B96" i="9"/>
  <c r="B97" i="9"/>
  <c r="D97" i="9"/>
  <c r="D105" i="9" s="1"/>
  <c r="D113" i="9" s="1"/>
  <c r="D121" i="9" s="1"/>
  <c r="D129" i="9" s="1"/>
  <c r="B98" i="9"/>
  <c r="K98" i="9"/>
  <c r="K106" i="9" s="1"/>
  <c r="K114" i="9" s="1"/>
  <c r="K122" i="9" s="1"/>
  <c r="K130" i="9" s="1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5" i="9"/>
  <c r="D15" i="9"/>
  <c r="D23" i="9" s="1"/>
  <c r="D31" i="9" s="1"/>
  <c r="D39" i="9" s="1"/>
  <c r="D47" i="9" s="1"/>
  <c r="D55" i="9" s="1"/>
  <c r="D63" i="9" s="1"/>
  <c r="D71" i="9" s="1"/>
  <c r="D79" i="9" s="1"/>
  <c r="D87" i="9" s="1"/>
  <c r="D95" i="9" s="1"/>
  <c r="D103" i="9" s="1"/>
  <c r="D111" i="9" s="1"/>
  <c r="D119" i="9" s="1"/>
  <c r="D127" i="9" s="1"/>
  <c r="E15" i="9"/>
  <c r="E16" i="9" s="1"/>
  <c r="K15" i="9"/>
  <c r="L15" i="9"/>
  <c r="B16" i="9"/>
  <c r="D16" i="9"/>
  <c r="K16" i="9"/>
  <c r="B17" i="9"/>
  <c r="D17" i="9"/>
  <c r="K17" i="9"/>
  <c r="B18" i="9"/>
  <c r="D18" i="9"/>
  <c r="K18" i="9"/>
  <c r="B19" i="9"/>
  <c r="D19" i="9"/>
  <c r="K19" i="9"/>
  <c r="B20" i="9"/>
  <c r="D20" i="9"/>
  <c r="K20" i="9"/>
  <c r="B21" i="9"/>
  <c r="D21" i="9"/>
  <c r="K21" i="9"/>
  <c r="B22" i="9"/>
  <c r="D22" i="9"/>
  <c r="K22" i="9"/>
  <c r="B23" i="9"/>
  <c r="K23" i="9"/>
  <c r="B24" i="9"/>
  <c r="D24" i="9"/>
  <c r="K24" i="9"/>
  <c r="B25" i="9"/>
  <c r="D25" i="9"/>
  <c r="K25" i="9"/>
  <c r="B26" i="9"/>
  <c r="D26" i="9"/>
  <c r="K26" i="9"/>
  <c r="B27" i="9"/>
  <c r="D27" i="9"/>
  <c r="K27" i="9"/>
  <c r="B28" i="9"/>
  <c r="D28" i="9"/>
  <c r="K28" i="9"/>
  <c r="B29" i="9"/>
  <c r="D29" i="9"/>
  <c r="K29" i="9"/>
  <c r="B30" i="9"/>
  <c r="D30" i="9"/>
  <c r="K30" i="9"/>
  <c r="B31" i="9"/>
  <c r="K31" i="9"/>
  <c r="B32" i="9"/>
  <c r="D32" i="9"/>
  <c r="K32" i="9"/>
  <c r="B33" i="9"/>
  <c r="D33" i="9"/>
  <c r="K33" i="9"/>
  <c r="B34" i="9"/>
  <c r="D34" i="9"/>
  <c r="K34" i="9"/>
  <c r="B35" i="9"/>
  <c r="D35" i="9"/>
  <c r="K35" i="9"/>
  <c r="B36" i="9"/>
  <c r="D36" i="9"/>
  <c r="K36" i="9"/>
  <c r="B37" i="9"/>
  <c r="D37" i="9"/>
  <c r="K37" i="9"/>
  <c r="B38" i="9"/>
  <c r="D38" i="9"/>
  <c r="K38" i="9"/>
  <c r="B39" i="9"/>
  <c r="K39" i="9"/>
  <c r="B40" i="9"/>
  <c r="D40" i="9"/>
  <c r="K40" i="9"/>
  <c r="B41" i="9"/>
  <c r="D41" i="9"/>
  <c r="K41" i="9"/>
  <c r="B42" i="9"/>
  <c r="D42" i="9"/>
  <c r="K42" i="9"/>
  <c r="B43" i="9"/>
  <c r="D43" i="9"/>
  <c r="K43" i="9"/>
  <c r="B44" i="9"/>
  <c r="D44" i="9"/>
  <c r="K44" i="9"/>
  <c r="B45" i="9"/>
  <c r="D45" i="9"/>
  <c r="K45" i="9"/>
  <c r="B46" i="9"/>
  <c r="D46" i="9"/>
  <c r="K46" i="9"/>
  <c r="B47" i="9"/>
  <c r="K47" i="9"/>
  <c r="B48" i="9"/>
  <c r="D48" i="9"/>
  <c r="K48" i="9"/>
  <c r="B49" i="9"/>
  <c r="D49" i="9"/>
  <c r="K49" i="9"/>
  <c r="B50" i="9"/>
  <c r="D50" i="9"/>
  <c r="K50" i="9"/>
  <c r="B51" i="9"/>
  <c r="D51" i="9"/>
  <c r="K51" i="9"/>
  <c r="B52" i="9"/>
  <c r="D52" i="9"/>
  <c r="K52" i="9"/>
  <c r="B53" i="9"/>
  <c r="D53" i="9"/>
  <c r="K53" i="9"/>
  <c r="B54" i="9"/>
  <c r="D54" i="9"/>
  <c r="K54" i="9"/>
  <c r="B55" i="9"/>
  <c r="K55" i="9"/>
  <c r="B56" i="9"/>
  <c r="D56" i="9"/>
  <c r="K56" i="9"/>
  <c r="B57" i="9"/>
  <c r="D57" i="9"/>
  <c r="K57" i="9"/>
  <c r="B58" i="9"/>
  <c r="D58" i="9"/>
  <c r="K58" i="9"/>
  <c r="B59" i="9"/>
  <c r="D59" i="9"/>
  <c r="K59" i="9"/>
  <c r="K67" i="9" s="1"/>
  <c r="K75" i="9" s="1"/>
  <c r="K83" i="9" s="1"/>
  <c r="K91" i="9" s="1"/>
  <c r="K99" i="9" s="1"/>
  <c r="K107" i="9" s="1"/>
  <c r="K115" i="9" s="1"/>
  <c r="K123" i="9" s="1"/>
  <c r="K131" i="9" s="1"/>
  <c r="B60" i="9"/>
  <c r="D60" i="9"/>
  <c r="D68" i="9" s="1"/>
  <c r="D76" i="9" s="1"/>
  <c r="D84" i="9" s="1"/>
  <c r="D92" i="9" s="1"/>
  <c r="D100" i="9" s="1"/>
  <c r="D108" i="9" s="1"/>
  <c r="D116" i="9" s="1"/>
  <c r="D124" i="9" s="1"/>
  <c r="D132" i="9" s="1"/>
  <c r="K60" i="9"/>
  <c r="K68" i="9" s="1"/>
  <c r="K76" i="9" s="1"/>
  <c r="K84" i="9" s="1"/>
  <c r="K92" i="9" s="1"/>
  <c r="K100" i="9" s="1"/>
  <c r="K108" i="9" s="1"/>
  <c r="K116" i="9" s="1"/>
  <c r="K124" i="9" s="1"/>
  <c r="K132" i="9" s="1"/>
  <c r="B61" i="9"/>
  <c r="D61" i="9"/>
  <c r="K61" i="9"/>
  <c r="K69" i="9" s="1"/>
  <c r="K77" i="9" s="1"/>
  <c r="K85" i="9" s="1"/>
  <c r="K93" i="9" s="1"/>
  <c r="K101" i="9" s="1"/>
  <c r="K109" i="9" s="1"/>
  <c r="K117" i="9" s="1"/>
  <c r="K125" i="9" s="1"/>
  <c r="B62" i="9"/>
  <c r="D62" i="9"/>
  <c r="D70" i="9" s="1"/>
  <c r="D78" i="9" s="1"/>
  <c r="D86" i="9" s="1"/>
  <c r="D94" i="9" s="1"/>
  <c r="D102" i="9" s="1"/>
  <c r="D110" i="9" s="1"/>
  <c r="D118" i="9" s="1"/>
  <c r="D126" i="9" s="1"/>
  <c r="K62" i="9"/>
  <c r="B63" i="9"/>
  <c r="K63" i="9"/>
  <c r="K71" i="9" s="1"/>
  <c r="K79" i="9" s="1"/>
  <c r="K87" i="9" s="1"/>
  <c r="K95" i="9" s="1"/>
  <c r="K103" i="9" s="1"/>
  <c r="K111" i="9" s="1"/>
  <c r="K119" i="9" s="1"/>
  <c r="K127" i="9" s="1"/>
  <c r="B64" i="9"/>
  <c r="D64" i="9"/>
  <c r="D72" i="9" s="1"/>
  <c r="D80" i="9" s="1"/>
  <c r="D88" i="9" s="1"/>
  <c r="D96" i="9" s="1"/>
  <c r="D104" i="9" s="1"/>
  <c r="D112" i="9" s="1"/>
  <c r="D120" i="9" s="1"/>
  <c r="D128" i="9" s="1"/>
  <c r="K64" i="9"/>
  <c r="K72" i="9" s="1"/>
  <c r="K80" i="9" s="1"/>
  <c r="K88" i="9" s="1"/>
  <c r="K96" i="9" s="1"/>
  <c r="K104" i="9" s="1"/>
  <c r="K112" i="9" s="1"/>
  <c r="K120" i="9" s="1"/>
  <c r="B65" i="9"/>
  <c r="D65" i="9"/>
  <c r="K65" i="9"/>
  <c r="K73" i="9" s="1"/>
  <c r="K81" i="9" s="1"/>
  <c r="K89" i="9" s="1"/>
  <c r="K97" i="9" s="1"/>
  <c r="K105" i="9" s="1"/>
  <c r="K113" i="9" s="1"/>
  <c r="K121" i="9" s="1"/>
  <c r="K129" i="9" s="1"/>
  <c r="B66" i="9"/>
  <c r="D66" i="9"/>
  <c r="D74" i="9" s="1"/>
  <c r="D82" i="9" s="1"/>
  <c r="D90" i="9" s="1"/>
  <c r="D98" i="9" s="1"/>
  <c r="D106" i="9" s="1"/>
  <c r="D114" i="9" s="1"/>
  <c r="D122" i="9" s="1"/>
  <c r="D130" i="9" s="1"/>
  <c r="K66" i="9"/>
  <c r="K14" i="9"/>
  <c r="L14" i="9"/>
  <c r="D14" i="9"/>
  <c r="B13" i="9"/>
  <c r="B14" i="9"/>
  <c r="E14" i="9"/>
  <c r="L13" i="9"/>
  <c r="K13" i="9"/>
  <c r="D13" i="9"/>
  <c r="K6" i="9"/>
  <c r="K7" i="9"/>
  <c r="K8" i="9"/>
  <c r="K9" i="9"/>
  <c r="K10" i="9"/>
  <c r="K11" i="9"/>
  <c r="K12" i="9"/>
  <c r="K5" i="9"/>
  <c r="L6" i="9"/>
  <c r="L7" i="9"/>
  <c r="L8" i="9"/>
  <c r="L9" i="9"/>
  <c r="L10" i="9"/>
  <c r="L11" i="9"/>
  <c r="L12" i="9"/>
  <c r="L5" i="9"/>
  <c r="E7" i="9"/>
  <c r="E8" i="9" s="1"/>
  <c r="E9" i="9" s="1"/>
  <c r="E10" i="9" s="1"/>
  <c r="E11" i="9" s="1"/>
  <c r="E12" i="9" s="1"/>
  <c r="E6" i="9"/>
  <c r="B6" i="9"/>
  <c r="B7" i="9"/>
  <c r="B8" i="9"/>
  <c r="B9" i="9"/>
  <c r="B10" i="9"/>
  <c r="B11" i="9"/>
  <c r="B12" i="9"/>
  <c r="B5" i="9"/>
  <c r="T38" i="5"/>
  <c r="M26" i="5"/>
  <c r="N26" i="5"/>
  <c r="O26" i="5"/>
  <c r="P26" i="5"/>
  <c r="Q26" i="5"/>
  <c r="R26" i="5"/>
  <c r="S26" i="5"/>
  <c r="N38" i="5"/>
  <c r="O38" i="5"/>
  <c r="P38" i="5"/>
  <c r="Q38" i="5" s="1"/>
  <c r="R38" i="5" s="1"/>
  <c r="S38" i="5" s="1"/>
  <c r="M38" i="5"/>
  <c r="L40" i="5"/>
  <c r="L26" i="5" s="1"/>
  <c r="N39" i="5"/>
  <c r="O39" i="5" s="1"/>
  <c r="P39" i="5" s="1"/>
  <c r="Q39" i="5" s="1"/>
  <c r="R39" i="5" s="1"/>
  <c r="S39" i="5" s="1"/>
  <c r="T39" i="5" s="1"/>
  <c r="M39" i="5"/>
  <c r="G26" i="5"/>
  <c r="H26" i="5" s="1"/>
  <c r="I26" i="5" s="1"/>
  <c r="J26" i="5" s="1"/>
  <c r="K26" i="5" s="1"/>
  <c r="F2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N50" i="5"/>
  <c r="K51" i="5"/>
  <c r="L51" i="5"/>
  <c r="M51" i="5"/>
  <c r="N51" i="5"/>
  <c r="K52" i="5"/>
  <c r="L52" i="5"/>
  <c r="M52" i="5"/>
  <c r="N52" i="5"/>
  <c r="K53" i="5"/>
  <c r="L53" i="5"/>
  <c r="M53" i="5"/>
  <c r="N53" i="5"/>
  <c r="J48" i="5"/>
  <c r="J49" i="5"/>
  <c r="J50" i="5"/>
  <c r="J51" i="5"/>
  <c r="J52" i="5"/>
  <c r="J53" i="5"/>
  <c r="J47" i="5"/>
  <c r="H255" i="16" l="1"/>
  <c r="AB255" i="16" s="1"/>
  <c r="AC255" i="16" s="1"/>
  <c r="H231" i="16"/>
  <c r="AB231" i="16" s="1"/>
  <c r="AC231" i="16" s="1"/>
  <c r="AD231" i="16" s="1"/>
  <c r="H239" i="16"/>
  <c r="AB239" i="16" s="1"/>
  <c r="AC239" i="16" s="1"/>
  <c r="AD239" i="16" s="1"/>
  <c r="H247" i="16"/>
  <c r="AB247" i="16" s="1"/>
  <c r="AC247" i="16" s="1"/>
  <c r="AD247" i="16" s="1"/>
  <c r="H215" i="16"/>
  <c r="AB215" i="16" s="1"/>
  <c r="AC215" i="16" s="1"/>
  <c r="AD215" i="16" s="1"/>
  <c r="H223" i="16"/>
  <c r="AB223" i="16" s="1"/>
  <c r="AC223" i="16" s="1"/>
  <c r="AD223" i="16" s="1"/>
  <c r="H207" i="16"/>
  <c r="AB207" i="16" s="1"/>
  <c r="AC207" i="16" s="1"/>
  <c r="AD207" i="16" s="1"/>
  <c r="H258" i="16"/>
  <c r="AB258" i="16" s="1"/>
  <c r="AC258" i="16" s="1"/>
  <c r="H226" i="16"/>
  <c r="AB226" i="16" s="1"/>
  <c r="AC226" i="16" s="1"/>
  <c r="AD226" i="16" s="1"/>
  <c r="H210" i="16"/>
  <c r="AB210" i="16" s="1"/>
  <c r="AC210" i="16" s="1"/>
  <c r="AD210" i="16" s="1"/>
  <c r="H234" i="16"/>
  <c r="AB234" i="16" s="1"/>
  <c r="AC234" i="16" s="1"/>
  <c r="AD234" i="16" s="1"/>
  <c r="H242" i="16"/>
  <c r="AB242" i="16" s="1"/>
  <c r="AC242" i="16" s="1"/>
  <c r="AD242" i="16" s="1"/>
  <c r="H218" i="16"/>
  <c r="AB218" i="16" s="1"/>
  <c r="AC218" i="16" s="1"/>
  <c r="AD218" i="16" s="1"/>
  <c r="H250" i="16"/>
  <c r="AB250" i="16" s="1"/>
  <c r="AC250" i="16" s="1"/>
  <c r="AD250" i="16" s="1"/>
  <c r="H206" i="16"/>
  <c r="AB206" i="16" s="1"/>
  <c r="AC206" i="16" s="1"/>
  <c r="AD206" i="16" s="1"/>
  <c r="H222" i="16"/>
  <c r="AB222" i="16" s="1"/>
  <c r="AC222" i="16" s="1"/>
  <c r="AD222" i="16" s="1"/>
  <c r="H254" i="16"/>
  <c r="AB254" i="16" s="1"/>
  <c r="AC254" i="16" s="1"/>
  <c r="H238" i="16"/>
  <c r="AB238" i="16" s="1"/>
  <c r="AC238" i="16" s="1"/>
  <c r="AD238" i="16" s="1"/>
  <c r="H246" i="16"/>
  <c r="AB246" i="16" s="1"/>
  <c r="AC246" i="16" s="1"/>
  <c r="AD246" i="16" s="1"/>
  <c r="H230" i="16"/>
  <c r="AB230" i="16" s="1"/>
  <c r="AC230" i="16" s="1"/>
  <c r="AD230" i="16" s="1"/>
  <c r="H214" i="16"/>
  <c r="AB214" i="16" s="1"/>
  <c r="AC214" i="16" s="1"/>
  <c r="AD214" i="16" s="1"/>
  <c r="H224" i="16"/>
  <c r="AB224" i="16" s="1"/>
  <c r="AC224" i="16" s="1"/>
  <c r="AD224" i="16" s="1"/>
  <c r="H248" i="16"/>
  <c r="AB248" i="16" s="1"/>
  <c r="AC248" i="16" s="1"/>
  <c r="AD248" i="16" s="1"/>
  <c r="H232" i="16"/>
  <c r="AB232" i="16" s="1"/>
  <c r="AC232" i="16" s="1"/>
  <c r="AD232" i="16" s="1"/>
  <c r="H208" i="16"/>
  <c r="AB208" i="16" s="1"/>
  <c r="AC208" i="16" s="1"/>
  <c r="AD208" i="16" s="1"/>
  <c r="H216" i="16"/>
  <c r="AB216" i="16" s="1"/>
  <c r="AC216" i="16" s="1"/>
  <c r="AD216" i="16" s="1"/>
  <c r="H240" i="16"/>
  <c r="AB240" i="16" s="1"/>
  <c r="AC240" i="16" s="1"/>
  <c r="AD240" i="16" s="1"/>
  <c r="H256" i="16"/>
  <c r="AB256" i="16" s="1"/>
  <c r="AC256" i="16" s="1"/>
  <c r="H220" i="16"/>
  <c r="AB220" i="16" s="1"/>
  <c r="AC220" i="16" s="1"/>
  <c r="AD220" i="16" s="1"/>
  <c r="H244" i="16"/>
  <c r="AB244" i="16" s="1"/>
  <c r="AC244" i="16" s="1"/>
  <c r="AD244" i="16" s="1"/>
  <c r="H228" i="16"/>
  <c r="AB228" i="16" s="1"/>
  <c r="AC228" i="16" s="1"/>
  <c r="AD228" i="16" s="1"/>
  <c r="H252" i="16"/>
  <c r="AB252" i="16" s="1"/>
  <c r="AC252" i="16" s="1"/>
  <c r="AD252" i="16" s="1"/>
  <c r="H260" i="16"/>
  <c r="AB260" i="16" s="1"/>
  <c r="AC260" i="16" s="1"/>
  <c r="H212" i="16"/>
  <c r="AB212" i="16" s="1"/>
  <c r="AC212" i="16" s="1"/>
  <c r="AD212" i="16" s="1"/>
  <c r="H236" i="16"/>
  <c r="AB236" i="16" s="1"/>
  <c r="AC236" i="16" s="1"/>
  <c r="AD236" i="16" s="1"/>
  <c r="H241" i="16"/>
  <c r="AB241" i="16" s="1"/>
  <c r="AC241" i="16" s="1"/>
  <c r="AD241" i="16" s="1"/>
  <c r="H249" i="16"/>
  <c r="AB249" i="16" s="1"/>
  <c r="AC249" i="16" s="1"/>
  <c r="AD249" i="16" s="1"/>
  <c r="H257" i="16"/>
  <c r="AB257" i="16" s="1"/>
  <c r="AC257" i="16" s="1"/>
  <c r="H209" i="16"/>
  <c r="AB209" i="16" s="1"/>
  <c r="AC209" i="16" s="1"/>
  <c r="AD209" i="16" s="1"/>
  <c r="H217" i="16"/>
  <c r="AB217" i="16" s="1"/>
  <c r="AC217" i="16" s="1"/>
  <c r="AD217" i="16" s="1"/>
  <c r="H225" i="16"/>
  <c r="AB225" i="16" s="1"/>
  <c r="AC225" i="16" s="1"/>
  <c r="AD225" i="16" s="1"/>
  <c r="H233" i="16"/>
  <c r="AB233" i="16" s="1"/>
  <c r="AC233" i="16" s="1"/>
  <c r="AD233" i="16" s="1"/>
  <c r="H237" i="16"/>
  <c r="AB237" i="16" s="1"/>
  <c r="AC237" i="16" s="1"/>
  <c r="AD237" i="16" s="1"/>
  <c r="H253" i="16"/>
  <c r="AB253" i="16" s="1"/>
  <c r="AC253" i="16" s="1"/>
  <c r="H245" i="16"/>
  <c r="AB245" i="16" s="1"/>
  <c r="AC245" i="16" s="1"/>
  <c r="AD245" i="16" s="1"/>
  <c r="H205" i="16"/>
  <c r="AB205" i="16" s="1"/>
  <c r="AC205" i="16" s="1"/>
  <c r="AD205" i="16" s="1"/>
  <c r="H213" i="16"/>
  <c r="AB213" i="16" s="1"/>
  <c r="AC213" i="16" s="1"/>
  <c r="AD213" i="16" s="1"/>
  <c r="H229" i="16"/>
  <c r="AB229" i="16" s="1"/>
  <c r="AC229" i="16" s="1"/>
  <c r="AD229" i="16" s="1"/>
  <c r="H221" i="16"/>
  <c r="AB221" i="16" s="1"/>
  <c r="AC221" i="16" s="1"/>
  <c r="AD221" i="16" s="1"/>
  <c r="H227" i="16"/>
  <c r="AB227" i="16" s="1"/>
  <c r="AC227" i="16" s="1"/>
  <c r="AD227" i="16" s="1"/>
  <c r="H243" i="16"/>
  <c r="AB243" i="16" s="1"/>
  <c r="AC243" i="16" s="1"/>
  <c r="AD243" i="16" s="1"/>
  <c r="H219" i="16"/>
  <c r="AB219" i="16" s="1"/>
  <c r="AC219" i="16" s="1"/>
  <c r="AD219" i="16" s="1"/>
  <c r="H211" i="16"/>
  <c r="AB211" i="16" s="1"/>
  <c r="AC211" i="16" s="1"/>
  <c r="AD211" i="16" s="1"/>
  <c r="H235" i="16"/>
  <c r="AB235" i="16" s="1"/>
  <c r="AC235" i="16" s="1"/>
  <c r="AD235" i="16" s="1"/>
  <c r="H259" i="16"/>
  <c r="AB259" i="16" s="1"/>
  <c r="AC259" i="16" s="1"/>
  <c r="H251" i="16"/>
  <c r="AB251" i="16" s="1"/>
  <c r="AC251" i="16" s="1"/>
  <c r="AD251" i="16" s="1"/>
  <c r="AE38" i="15"/>
  <c r="AH37" i="15"/>
  <c r="L22" i="15"/>
  <c r="L37" i="15"/>
  <c r="X39" i="15"/>
  <c r="H39" i="15" s="1"/>
  <c r="H38" i="15"/>
  <c r="D36" i="15"/>
  <c r="AI36" i="15"/>
  <c r="E36" i="15" s="1"/>
  <c r="AI20" i="15"/>
  <c r="E20" i="15" s="1"/>
  <c r="D20" i="15"/>
  <c r="J37" i="15"/>
  <c r="J22" i="15"/>
  <c r="G36" i="15"/>
  <c r="AQ21" i="15"/>
  <c r="AH21" i="15"/>
  <c r="AE22" i="15"/>
  <c r="X23" i="15"/>
  <c r="H23" i="15" s="1"/>
  <c r="H22" i="15"/>
  <c r="AT22" i="15"/>
  <c r="AP21" i="15"/>
  <c r="G21" i="15" s="1"/>
  <c r="N56" i="5"/>
  <c r="L56" i="5"/>
  <c r="K56" i="5"/>
  <c r="J56" i="5"/>
  <c r="M56" i="5"/>
  <c r="K199" i="9"/>
  <c r="K195" i="9"/>
  <c r="K128" i="9"/>
  <c r="E17" i="9"/>
  <c r="L16" i="9"/>
  <c r="N40" i="5"/>
  <c r="M40" i="5"/>
  <c r="AD254" i="16" l="1"/>
  <c r="H512" i="17" a="1"/>
  <c r="H512" i="17" s="1"/>
  <c r="H513" i="17" a="1"/>
  <c r="H513" i="17" s="1"/>
  <c r="H514" i="17" a="1"/>
  <c r="H514" i="17" s="1"/>
  <c r="AD259" i="16"/>
  <c r="H575" i="17" s="1" a="1"/>
  <c r="H575" i="17" s="1"/>
  <c r="AE11" i="17" s="1"/>
  <c r="AE33" i="17" s="1"/>
  <c r="H647" i="17" s="1" a="1"/>
  <c r="H647" i="17" s="1"/>
  <c r="H531" i="17" a="1"/>
  <c r="H531" i="17" s="1"/>
  <c r="AD260" i="16"/>
  <c r="H576" i="17" s="1" a="1"/>
  <c r="H576" i="17" s="1"/>
  <c r="AE12" i="17" s="1"/>
  <c r="AE34" i="17" s="1"/>
  <c r="H648" i="17" s="1" a="1"/>
  <c r="H648" i="17" s="1"/>
  <c r="H532" i="17" a="1"/>
  <c r="H532" i="17" s="1"/>
  <c r="AD253" i="16"/>
  <c r="H555" i="17" s="1" a="1"/>
  <c r="H555" i="17" s="1"/>
  <c r="AE5" i="17" s="1"/>
  <c r="AE27" i="17" s="1"/>
  <c r="H641" i="17" s="1" a="1"/>
  <c r="H641" i="17" s="1"/>
  <c r="H511" i="17" a="1"/>
  <c r="H511" i="17" s="1"/>
  <c r="AD258" i="16"/>
  <c r="H528" i="17" a="1"/>
  <c r="H528" i="17" s="1"/>
  <c r="H530" i="17" a="1"/>
  <c r="H530" i="17" s="1"/>
  <c r="H529" i="17" a="1"/>
  <c r="H529" i="17" s="1"/>
  <c r="AD256" i="16"/>
  <c r="H519" i="17" a="1"/>
  <c r="H519" i="17" s="1"/>
  <c r="H521" i="17" a="1"/>
  <c r="H521" i="17" s="1"/>
  <c r="H522" i="17" a="1"/>
  <c r="H522" i="17" s="1"/>
  <c r="H523" i="17" a="1"/>
  <c r="H523" i="17" s="1"/>
  <c r="H520" i="17" a="1"/>
  <c r="H520" i="17" s="1"/>
  <c r="AD257" i="16"/>
  <c r="H525" i="17" a="1"/>
  <c r="H525" i="17" s="1"/>
  <c r="H524" i="17" a="1"/>
  <c r="H524" i="17" s="1"/>
  <c r="H526" i="17" a="1"/>
  <c r="H526" i="17" s="1"/>
  <c r="H527" i="17" a="1"/>
  <c r="H527" i="17" s="1"/>
  <c r="AD255" i="16"/>
  <c r="H515" i="17" a="1"/>
  <c r="H515" i="17" s="1"/>
  <c r="H517" i="17" a="1"/>
  <c r="H517" i="17" s="1"/>
  <c r="H516" i="17" a="1"/>
  <c r="H516" i="17" s="1"/>
  <c r="H518" i="17" a="1"/>
  <c r="H518" i="17" s="1"/>
  <c r="AI21" i="15"/>
  <c r="E21" i="15" s="1"/>
  <c r="D21" i="15"/>
  <c r="AE23" i="15"/>
  <c r="AH23" i="15" s="1"/>
  <c r="AH22" i="15"/>
  <c r="AQ22" i="15"/>
  <c r="G37" i="15"/>
  <c r="J38" i="15"/>
  <c r="J23" i="15"/>
  <c r="J39" i="15" s="1"/>
  <c r="AP22" i="15"/>
  <c r="G22" i="15" s="1"/>
  <c r="AT23" i="15"/>
  <c r="AP23" i="15" s="1"/>
  <c r="L38" i="15"/>
  <c r="L23" i="15"/>
  <c r="L39" i="15" s="1"/>
  <c r="AI37" i="15"/>
  <c r="E37" i="15" s="1"/>
  <c r="D37" i="15"/>
  <c r="AE39" i="15"/>
  <c r="AH39" i="15" s="1"/>
  <c r="AH38" i="15"/>
  <c r="K203" i="9"/>
  <c r="K207" i="9"/>
  <c r="L69" i="9"/>
  <c r="E70" i="9"/>
  <c r="L17" i="9"/>
  <c r="E18" i="9"/>
  <c r="O40" i="5"/>
  <c r="H564" i="17" l="1" a="1"/>
  <c r="H564" i="17" s="1"/>
  <c r="H565" i="17" a="1"/>
  <c r="H565" i="17" s="1"/>
  <c r="H566" i="17" a="1"/>
  <c r="H566" i="17" s="1"/>
  <c r="H563" i="17" a="1"/>
  <c r="H563" i="17" s="1"/>
  <c r="H567" i="17" a="1"/>
  <c r="H567" i="17" s="1"/>
  <c r="H574" i="17" a="1"/>
  <c r="H574" i="17" s="1"/>
  <c r="H572" i="17" a="1"/>
  <c r="H572" i="17" s="1"/>
  <c r="H573" i="17" a="1"/>
  <c r="H573" i="17" s="1"/>
  <c r="H571" i="17" a="1"/>
  <c r="H571" i="17" s="1"/>
  <c r="H569" i="17" a="1"/>
  <c r="H569" i="17" s="1"/>
  <c r="H568" i="17" a="1"/>
  <c r="H568" i="17" s="1"/>
  <c r="AE9" i="17" s="1"/>
  <c r="AE31" i="17" s="1"/>
  <c r="H645" i="17" s="1" a="1"/>
  <c r="H645" i="17" s="1"/>
  <c r="H570" i="17" a="1"/>
  <c r="H570" i="17" s="1"/>
  <c r="H559" i="17" a="1"/>
  <c r="H559" i="17" s="1"/>
  <c r="H561" i="17" a="1"/>
  <c r="H561" i="17" s="1"/>
  <c r="H562" i="17" a="1"/>
  <c r="H562" i="17" s="1"/>
  <c r="H560" i="17" a="1"/>
  <c r="H560" i="17" s="1"/>
  <c r="H556" i="17" a="1"/>
  <c r="H556" i="17" s="1"/>
  <c r="AE6" i="17" s="1"/>
  <c r="AE28" i="17" s="1"/>
  <c r="H642" i="17" s="1" a="1"/>
  <c r="H642" i="17" s="1"/>
  <c r="H557" i="17" a="1"/>
  <c r="H557" i="17" s="1"/>
  <c r="H558" i="17" a="1"/>
  <c r="H558" i="17" s="1"/>
  <c r="G23" i="15"/>
  <c r="AP5" i="15"/>
  <c r="D38" i="15"/>
  <c r="AI38" i="15"/>
  <c r="E38" i="15" s="1"/>
  <c r="AI39" i="15"/>
  <c r="E39" i="15" s="1"/>
  <c r="D39" i="15"/>
  <c r="AQ23" i="15"/>
  <c r="G38" i="15"/>
  <c r="AI22" i="15"/>
  <c r="E22" i="15" s="1"/>
  <c r="D22" i="15"/>
  <c r="D23" i="15"/>
  <c r="K215" i="9"/>
  <c r="K211" i="9"/>
  <c r="E71" i="9"/>
  <c r="L70" i="9"/>
  <c r="L18" i="9"/>
  <c r="E19" i="9"/>
  <c r="P40" i="5"/>
  <c r="AE8" i="17" l="1"/>
  <c r="AE30" i="17" s="1"/>
  <c r="H644" i="17" s="1" a="1"/>
  <c r="H644" i="17" s="1"/>
  <c r="AE7" i="17"/>
  <c r="AE29" i="17" s="1"/>
  <c r="H643" i="17" s="1" a="1"/>
  <c r="H643" i="17" s="1"/>
  <c r="AE10" i="17"/>
  <c r="AE32" i="17" s="1"/>
  <c r="H646" i="17" s="1" a="1"/>
  <c r="H646" i="17" s="1"/>
  <c r="AI23" i="15"/>
  <c r="E23" i="15" s="1"/>
  <c r="G39" i="15"/>
  <c r="AQ5" i="15"/>
  <c r="K219" i="9"/>
  <c r="K223" i="9"/>
  <c r="L71" i="9"/>
  <c r="E72" i="9"/>
  <c r="E20" i="9"/>
  <c r="L19" i="9"/>
  <c r="Q40" i="5"/>
  <c r="K231" i="9" l="1"/>
  <c r="K227" i="9"/>
  <c r="E126" i="9"/>
  <c r="L125" i="9"/>
  <c r="E73" i="9"/>
  <c r="L72" i="9"/>
  <c r="L20" i="9"/>
  <c r="R40" i="5"/>
  <c r="K235" i="9" l="1"/>
  <c r="K239" i="9"/>
  <c r="L126" i="9"/>
  <c r="E127" i="9"/>
  <c r="L73" i="9"/>
  <c r="E74" i="9"/>
  <c r="L21" i="9"/>
  <c r="E22" i="9"/>
  <c r="T40" i="5"/>
  <c r="T26" i="5" s="1"/>
  <c r="S40" i="5"/>
  <c r="K247" i="9" l="1"/>
  <c r="K243" i="9"/>
  <c r="L127" i="9"/>
  <c r="E128" i="9"/>
  <c r="E75" i="9"/>
  <c r="L74" i="9"/>
  <c r="L22" i="9"/>
  <c r="E23" i="9"/>
  <c r="E129" i="9" l="1"/>
  <c r="L128" i="9"/>
  <c r="L75" i="9"/>
  <c r="E76" i="9"/>
  <c r="E24" i="9"/>
  <c r="L23" i="9"/>
  <c r="E130" i="9" l="1"/>
  <c r="L129" i="9"/>
  <c r="L76" i="9"/>
  <c r="E25" i="9"/>
  <c r="L24" i="9"/>
  <c r="L130" i="9" l="1"/>
  <c r="E131" i="9"/>
  <c r="L77" i="9"/>
  <c r="E78" i="9"/>
  <c r="L25" i="9"/>
  <c r="E26" i="9"/>
  <c r="L131" i="9" l="1"/>
  <c r="E132" i="9"/>
  <c r="E79" i="9"/>
  <c r="L78" i="9"/>
  <c r="L26" i="9"/>
  <c r="E27" i="9"/>
  <c r="L132" i="9" l="1"/>
  <c r="L79" i="9"/>
  <c r="E80" i="9"/>
  <c r="E28" i="9"/>
  <c r="L27" i="9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6" i="7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E18" i="8"/>
  <c r="E19" i="8"/>
  <c r="E20" i="8"/>
  <c r="E21" i="8"/>
  <c r="E22" i="8"/>
  <c r="E23" i="8"/>
  <c r="E24" i="8"/>
  <c r="E17" i="8"/>
  <c r="H193" i="8"/>
  <c r="B26" i="8"/>
  <c r="B2" i="8"/>
  <c r="B15" i="7"/>
  <c r="H193" i="7"/>
  <c r="B2" i="7"/>
  <c r="B15" i="6"/>
  <c r="M24" i="6" s="1"/>
  <c r="H193" i="6"/>
  <c r="O24" i="6"/>
  <c r="N24" i="6"/>
  <c r="K24" i="6"/>
  <c r="J24" i="6"/>
  <c r="H24" i="6"/>
  <c r="G24" i="6"/>
  <c r="F24" i="6"/>
  <c r="E24" i="6"/>
  <c r="O23" i="6"/>
  <c r="N23" i="6"/>
  <c r="M23" i="6"/>
  <c r="L23" i="6"/>
  <c r="K23" i="6"/>
  <c r="J23" i="6"/>
  <c r="I23" i="6"/>
  <c r="H23" i="6"/>
  <c r="G23" i="6"/>
  <c r="F23" i="6"/>
  <c r="E23" i="6"/>
  <c r="O22" i="6"/>
  <c r="N22" i="6"/>
  <c r="M22" i="6"/>
  <c r="L22" i="6"/>
  <c r="K22" i="6"/>
  <c r="J22" i="6"/>
  <c r="I22" i="6"/>
  <c r="H22" i="6"/>
  <c r="G22" i="6"/>
  <c r="F22" i="6"/>
  <c r="E22" i="6"/>
  <c r="O21" i="6"/>
  <c r="N21" i="6"/>
  <c r="M21" i="6"/>
  <c r="L21" i="6"/>
  <c r="K21" i="6"/>
  <c r="J21" i="6"/>
  <c r="I21" i="6"/>
  <c r="H21" i="6"/>
  <c r="G21" i="6"/>
  <c r="F21" i="6"/>
  <c r="E21" i="6"/>
  <c r="O20" i="6"/>
  <c r="N20" i="6"/>
  <c r="M20" i="6"/>
  <c r="L20" i="6"/>
  <c r="K20" i="6"/>
  <c r="J20" i="6"/>
  <c r="I20" i="6"/>
  <c r="H20" i="6"/>
  <c r="G20" i="6"/>
  <c r="F20" i="6"/>
  <c r="E20" i="6"/>
  <c r="O19" i="6"/>
  <c r="N19" i="6"/>
  <c r="M19" i="6"/>
  <c r="L19" i="6"/>
  <c r="K19" i="6"/>
  <c r="J19" i="6"/>
  <c r="I19" i="6"/>
  <c r="H19" i="6"/>
  <c r="G19" i="6"/>
  <c r="F19" i="6"/>
  <c r="E19" i="6"/>
  <c r="O18" i="6"/>
  <c r="N18" i="6"/>
  <c r="M18" i="6"/>
  <c r="L18" i="6"/>
  <c r="K18" i="6"/>
  <c r="J18" i="6"/>
  <c r="I18" i="6"/>
  <c r="H18" i="6"/>
  <c r="G18" i="6"/>
  <c r="F18" i="6"/>
  <c r="E18" i="6"/>
  <c r="O17" i="6"/>
  <c r="N17" i="6"/>
  <c r="M17" i="6"/>
  <c r="L17" i="6"/>
  <c r="K17" i="6"/>
  <c r="J17" i="6"/>
  <c r="I17" i="6"/>
  <c r="H17" i="6"/>
  <c r="G17" i="6"/>
  <c r="F17" i="6"/>
  <c r="E17" i="6"/>
  <c r="B2" i="5"/>
  <c r="H193" i="5"/>
  <c r="B26" i="5"/>
  <c r="H193" i="4"/>
  <c r="B26" i="2"/>
  <c r="E17" i="1"/>
  <c r="E29" i="1" s="1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C18" i="2"/>
  <c r="C19" i="2"/>
  <c r="C20" i="2"/>
  <c r="C21" i="2"/>
  <c r="C22" i="2"/>
  <c r="C23" i="2"/>
  <c r="C24" i="2"/>
  <c r="C17" i="2"/>
  <c r="B15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39" i="2"/>
  <c r="D17" i="1"/>
  <c r="D29" i="1" s="1"/>
  <c r="D6" i="11" s="1"/>
  <c r="F17" i="1"/>
  <c r="F29" i="1" s="1"/>
  <c r="G17" i="1"/>
  <c r="G29" i="1" s="1"/>
  <c r="G6" i="11" s="1"/>
  <c r="G28" i="11" s="1"/>
  <c r="G17" i="12" s="1"/>
  <c r="G28" i="12" s="1"/>
  <c r="H17" i="1"/>
  <c r="H29" i="1" s="1"/>
  <c r="H6" i="11" s="1"/>
  <c r="H28" i="11" s="1"/>
  <c r="H17" i="12" s="1"/>
  <c r="H28" i="12" s="1"/>
  <c r="J17" i="1"/>
  <c r="J29" i="1" s="1"/>
  <c r="J6" i="11" s="1"/>
  <c r="J28" i="11" s="1"/>
  <c r="J17" i="12" s="1"/>
  <c r="J28" i="12" s="1"/>
  <c r="K17" i="1"/>
  <c r="K29" i="1" s="1"/>
  <c r="L17" i="1"/>
  <c r="L29" i="1" s="1"/>
  <c r="L6" i="11" s="1"/>
  <c r="L28" i="11" s="1"/>
  <c r="L17" i="12" s="1"/>
  <c r="L28" i="12" s="1"/>
  <c r="N17" i="1"/>
  <c r="N29" i="1" s="1"/>
  <c r="N6" i="11" s="1"/>
  <c r="N28" i="11" s="1"/>
  <c r="N17" i="12" s="1"/>
  <c r="N28" i="12" s="1"/>
  <c r="N6" i="13" s="1"/>
  <c r="N28" i="13" s="1"/>
  <c r="O17" i="1"/>
  <c r="O29" i="1" s="1"/>
  <c r="O6" i="11" s="1"/>
  <c r="O28" i="11" s="1"/>
  <c r="D18" i="1"/>
  <c r="D30" i="1" s="1"/>
  <c r="F18" i="1"/>
  <c r="F30" i="1" s="1"/>
  <c r="F7" i="11" s="1"/>
  <c r="F29" i="11" s="1"/>
  <c r="F18" i="12" s="1"/>
  <c r="F29" i="12" s="1"/>
  <c r="F7" i="13" s="1"/>
  <c r="F29" i="13" s="1"/>
  <c r="G18" i="1"/>
  <c r="G30" i="1" s="1"/>
  <c r="H18" i="1"/>
  <c r="H30" i="1" s="1"/>
  <c r="H7" i="11" s="1"/>
  <c r="H29" i="11" s="1"/>
  <c r="H18" i="12" s="1"/>
  <c r="H29" i="12" s="1"/>
  <c r="H7" i="13" s="1"/>
  <c r="H29" i="13" s="1"/>
  <c r="J18" i="1"/>
  <c r="J30" i="1" s="1"/>
  <c r="K18" i="1"/>
  <c r="K30" i="1" s="1"/>
  <c r="K7" i="11" s="1"/>
  <c r="K29" i="11" s="1"/>
  <c r="K18" i="12" s="1"/>
  <c r="K29" i="12" s="1"/>
  <c r="K7" i="13" s="1"/>
  <c r="K29" i="13" s="1"/>
  <c r="L18" i="1"/>
  <c r="L30" i="1" s="1"/>
  <c r="L7" i="11" s="1"/>
  <c r="L29" i="11" s="1"/>
  <c r="L18" i="12" s="1"/>
  <c r="L29" i="12" s="1"/>
  <c r="L7" i="13" s="1"/>
  <c r="L29" i="13" s="1"/>
  <c r="N18" i="1"/>
  <c r="N30" i="1" s="1"/>
  <c r="N7" i="11" s="1"/>
  <c r="N29" i="11" s="1"/>
  <c r="N18" i="12" s="1"/>
  <c r="N29" i="12" s="1"/>
  <c r="O18" i="1"/>
  <c r="O30" i="1" s="1"/>
  <c r="O7" i="11" s="1"/>
  <c r="O29" i="11" s="1"/>
  <c r="D19" i="1"/>
  <c r="D31" i="1" s="1"/>
  <c r="D8" i="11" s="1"/>
  <c r="F19" i="1"/>
  <c r="F31" i="1" s="1"/>
  <c r="F8" i="11" s="1"/>
  <c r="F30" i="11" s="1"/>
  <c r="F19" i="12" s="1"/>
  <c r="F30" i="12" s="1"/>
  <c r="F8" i="13" s="1"/>
  <c r="F30" i="13" s="1"/>
  <c r="G19" i="1"/>
  <c r="G31" i="1" s="1"/>
  <c r="G8" i="11" s="1"/>
  <c r="G30" i="11" s="1"/>
  <c r="G19" i="12" s="1"/>
  <c r="G30" i="12" s="1"/>
  <c r="G8" i="13" s="1"/>
  <c r="G30" i="13" s="1"/>
  <c r="H19" i="1"/>
  <c r="H31" i="1" s="1"/>
  <c r="H8" i="11" s="1"/>
  <c r="H30" i="11" s="1"/>
  <c r="H19" i="12" s="1"/>
  <c r="H30" i="12" s="1"/>
  <c r="H8" i="13" s="1"/>
  <c r="H30" i="13" s="1"/>
  <c r="J19" i="1"/>
  <c r="J31" i="1" s="1"/>
  <c r="J8" i="11" s="1"/>
  <c r="J30" i="11" s="1"/>
  <c r="J19" i="12" s="1"/>
  <c r="J30" i="12" s="1"/>
  <c r="J8" i="13" s="1"/>
  <c r="J30" i="13" s="1"/>
  <c r="K19" i="1"/>
  <c r="K31" i="1" s="1"/>
  <c r="K8" i="11" s="1"/>
  <c r="K30" i="11" s="1"/>
  <c r="K19" i="12" s="1"/>
  <c r="K30" i="12" s="1"/>
  <c r="K8" i="13" s="1"/>
  <c r="K30" i="13" s="1"/>
  <c r="L19" i="1"/>
  <c r="L31" i="1" s="1"/>
  <c r="L8" i="11" s="1"/>
  <c r="L30" i="11" s="1"/>
  <c r="L19" i="12" s="1"/>
  <c r="L30" i="12" s="1"/>
  <c r="L8" i="13" s="1"/>
  <c r="L30" i="13" s="1"/>
  <c r="N19" i="1"/>
  <c r="N31" i="1" s="1"/>
  <c r="N8" i="11" s="1"/>
  <c r="N30" i="11" s="1"/>
  <c r="N19" i="12" s="1"/>
  <c r="N30" i="12" s="1"/>
  <c r="N8" i="13" s="1"/>
  <c r="N30" i="13" s="1"/>
  <c r="O19" i="1"/>
  <c r="O31" i="1" s="1"/>
  <c r="O8" i="11" s="1"/>
  <c r="O30" i="11" s="1"/>
  <c r="D20" i="1"/>
  <c r="D32" i="1" s="1"/>
  <c r="D9" i="11" s="1"/>
  <c r="F20" i="1"/>
  <c r="F32" i="1" s="1"/>
  <c r="F9" i="11" s="1"/>
  <c r="F31" i="11" s="1"/>
  <c r="F20" i="12" s="1"/>
  <c r="F31" i="12" s="1"/>
  <c r="F9" i="13" s="1"/>
  <c r="F31" i="13" s="1"/>
  <c r="G20" i="1"/>
  <c r="G32" i="1" s="1"/>
  <c r="G9" i="11" s="1"/>
  <c r="G31" i="11" s="1"/>
  <c r="G20" i="12" s="1"/>
  <c r="G31" i="12" s="1"/>
  <c r="G9" i="13" s="1"/>
  <c r="G31" i="13" s="1"/>
  <c r="H20" i="1"/>
  <c r="H32" i="1" s="1"/>
  <c r="H9" i="11" s="1"/>
  <c r="H31" i="11" s="1"/>
  <c r="H20" i="12" s="1"/>
  <c r="H31" i="12" s="1"/>
  <c r="H9" i="13" s="1"/>
  <c r="H31" i="13" s="1"/>
  <c r="J20" i="1"/>
  <c r="J32" i="1" s="1"/>
  <c r="J9" i="11" s="1"/>
  <c r="J31" i="11" s="1"/>
  <c r="J20" i="12" s="1"/>
  <c r="J31" i="12" s="1"/>
  <c r="J9" i="13" s="1"/>
  <c r="J31" i="13" s="1"/>
  <c r="K20" i="1"/>
  <c r="K32" i="1" s="1"/>
  <c r="K9" i="11" s="1"/>
  <c r="K31" i="11" s="1"/>
  <c r="K20" i="12" s="1"/>
  <c r="K31" i="12" s="1"/>
  <c r="K9" i="13" s="1"/>
  <c r="K31" i="13" s="1"/>
  <c r="L20" i="1"/>
  <c r="L32" i="1" s="1"/>
  <c r="L9" i="11" s="1"/>
  <c r="L31" i="11" s="1"/>
  <c r="L20" i="12" s="1"/>
  <c r="L31" i="12" s="1"/>
  <c r="L9" i="13" s="1"/>
  <c r="L31" i="13" s="1"/>
  <c r="N20" i="1"/>
  <c r="N32" i="1" s="1"/>
  <c r="N9" i="11" s="1"/>
  <c r="N31" i="11" s="1"/>
  <c r="N20" i="12" s="1"/>
  <c r="N31" i="12" s="1"/>
  <c r="N9" i="13" s="1"/>
  <c r="N31" i="13" s="1"/>
  <c r="O20" i="1"/>
  <c r="O32" i="1" s="1"/>
  <c r="O9" i="11" s="1"/>
  <c r="O31" i="11" s="1"/>
  <c r="D21" i="1"/>
  <c r="D33" i="1" s="1"/>
  <c r="D10" i="11" s="1"/>
  <c r="F21" i="1"/>
  <c r="F33" i="1" s="1"/>
  <c r="F10" i="11" s="1"/>
  <c r="F32" i="11" s="1"/>
  <c r="F21" i="12" s="1"/>
  <c r="F32" i="12" s="1"/>
  <c r="F10" i="13" s="1"/>
  <c r="F32" i="13" s="1"/>
  <c r="G21" i="1"/>
  <c r="G33" i="1" s="1"/>
  <c r="G10" i="11" s="1"/>
  <c r="G32" i="11" s="1"/>
  <c r="G21" i="12" s="1"/>
  <c r="G32" i="12" s="1"/>
  <c r="G10" i="13" s="1"/>
  <c r="G32" i="13" s="1"/>
  <c r="H21" i="1"/>
  <c r="H33" i="1" s="1"/>
  <c r="H10" i="11" s="1"/>
  <c r="H32" i="11" s="1"/>
  <c r="H21" i="12" s="1"/>
  <c r="H32" i="12" s="1"/>
  <c r="H10" i="13" s="1"/>
  <c r="H32" i="13" s="1"/>
  <c r="J21" i="1"/>
  <c r="J33" i="1" s="1"/>
  <c r="J10" i="11" s="1"/>
  <c r="J32" i="11" s="1"/>
  <c r="J21" i="12" s="1"/>
  <c r="J32" i="12" s="1"/>
  <c r="J10" i="13" s="1"/>
  <c r="J32" i="13" s="1"/>
  <c r="K21" i="1"/>
  <c r="K33" i="1" s="1"/>
  <c r="K10" i="11" s="1"/>
  <c r="K32" i="11" s="1"/>
  <c r="K21" i="12" s="1"/>
  <c r="K32" i="12" s="1"/>
  <c r="K10" i="13" s="1"/>
  <c r="K32" i="13" s="1"/>
  <c r="L21" i="1"/>
  <c r="L33" i="1" s="1"/>
  <c r="L10" i="11" s="1"/>
  <c r="L32" i="11" s="1"/>
  <c r="L21" i="12" s="1"/>
  <c r="L32" i="12" s="1"/>
  <c r="L10" i="13" s="1"/>
  <c r="L32" i="13" s="1"/>
  <c r="N21" i="1"/>
  <c r="N33" i="1" s="1"/>
  <c r="N10" i="11" s="1"/>
  <c r="N32" i="11" s="1"/>
  <c r="N21" i="12" s="1"/>
  <c r="N32" i="12" s="1"/>
  <c r="N10" i="13" s="1"/>
  <c r="N32" i="13" s="1"/>
  <c r="O21" i="1"/>
  <c r="O33" i="1" s="1"/>
  <c r="O10" i="11" s="1"/>
  <c r="O32" i="11" s="1"/>
  <c r="D22" i="1"/>
  <c r="D34" i="1" s="1"/>
  <c r="D11" i="11" s="1"/>
  <c r="F22" i="1"/>
  <c r="F34" i="1" s="1"/>
  <c r="F11" i="11" s="1"/>
  <c r="F33" i="11" s="1"/>
  <c r="F22" i="12" s="1"/>
  <c r="F33" i="12" s="1"/>
  <c r="F11" i="13" s="1"/>
  <c r="F33" i="13" s="1"/>
  <c r="G22" i="1"/>
  <c r="G34" i="1" s="1"/>
  <c r="G11" i="11" s="1"/>
  <c r="G33" i="11" s="1"/>
  <c r="G22" i="12" s="1"/>
  <c r="G33" i="12" s="1"/>
  <c r="G11" i="13" s="1"/>
  <c r="G33" i="13" s="1"/>
  <c r="H22" i="1"/>
  <c r="H34" i="1" s="1"/>
  <c r="H11" i="11" s="1"/>
  <c r="H33" i="11" s="1"/>
  <c r="H22" i="12" s="1"/>
  <c r="H33" i="12" s="1"/>
  <c r="H11" i="13" s="1"/>
  <c r="H33" i="13" s="1"/>
  <c r="J22" i="1"/>
  <c r="J34" i="1" s="1"/>
  <c r="J11" i="11" s="1"/>
  <c r="J33" i="11" s="1"/>
  <c r="J22" i="12" s="1"/>
  <c r="J33" i="12" s="1"/>
  <c r="J11" i="13" s="1"/>
  <c r="J33" i="13" s="1"/>
  <c r="K22" i="1"/>
  <c r="K34" i="1" s="1"/>
  <c r="K11" i="11" s="1"/>
  <c r="K33" i="11" s="1"/>
  <c r="K22" i="12" s="1"/>
  <c r="K33" i="12" s="1"/>
  <c r="K11" i="13" s="1"/>
  <c r="K33" i="13" s="1"/>
  <c r="L22" i="1"/>
  <c r="L34" i="1" s="1"/>
  <c r="L11" i="11" s="1"/>
  <c r="L33" i="11" s="1"/>
  <c r="L22" i="12" s="1"/>
  <c r="L33" i="12" s="1"/>
  <c r="L11" i="13" s="1"/>
  <c r="L33" i="13" s="1"/>
  <c r="N22" i="1"/>
  <c r="N34" i="1" s="1"/>
  <c r="N11" i="11" s="1"/>
  <c r="N33" i="11" s="1"/>
  <c r="N22" i="12" s="1"/>
  <c r="N33" i="12" s="1"/>
  <c r="N11" i="13" s="1"/>
  <c r="N33" i="13" s="1"/>
  <c r="O22" i="1"/>
  <c r="O34" i="1" s="1"/>
  <c r="O11" i="11" s="1"/>
  <c r="O33" i="11" s="1"/>
  <c r="D23" i="1"/>
  <c r="D35" i="1" s="1"/>
  <c r="D12" i="11" s="1"/>
  <c r="F23" i="1"/>
  <c r="F35" i="1" s="1"/>
  <c r="F12" i="11" s="1"/>
  <c r="F34" i="11" s="1"/>
  <c r="F23" i="12" s="1"/>
  <c r="F34" i="12" s="1"/>
  <c r="F12" i="13" s="1"/>
  <c r="F34" i="13" s="1"/>
  <c r="G23" i="1"/>
  <c r="G35" i="1" s="1"/>
  <c r="G12" i="11" s="1"/>
  <c r="G34" i="11" s="1"/>
  <c r="G23" i="12" s="1"/>
  <c r="G34" i="12" s="1"/>
  <c r="G12" i="13" s="1"/>
  <c r="G34" i="13" s="1"/>
  <c r="H23" i="1"/>
  <c r="H35" i="1" s="1"/>
  <c r="H12" i="11" s="1"/>
  <c r="H34" i="11" s="1"/>
  <c r="H23" i="12" s="1"/>
  <c r="H34" i="12" s="1"/>
  <c r="H12" i="13" s="1"/>
  <c r="H34" i="13" s="1"/>
  <c r="J23" i="1"/>
  <c r="J35" i="1" s="1"/>
  <c r="J12" i="11" s="1"/>
  <c r="J34" i="11" s="1"/>
  <c r="J23" i="12" s="1"/>
  <c r="J34" i="12" s="1"/>
  <c r="J12" i="13" s="1"/>
  <c r="J34" i="13" s="1"/>
  <c r="K23" i="1"/>
  <c r="K35" i="1" s="1"/>
  <c r="K12" i="11" s="1"/>
  <c r="K34" i="11" s="1"/>
  <c r="K23" i="12" s="1"/>
  <c r="K34" i="12" s="1"/>
  <c r="K12" i="13" s="1"/>
  <c r="K34" i="13" s="1"/>
  <c r="L23" i="1"/>
  <c r="L35" i="1" s="1"/>
  <c r="L12" i="11" s="1"/>
  <c r="L34" i="11" s="1"/>
  <c r="L23" i="12" s="1"/>
  <c r="L34" i="12" s="1"/>
  <c r="L12" i="13" s="1"/>
  <c r="L34" i="13" s="1"/>
  <c r="N23" i="1"/>
  <c r="N35" i="1" s="1"/>
  <c r="N12" i="11" s="1"/>
  <c r="N34" i="11" s="1"/>
  <c r="N23" i="12" s="1"/>
  <c r="N34" i="12" s="1"/>
  <c r="N12" i="13" s="1"/>
  <c r="N34" i="13" s="1"/>
  <c r="O23" i="1"/>
  <c r="O35" i="1" s="1"/>
  <c r="O12" i="11" s="1"/>
  <c r="O34" i="11" s="1"/>
  <c r="D24" i="1"/>
  <c r="D36" i="1" s="1"/>
  <c r="D13" i="11" s="1"/>
  <c r="F24" i="1"/>
  <c r="F36" i="1" s="1"/>
  <c r="F13" i="11" s="1"/>
  <c r="F35" i="11" s="1"/>
  <c r="G24" i="1"/>
  <c r="G36" i="1" s="1"/>
  <c r="G13" i="11" s="1"/>
  <c r="G35" i="11" s="1"/>
  <c r="H24" i="1"/>
  <c r="H36" i="1" s="1"/>
  <c r="H13" i="11" s="1"/>
  <c r="H35" i="11" s="1"/>
  <c r="J24" i="1"/>
  <c r="J36" i="1" s="1"/>
  <c r="J13" i="11" s="1"/>
  <c r="J35" i="11" s="1"/>
  <c r="K24" i="1"/>
  <c r="K36" i="1" s="1"/>
  <c r="K13" i="11" s="1"/>
  <c r="K35" i="11" s="1"/>
  <c r="L24" i="1"/>
  <c r="L36" i="1" s="1"/>
  <c r="L13" i="11" s="1"/>
  <c r="L35" i="11" s="1"/>
  <c r="N24" i="1"/>
  <c r="N36" i="1" s="1"/>
  <c r="N13" i="11" s="1"/>
  <c r="N35" i="11" s="1"/>
  <c r="O24" i="1"/>
  <c r="O36" i="1" s="1"/>
  <c r="O13" i="11" s="1"/>
  <c r="O35" i="11" s="1"/>
  <c r="P35" i="11" s="1"/>
  <c r="Q35" i="11" s="1"/>
  <c r="R35" i="11" s="1"/>
  <c r="S35" i="11" s="1"/>
  <c r="T35" i="11" s="1"/>
  <c r="C18" i="1"/>
  <c r="C30" i="1" s="1"/>
  <c r="C20" i="1"/>
  <c r="C32" i="1" s="1"/>
  <c r="C9" i="11" s="1"/>
  <c r="C31" i="11" s="1"/>
  <c r="C21" i="1"/>
  <c r="C33" i="1" s="1"/>
  <c r="C10" i="11" s="1"/>
  <c r="C32" i="11" s="1"/>
  <c r="C22" i="1"/>
  <c r="C34" i="1" s="1"/>
  <c r="C11" i="11" s="1"/>
  <c r="C33" i="11" s="1"/>
  <c r="C24" i="1"/>
  <c r="C36" i="1" s="1"/>
  <c r="C13" i="11" s="1"/>
  <c r="C35" i="11" s="1"/>
  <c r="C29" i="1"/>
  <c r="C6" i="11" s="1"/>
  <c r="C28" i="11" s="1"/>
  <c r="G59" i="9" l="1" a="1"/>
  <c r="G59" i="9" s="1"/>
  <c r="AL59" i="16" s="1"/>
  <c r="G187" i="9" a="1"/>
  <c r="G187" i="9" s="1"/>
  <c r="AL187" i="16" s="1"/>
  <c r="G19" i="9" a="1"/>
  <c r="G19" i="9" s="1"/>
  <c r="AL19" i="16" s="1"/>
  <c r="G147" i="9" a="1"/>
  <c r="G147" i="9" s="1"/>
  <c r="AL147" i="16" s="1"/>
  <c r="G194" i="9" a="1"/>
  <c r="G194" i="9" s="1"/>
  <c r="AL194" i="16" s="1"/>
  <c r="G66" i="9" a="1"/>
  <c r="G66" i="9" s="1"/>
  <c r="AL66" i="16" s="1"/>
  <c r="G26" i="9" a="1"/>
  <c r="G26" i="9" s="1"/>
  <c r="AL26" i="16" s="1"/>
  <c r="G154" i="9" a="1"/>
  <c r="G154" i="9" s="1"/>
  <c r="AL154" i="16" s="1"/>
  <c r="G81" i="9" a="1"/>
  <c r="G81" i="9" s="1"/>
  <c r="AL81" i="16" s="1"/>
  <c r="G209" i="9" a="1"/>
  <c r="G209" i="9" s="1"/>
  <c r="AL209" i="16" s="1"/>
  <c r="G161" i="9" a="1"/>
  <c r="G161" i="9" s="1"/>
  <c r="AL161" i="16" s="1"/>
  <c r="G33" i="9" a="1"/>
  <c r="G33" i="9" s="1"/>
  <c r="AL33" i="16" s="1"/>
  <c r="P31" i="11"/>
  <c r="O20" i="12"/>
  <c r="O31" i="12" s="1"/>
  <c r="O9" i="13" s="1"/>
  <c r="O31" i="13" s="1"/>
  <c r="G48" i="9" a="1"/>
  <c r="G48" i="9" s="1"/>
  <c r="AL48" i="16" s="1"/>
  <c r="G176" i="9" a="1"/>
  <c r="G176" i="9" s="1"/>
  <c r="AL176" i="16" s="1"/>
  <c r="G183" i="9" a="1"/>
  <c r="G183" i="9" s="1"/>
  <c r="AL183" i="16" s="1"/>
  <c r="G55" i="9" a="1"/>
  <c r="G55" i="9" s="1"/>
  <c r="AL55" i="16" s="1"/>
  <c r="G143" i="9" a="1"/>
  <c r="G143" i="9" s="1"/>
  <c r="AL143" i="16" s="1"/>
  <c r="G15" i="9" a="1"/>
  <c r="G15" i="9" s="1"/>
  <c r="AL15" i="16" s="1"/>
  <c r="G62" i="9" a="1"/>
  <c r="G62" i="9" s="1"/>
  <c r="AL62" i="16" s="1"/>
  <c r="G190" i="9" a="1"/>
  <c r="G190" i="9" s="1"/>
  <c r="AL190" i="16" s="1"/>
  <c r="G7" i="4"/>
  <c r="G29" i="4" s="1"/>
  <c r="I22" i="9" s="1" a="1"/>
  <c r="I22" i="9" s="1"/>
  <c r="AN22" i="16" s="1"/>
  <c r="G7" i="11"/>
  <c r="G29" i="11" s="1"/>
  <c r="G18" i="12" s="1"/>
  <c r="G29" i="12" s="1"/>
  <c r="G7" i="13" s="1"/>
  <c r="G29" i="13" s="1"/>
  <c r="G77" i="9" a="1"/>
  <c r="G77" i="9" s="1"/>
  <c r="AL77" i="16" s="1"/>
  <c r="G205" i="9" a="1"/>
  <c r="G205" i="9" s="1"/>
  <c r="AL205" i="16" s="1"/>
  <c r="H6" i="13"/>
  <c r="H28" i="13" s="1"/>
  <c r="H35" i="12"/>
  <c r="P34" i="11"/>
  <c r="O23" i="12"/>
  <c r="O34" i="12" s="1"/>
  <c r="O12" i="13" s="1"/>
  <c r="O34" i="13" s="1"/>
  <c r="G179" i="9" a="1"/>
  <c r="G179" i="9" s="1"/>
  <c r="AL179" i="16" s="1"/>
  <c r="G51" i="9" a="1"/>
  <c r="G51" i="9" s="1"/>
  <c r="AL51" i="16" s="1"/>
  <c r="G186" i="9" a="1"/>
  <c r="G186" i="9" s="1"/>
  <c r="AL186" i="16" s="1"/>
  <c r="G58" i="9" a="1"/>
  <c r="G58" i="9" s="1"/>
  <c r="AL58" i="16" s="1"/>
  <c r="G18" i="9" a="1"/>
  <c r="G18" i="9" s="1"/>
  <c r="AL18" i="16" s="1"/>
  <c r="G146" i="9" a="1"/>
  <c r="G146" i="9" s="1"/>
  <c r="AL146" i="16" s="1"/>
  <c r="G193" i="9" a="1"/>
  <c r="G193" i="9" s="1"/>
  <c r="AL193" i="16" s="1"/>
  <c r="G65" i="9" a="1"/>
  <c r="G65" i="9" s="1"/>
  <c r="AL65" i="16" s="1"/>
  <c r="G25" i="9" a="1"/>
  <c r="G25" i="9" s="1"/>
  <c r="AL25" i="16" s="1"/>
  <c r="G153" i="9" a="1"/>
  <c r="G153" i="9" s="1"/>
  <c r="AL153" i="16" s="1"/>
  <c r="G80" i="9" a="1"/>
  <c r="G80" i="9" s="1"/>
  <c r="AL80" i="16" s="1"/>
  <c r="G208" i="9" a="1"/>
  <c r="G208" i="9" s="1"/>
  <c r="AL208" i="16" s="1"/>
  <c r="G32" i="9" a="1"/>
  <c r="G32" i="9" s="1"/>
  <c r="AL32" i="16" s="1"/>
  <c r="G160" i="9" a="1"/>
  <c r="G160" i="9" s="1"/>
  <c r="AL160" i="16" s="1"/>
  <c r="P30" i="11"/>
  <c r="O19" i="12"/>
  <c r="O30" i="12" s="1"/>
  <c r="G47" i="9" a="1"/>
  <c r="G47" i="9" s="1"/>
  <c r="AL47" i="16" s="1"/>
  <c r="G175" i="9" a="1"/>
  <c r="G175" i="9" s="1"/>
  <c r="AL175" i="16" s="1"/>
  <c r="G182" i="9" a="1"/>
  <c r="G182" i="9" s="1"/>
  <c r="AL182" i="16" s="1"/>
  <c r="G54" i="9" a="1"/>
  <c r="G54" i="9" s="1"/>
  <c r="AL54" i="16" s="1"/>
  <c r="G142" i="9" a="1"/>
  <c r="G142" i="9" s="1"/>
  <c r="AL142" i="16" s="1"/>
  <c r="G14" i="9" a="1"/>
  <c r="G14" i="9" s="1"/>
  <c r="AL14" i="16" s="1"/>
  <c r="L35" i="12"/>
  <c r="L6" i="13"/>
  <c r="L28" i="13" s="1"/>
  <c r="G6" i="13"/>
  <c r="G28" i="13" s="1"/>
  <c r="G35" i="12"/>
  <c r="G83" i="9" a="1"/>
  <c r="G83" i="9" s="1"/>
  <c r="AL83" i="16" s="1"/>
  <c r="G211" i="9" a="1"/>
  <c r="G211" i="9" s="1"/>
  <c r="AL211" i="16" s="1"/>
  <c r="G35" i="9" a="1"/>
  <c r="G35" i="9" s="1"/>
  <c r="AL35" i="16" s="1"/>
  <c r="G163" i="9" a="1"/>
  <c r="G163" i="9" s="1"/>
  <c r="AL163" i="16" s="1"/>
  <c r="P33" i="11"/>
  <c r="O22" i="12"/>
  <c r="O33" i="12" s="1"/>
  <c r="O11" i="13" s="1"/>
  <c r="O33" i="13" s="1"/>
  <c r="G50" i="9" a="1"/>
  <c r="G50" i="9" s="1"/>
  <c r="AL50" i="16" s="1"/>
  <c r="G178" i="9" a="1"/>
  <c r="G178" i="9" s="1"/>
  <c r="AL178" i="16" s="1"/>
  <c r="G185" i="9" a="1"/>
  <c r="G185" i="9" s="1"/>
  <c r="AL185" i="16" s="1"/>
  <c r="G57" i="9" a="1"/>
  <c r="G57" i="9" s="1"/>
  <c r="AL57" i="16" s="1"/>
  <c r="G145" i="9" a="1"/>
  <c r="G145" i="9" s="1"/>
  <c r="AL145" i="16" s="1"/>
  <c r="G17" i="9" a="1"/>
  <c r="G17" i="9" s="1"/>
  <c r="AL17" i="16" s="1"/>
  <c r="G64" i="9" a="1"/>
  <c r="G64" i="9" s="1"/>
  <c r="AL64" i="16" s="1"/>
  <c r="G192" i="9" a="1"/>
  <c r="G192" i="9" s="1"/>
  <c r="AL192" i="16" s="1"/>
  <c r="G24" i="9" a="1"/>
  <c r="G24" i="9" s="1"/>
  <c r="AL24" i="16" s="1"/>
  <c r="G152" i="9" a="1"/>
  <c r="G152" i="9" s="1"/>
  <c r="AL152" i="16" s="1"/>
  <c r="G79" i="9" a="1"/>
  <c r="G79" i="9" s="1"/>
  <c r="AL79" i="16" s="1"/>
  <c r="G207" i="9" a="1"/>
  <c r="G207" i="9" s="1"/>
  <c r="AL207" i="16" s="1"/>
  <c r="G31" i="9" a="1"/>
  <c r="G31" i="9" s="1"/>
  <c r="AL31" i="16" s="1"/>
  <c r="G159" i="9" a="1"/>
  <c r="G159" i="9" s="1"/>
  <c r="AL159" i="16" s="1"/>
  <c r="P29" i="11"/>
  <c r="O18" i="12"/>
  <c r="O29" i="12" s="1"/>
  <c r="O7" i="13" s="1"/>
  <c r="O29" i="13" s="1"/>
  <c r="J7" i="4"/>
  <c r="J29" i="4" s="1"/>
  <c r="J7" i="11"/>
  <c r="J29" i="11" s="1"/>
  <c r="J18" i="12" s="1"/>
  <c r="J29" i="12" s="1"/>
  <c r="J7" i="13" s="1"/>
  <c r="J29" i="13" s="1"/>
  <c r="D7" i="4"/>
  <c r="D29" i="4" s="1"/>
  <c r="D7" i="11"/>
  <c r="K6" i="4"/>
  <c r="K28" i="4" s="1"/>
  <c r="K6" i="11"/>
  <c r="K28" i="11" s="1"/>
  <c r="K17" i="12" s="1"/>
  <c r="K28" i="12" s="1"/>
  <c r="F6" i="4"/>
  <c r="F28" i="4" s="1"/>
  <c r="I13" i="9" s="1" a="1"/>
  <c r="I13" i="9" s="1"/>
  <c r="AN13" i="16" s="1"/>
  <c r="F6" i="11"/>
  <c r="F28" i="11" s="1"/>
  <c r="F17" i="12" s="1"/>
  <c r="F28" i="12" s="1"/>
  <c r="C7" i="4"/>
  <c r="C29" i="4" s="1"/>
  <c r="C7" i="11"/>
  <c r="C29" i="11" s="1"/>
  <c r="G67" i="9" a="1"/>
  <c r="G67" i="9" s="1"/>
  <c r="AL67" i="16" s="1"/>
  <c r="G195" i="9" a="1"/>
  <c r="G195" i="9" s="1"/>
  <c r="AL195" i="16" s="1"/>
  <c r="G155" i="9" a="1"/>
  <c r="G155" i="9" s="1"/>
  <c r="AL155" i="16" s="1"/>
  <c r="G27" i="9" a="1"/>
  <c r="G27" i="9" s="1"/>
  <c r="AL27" i="16" s="1"/>
  <c r="G82" i="9" a="1"/>
  <c r="G82" i="9" s="1"/>
  <c r="AL82" i="16" s="1"/>
  <c r="G210" i="9" a="1"/>
  <c r="G210" i="9" s="1"/>
  <c r="AL210" i="16" s="1"/>
  <c r="G34" i="9" a="1"/>
  <c r="G34" i="9" s="1"/>
  <c r="AL34" i="16" s="1"/>
  <c r="G162" i="9" a="1"/>
  <c r="G162" i="9" s="1"/>
  <c r="AL162" i="16" s="1"/>
  <c r="P32" i="11"/>
  <c r="O21" i="12"/>
  <c r="O32" i="12" s="1"/>
  <c r="O10" i="13" s="1"/>
  <c r="O32" i="13" s="1"/>
  <c r="G49" i="9" a="1"/>
  <c r="G49" i="9" s="1"/>
  <c r="AL49" i="16" s="1"/>
  <c r="G177" i="9" a="1"/>
  <c r="G177" i="9" s="1"/>
  <c r="AL177" i="16" s="1"/>
  <c r="G56" i="9" a="1"/>
  <c r="G56" i="9" s="1"/>
  <c r="AL56" i="16" s="1"/>
  <c r="G184" i="9" a="1"/>
  <c r="G184" i="9" s="1"/>
  <c r="AL184" i="16" s="1"/>
  <c r="G16" i="9" a="1"/>
  <c r="G16" i="9" s="1"/>
  <c r="AL16" i="16" s="1"/>
  <c r="G144" i="9" a="1"/>
  <c r="G144" i="9" s="1"/>
  <c r="AL144" i="16" s="1"/>
  <c r="G191" i="9" a="1"/>
  <c r="G191" i="9" s="1"/>
  <c r="AL191" i="16" s="1"/>
  <c r="G63" i="9" a="1"/>
  <c r="G63" i="9" s="1"/>
  <c r="AL63" i="16" s="1"/>
  <c r="G23" i="9" a="1"/>
  <c r="G23" i="9" s="1"/>
  <c r="AL23" i="16" s="1"/>
  <c r="G151" i="9" a="1"/>
  <c r="G151" i="9" s="1"/>
  <c r="AL151" i="16" s="1"/>
  <c r="N35" i="12"/>
  <c r="N7" i="13"/>
  <c r="N29" i="13" s="1"/>
  <c r="N35" i="13" s="1"/>
  <c r="G158" i="9" a="1"/>
  <c r="G158" i="9" s="1"/>
  <c r="AL158" i="16" s="1"/>
  <c r="G30" i="9" a="1"/>
  <c r="G30" i="9" s="1"/>
  <c r="AL30" i="16" s="1"/>
  <c r="O17" i="12"/>
  <c r="O28" i="12" s="1"/>
  <c r="O6" i="13" s="1"/>
  <c r="O28" i="13" s="1"/>
  <c r="P28" i="11"/>
  <c r="P17" i="12" s="1"/>
  <c r="P28" i="12" s="1"/>
  <c r="J6" i="13"/>
  <c r="J28" i="13" s="1"/>
  <c r="E6" i="4"/>
  <c r="E28" i="4" s="1"/>
  <c r="I5" i="9" s="1" a="1"/>
  <c r="I5" i="9" s="1"/>
  <c r="AN5" i="16" s="1"/>
  <c r="E6" i="11"/>
  <c r="E28" i="11" s="1"/>
  <c r="E17" i="12" s="1"/>
  <c r="E28" i="12" s="1"/>
  <c r="C9" i="2"/>
  <c r="C31" i="2" s="1"/>
  <c r="C9" i="8"/>
  <c r="C31" i="8" s="1"/>
  <c r="C9" i="7"/>
  <c r="C31" i="7" s="1"/>
  <c r="C9" i="6"/>
  <c r="C31" i="6" s="1"/>
  <c r="C9" i="4"/>
  <c r="C31" i="4" s="1"/>
  <c r="C9" i="5"/>
  <c r="C31" i="5" s="1"/>
  <c r="K13" i="2"/>
  <c r="K35" i="2" s="1"/>
  <c r="K13" i="8"/>
  <c r="K13" i="7"/>
  <c r="K35" i="7" s="1"/>
  <c r="K35" i="8" s="1"/>
  <c r="K13" i="6"/>
  <c r="K35" i="6" s="1"/>
  <c r="K13" i="4"/>
  <c r="K35" i="4" s="1"/>
  <c r="K13" i="5"/>
  <c r="K35" i="5" s="1"/>
  <c r="I188" i="9" s="1" a="1"/>
  <c r="I188" i="9" s="1"/>
  <c r="AN188" i="16" s="1"/>
  <c r="G12" i="2"/>
  <c r="G34" i="2" s="1"/>
  <c r="G12" i="8"/>
  <c r="G12" i="7"/>
  <c r="G34" i="7" s="1"/>
  <c r="G34" i="8" s="1"/>
  <c r="G12" i="6"/>
  <c r="G34" i="6" s="1"/>
  <c r="G12" i="5"/>
  <c r="G34" i="5" s="1"/>
  <c r="I155" i="9" s="1" a="1"/>
  <c r="I155" i="9" s="1"/>
  <c r="AN155" i="16" s="1"/>
  <c r="G12" i="4"/>
  <c r="G34" i="4" s="1"/>
  <c r="I27" i="9" s="1" a="1"/>
  <c r="I27" i="9" s="1"/>
  <c r="AN27" i="16" s="1"/>
  <c r="N11" i="2"/>
  <c r="N33" i="2" s="1"/>
  <c r="N11" i="8"/>
  <c r="N11" i="7"/>
  <c r="N33" i="7" s="1"/>
  <c r="N33" i="8" s="1"/>
  <c r="N11" i="6"/>
  <c r="N33" i="6" s="1"/>
  <c r="N11" i="5"/>
  <c r="N33" i="5" s="1"/>
  <c r="I210" i="9" s="1" a="1"/>
  <c r="I210" i="9" s="1"/>
  <c r="AN210" i="16" s="1"/>
  <c r="N11" i="4"/>
  <c r="N33" i="4" s="1"/>
  <c r="H11" i="2"/>
  <c r="H33" i="2" s="1"/>
  <c r="H11" i="8"/>
  <c r="H11" i="7"/>
  <c r="H33" i="7" s="1"/>
  <c r="H33" i="8" s="1"/>
  <c r="H11" i="6"/>
  <c r="H33" i="6" s="1"/>
  <c r="H11" i="5"/>
  <c r="H33" i="5" s="1"/>
  <c r="I162" i="9" s="1" a="1"/>
  <c r="I162" i="9" s="1"/>
  <c r="AN162" i="16" s="1"/>
  <c r="H11" i="4"/>
  <c r="H33" i="4" s="1"/>
  <c r="O10" i="2"/>
  <c r="O32" i="2" s="1"/>
  <c r="P32" i="2" s="1"/>
  <c r="Q32" i="2" s="1"/>
  <c r="R32" i="2" s="1"/>
  <c r="S32" i="2" s="1"/>
  <c r="T32" i="2" s="1"/>
  <c r="O10" i="8"/>
  <c r="O10" i="7"/>
  <c r="O32" i="7" s="1"/>
  <c r="O32" i="8" s="1"/>
  <c r="O10" i="6"/>
  <c r="O32" i="6" s="1"/>
  <c r="P32" i="6" s="1"/>
  <c r="Q32" i="6" s="1"/>
  <c r="R32" i="6" s="1"/>
  <c r="S32" i="6" s="1"/>
  <c r="T32" i="6" s="1"/>
  <c r="O10" i="5"/>
  <c r="O32" i="5" s="1"/>
  <c r="I217" i="9" s="1" a="1"/>
  <c r="I217" i="9" s="1"/>
  <c r="AN217" i="16" s="1"/>
  <c r="O10" i="4"/>
  <c r="O32" i="4" s="1"/>
  <c r="P32" i="4" s="1"/>
  <c r="Q32" i="4" s="1"/>
  <c r="R32" i="4" s="1"/>
  <c r="S32" i="4" s="1"/>
  <c r="T32" i="4" s="1"/>
  <c r="I129" i="9" s="1" a="1"/>
  <c r="I129" i="9" s="1"/>
  <c r="AN129" i="16" s="1"/>
  <c r="J10" i="2"/>
  <c r="J32" i="2" s="1"/>
  <c r="J10" i="8"/>
  <c r="J10" i="7"/>
  <c r="J32" i="7" s="1"/>
  <c r="J32" i="8" s="1"/>
  <c r="J10" i="6"/>
  <c r="J32" i="6" s="1"/>
  <c r="J10" i="5"/>
  <c r="J32" i="5" s="1"/>
  <c r="I177" i="9" s="1" a="1"/>
  <c r="I177" i="9" s="1"/>
  <c r="AN177" i="16" s="1"/>
  <c r="J10" i="4"/>
  <c r="J32" i="4" s="1"/>
  <c r="D10" i="2"/>
  <c r="D10" i="8"/>
  <c r="D32" i="8" s="1"/>
  <c r="D10" i="7"/>
  <c r="D32" i="7" s="1"/>
  <c r="D10" i="5"/>
  <c r="D32" i="5" s="1"/>
  <c r="D10" i="6"/>
  <c r="D32" i="6" s="1"/>
  <c r="D10" i="4"/>
  <c r="D32" i="4" s="1"/>
  <c r="K9" i="2"/>
  <c r="K31" i="2" s="1"/>
  <c r="K9" i="8"/>
  <c r="K9" i="7"/>
  <c r="K31" i="7" s="1"/>
  <c r="K31" i="8" s="1"/>
  <c r="K9" i="6"/>
  <c r="K31" i="6" s="1"/>
  <c r="K9" i="4"/>
  <c r="K31" i="4" s="1"/>
  <c r="K9" i="5"/>
  <c r="K31" i="5" s="1"/>
  <c r="I184" i="9" s="1" a="1"/>
  <c r="I184" i="9" s="1"/>
  <c r="AN184" i="16" s="1"/>
  <c r="F9" i="2"/>
  <c r="F31" i="2" s="1"/>
  <c r="F9" i="8"/>
  <c r="F9" i="7"/>
  <c r="F31" i="7" s="1"/>
  <c r="F31" i="8" s="1"/>
  <c r="F9" i="5"/>
  <c r="F31" i="5" s="1"/>
  <c r="I144" i="9" s="1" a="1"/>
  <c r="I144" i="9" s="1"/>
  <c r="AN144" i="16" s="1"/>
  <c r="F9" i="6"/>
  <c r="F31" i="6" s="1"/>
  <c r="F9" i="4"/>
  <c r="F31" i="4" s="1"/>
  <c r="I16" i="9" s="1" a="1"/>
  <c r="I16" i="9" s="1"/>
  <c r="AN16" i="16" s="1"/>
  <c r="L8" i="2"/>
  <c r="L30" i="2" s="1"/>
  <c r="L8" i="8"/>
  <c r="L8" i="7"/>
  <c r="L30" i="7" s="1"/>
  <c r="L30" i="8" s="1"/>
  <c r="L8" i="5"/>
  <c r="L30" i="5" s="1"/>
  <c r="I191" i="9" s="1" a="1"/>
  <c r="I191" i="9" s="1"/>
  <c r="AN191" i="16" s="1"/>
  <c r="L8" i="6"/>
  <c r="L30" i="6" s="1"/>
  <c r="L8" i="4"/>
  <c r="L30" i="4" s="1"/>
  <c r="G8" i="2"/>
  <c r="G30" i="2" s="1"/>
  <c r="G8" i="8"/>
  <c r="G8" i="7"/>
  <c r="G30" i="7" s="1"/>
  <c r="G30" i="8" s="1"/>
  <c r="G8" i="5"/>
  <c r="G30" i="5" s="1"/>
  <c r="I151" i="9" s="1" a="1"/>
  <c r="I151" i="9" s="1"/>
  <c r="AN151" i="16" s="1"/>
  <c r="G8" i="6"/>
  <c r="G30" i="6" s="1"/>
  <c r="G8" i="4"/>
  <c r="G30" i="4" s="1"/>
  <c r="I23" i="9" s="1" a="1"/>
  <c r="I23" i="9" s="1"/>
  <c r="AN23" i="16" s="1"/>
  <c r="N7" i="2"/>
  <c r="N29" i="2" s="1"/>
  <c r="N7" i="8"/>
  <c r="N7" i="7"/>
  <c r="N29" i="7" s="1"/>
  <c r="N29" i="8" s="1"/>
  <c r="N7" i="5"/>
  <c r="N29" i="5" s="1"/>
  <c r="I206" i="9" s="1" a="1"/>
  <c r="I206" i="9" s="1"/>
  <c r="AN206" i="16" s="1"/>
  <c r="N7" i="6"/>
  <c r="N29" i="6" s="1"/>
  <c r="N7" i="4"/>
  <c r="N29" i="4" s="1"/>
  <c r="I78" i="9" s="1" a="1"/>
  <c r="I78" i="9" s="1"/>
  <c r="AN78" i="16" s="1"/>
  <c r="H7" i="2"/>
  <c r="H29" i="2" s="1"/>
  <c r="H7" i="8"/>
  <c r="H7" i="7"/>
  <c r="H29" i="7" s="1"/>
  <c r="H29" i="8" s="1"/>
  <c r="H7" i="5"/>
  <c r="H29" i="5" s="1"/>
  <c r="I158" i="9" s="1" a="1"/>
  <c r="I158" i="9" s="1"/>
  <c r="AN158" i="16" s="1"/>
  <c r="H7" i="6"/>
  <c r="H29" i="6" s="1"/>
  <c r="O6" i="2"/>
  <c r="O28" i="2" s="1"/>
  <c r="P28" i="2" s="1"/>
  <c r="Q28" i="2" s="1"/>
  <c r="R28" i="2" s="1"/>
  <c r="S28" i="2" s="1"/>
  <c r="T28" i="2" s="1"/>
  <c r="O6" i="8"/>
  <c r="O6" i="7"/>
  <c r="O28" i="7" s="1"/>
  <c r="O28" i="8" s="1"/>
  <c r="O6" i="5"/>
  <c r="O28" i="5" s="1"/>
  <c r="I213" i="9" s="1" a="1"/>
  <c r="I213" i="9" s="1"/>
  <c r="AN213" i="16" s="1"/>
  <c r="O6" i="6"/>
  <c r="O28" i="6" s="1"/>
  <c r="P28" i="6" s="1"/>
  <c r="Q28" i="6" s="1"/>
  <c r="R28" i="6" s="1"/>
  <c r="S28" i="6" s="1"/>
  <c r="T28" i="6" s="1"/>
  <c r="J6" i="2"/>
  <c r="J28" i="2" s="1"/>
  <c r="J6" i="8"/>
  <c r="J6" i="7"/>
  <c r="J28" i="7" s="1"/>
  <c r="J28" i="8" s="1"/>
  <c r="J6" i="5"/>
  <c r="J28" i="5" s="1"/>
  <c r="I173" i="9" s="1" a="1"/>
  <c r="I173" i="9" s="1"/>
  <c r="AN173" i="16" s="1"/>
  <c r="J6" i="6"/>
  <c r="J28" i="6" s="1"/>
  <c r="D6" i="2"/>
  <c r="D6" i="7"/>
  <c r="D28" i="7" s="1"/>
  <c r="D6" i="8"/>
  <c r="D28" i="8" s="1"/>
  <c r="D6" i="5"/>
  <c r="D28" i="5" s="1"/>
  <c r="D6" i="6"/>
  <c r="D28" i="6" s="1"/>
  <c r="C7" i="2"/>
  <c r="C29" i="2" s="1"/>
  <c r="C7" i="7"/>
  <c r="C29" i="7" s="1"/>
  <c r="C7" i="8"/>
  <c r="C29" i="8" s="1"/>
  <c r="C7" i="6"/>
  <c r="C29" i="6" s="1"/>
  <c r="C7" i="5"/>
  <c r="C29" i="5" s="1"/>
  <c r="L12" i="2"/>
  <c r="L34" i="2" s="1"/>
  <c r="L12" i="8"/>
  <c r="L12" i="7"/>
  <c r="L34" i="7" s="1"/>
  <c r="L34" i="8" s="1"/>
  <c r="L12" i="6"/>
  <c r="L34" i="6" s="1"/>
  <c r="L12" i="5"/>
  <c r="L34" i="5" s="1"/>
  <c r="I195" i="9" s="1" a="1"/>
  <c r="I195" i="9" s="1"/>
  <c r="AN195" i="16" s="1"/>
  <c r="L12" i="4"/>
  <c r="L34" i="4" s="1"/>
  <c r="C11" i="2"/>
  <c r="C33" i="2" s="1"/>
  <c r="C11" i="8"/>
  <c r="C33" i="8" s="1"/>
  <c r="C11" i="7"/>
  <c r="C33" i="7" s="1"/>
  <c r="C11" i="6"/>
  <c r="C33" i="6" s="1"/>
  <c r="C11" i="4"/>
  <c r="C33" i="4" s="1"/>
  <c r="C11" i="5"/>
  <c r="C33" i="5" s="1"/>
  <c r="O13" i="2"/>
  <c r="O35" i="2" s="1"/>
  <c r="P35" i="2" s="1"/>
  <c r="Q35" i="2" s="1"/>
  <c r="R35" i="2" s="1"/>
  <c r="S35" i="2" s="1"/>
  <c r="T35" i="2" s="1"/>
  <c r="O13" i="8"/>
  <c r="O13" i="7"/>
  <c r="O35" i="7" s="1"/>
  <c r="O35" i="8" s="1"/>
  <c r="O13" i="6"/>
  <c r="O35" i="6" s="1"/>
  <c r="P35" i="6" s="1"/>
  <c r="Q35" i="6" s="1"/>
  <c r="R35" i="6" s="1"/>
  <c r="S35" i="6" s="1"/>
  <c r="T35" i="6" s="1"/>
  <c r="O13" i="4"/>
  <c r="O35" i="4" s="1"/>
  <c r="P35" i="4" s="1"/>
  <c r="Q35" i="4" s="1"/>
  <c r="R35" i="4" s="1"/>
  <c r="S35" i="4" s="1"/>
  <c r="T35" i="4" s="1"/>
  <c r="I132" i="9" s="1" a="1"/>
  <c r="I132" i="9" s="1"/>
  <c r="AN132" i="16" s="1"/>
  <c r="O13" i="5"/>
  <c r="O35" i="5" s="1"/>
  <c r="I220" i="9" s="1" a="1"/>
  <c r="I220" i="9" s="1"/>
  <c r="AN220" i="16" s="1"/>
  <c r="J13" i="2"/>
  <c r="J35" i="2" s="1"/>
  <c r="J13" i="8"/>
  <c r="J13" i="7"/>
  <c r="J35" i="7" s="1"/>
  <c r="J35" i="8" s="1"/>
  <c r="J13" i="6"/>
  <c r="J35" i="6" s="1"/>
  <c r="J13" i="5"/>
  <c r="J35" i="5" s="1"/>
  <c r="I180" i="9" s="1" a="1"/>
  <c r="I180" i="9" s="1"/>
  <c r="AN180" i="16" s="1"/>
  <c r="J13" i="4"/>
  <c r="J35" i="4" s="1"/>
  <c r="D13" i="2"/>
  <c r="D13" i="8"/>
  <c r="D35" i="8" s="1"/>
  <c r="D13" i="7"/>
  <c r="D35" i="7" s="1"/>
  <c r="D13" i="6"/>
  <c r="D35" i="6" s="1"/>
  <c r="D13" i="5"/>
  <c r="D35" i="5" s="1"/>
  <c r="D13" i="4"/>
  <c r="D35" i="4" s="1"/>
  <c r="K12" i="2"/>
  <c r="K34" i="2" s="1"/>
  <c r="K12" i="8"/>
  <c r="K12" i="7"/>
  <c r="K34" i="7" s="1"/>
  <c r="K34" i="8" s="1"/>
  <c r="K12" i="6"/>
  <c r="K34" i="6" s="1"/>
  <c r="K12" i="5"/>
  <c r="K34" i="5" s="1"/>
  <c r="I187" i="9" s="1" a="1"/>
  <c r="I187" i="9" s="1"/>
  <c r="AN187" i="16" s="1"/>
  <c r="K12" i="4"/>
  <c r="K34" i="4" s="1"/>
  <c r="F12" i="2"/>
  <c r="F34" i="2" s="1"/>
  <c r="F12" i="8"/>
  <c r="F12" i="7"/>
  <c r="F34" i="7" s="1"/>
  <c r="F34" i="8" s="1"/>
  <c r="F12" i="6"/>
  <c r="F34" i="6" s="1"/>
  <c r="F12" i="5"/>
  <c r="F34" i="5" s="1"/>
  <c r="I147" i="9" s="1" a="1"/>
  <c r="I147" i="9" s="1"/>
  <c r="AN147" i="16" s="1"/>
  <c r="F12" i="4"/>
  <c r="F34" i="4" s="1"/>
  <c r="I19" i="9" s="1" a="1"/>
  <c r="I19" i="9" s="1"/>
  <c r="AN19" i="16" s="1"/>
  <c r="L11" i="2"/>
  <c r="L33" i="2" s="1"/>
  <c r="L11" i="8"/>
  <c r="L11" i="7"/>
  <c r="L33" i="7" s="1"/>
  <c r="L33" i="8" s="1"/>
  <c r="L11" i="6"/>
  <c r="L33" i="6" s="1"/>
  <c r="L11" i="5"/>
  <c r="L33" i="5" s="1"/>
  <c r="I194" i="9" s="1" a="1"/>
  <c r="I194" i="9" s="1"/>
  <c r="AN194" i="16" s="1"/>
  <c r="L11" i="4"/>
  <c r="L33" i="4" s="1"/>
  <c r="G11" i="2"/>
  <c r="G33" i="2" s="1"/>
  <c r="G11" i="8"/>
  <c r="G11" i="7"/>
  <c r="G33" i="7" s="1"/>
  <c r="G33" i="8" s="1"/>
  <c r="G11" i="6"/>
  <c r="G33" i="6" s="1"/>
  <c r="G11" i="4"/>
  <c r="G33" i="4" s="1"/>
  <c r="I26" i="9" s="1" a="1"/>
  <c r="I26" i="9" s="1"/>
  <c r="AN26" i="16" s="1"/>
  <c r="G11" i="5"/>
  <c r="G33" i="5" s="1"/>
  <c r="I154" i="9" s="1" a="1"/>
  <c r="I154" i="9" s="1"/>
  <c r="AN154" i="16" s="1"/>
  <c r="N10" i="2"/>
  <c r="N32" i="2" s="1"/>
  <c r="N10" i="8"/>
  <c r="N10" i="7"/>
  <c r="N32" i="7" s="1"/>
  <c r="N32" i="8" s="1"/>
  <c r="N10" i="6"/>
  <c r="N32" i="6" s="1"/>
  <c r="N10" i="5"/>
  <c r="N32" i="5" s="1"/>
  <c r="I209" i="9" s="1" a="1"/>
  <c r="I209" i="9" s="1"/>
  <c r="AN209" i="16" s="1"/>
  <c r="N10" i="4"/>
  <c r="N32" i="4" s="1"/>
  <c r="H10" i="2"/>
  <c r="H32" i="2" s="1"/>
  <c r="H10" i="8"/>
  <c r="H10" i="7"/>
  <c r="H32" i="7" s="1"/>
  <c r="H32" i="8" s="1"/>
  <c r="H10" i="6"/>
  <c r="H32" i="6" s="1"/>
  <c r="H10" i="5"/>
  <c r="H32" i="5" s="1"/>
  <c r="I161" i="9" s="1" a="1"/>
  <c r="I161" i="9" s="1"/>
  <c r="AN161" i="16" s="1"/>
  <c r="H10" i="4"/>
  <c r="H32" i="4" s="1"/>
  <c r="O9" i="2"/>
  <c r="O31" i="2" s="1"/>
  <c r="P31" i="2" s="1"/>
  <c r="Q31" i="2" s="1"/>
  <c r="R31" i="2" s="1"/>
  <c r="S31" i="2" s="1"/>
  <c r="T31" i="2" s="1"/>
  <c r="O9" i="8"/>
  <c r="O9" i="7"/>
  <c r="O31" i="7" s="1"/>
  <c r="O31" i="8" s="1"/>
  <c r="O9" i="6"/>
  <c r="O31" i="6" s="1"/>
  <c r="P31" i="6" s="1"/>
  <c r="Q31" i="6" s="1"/>
  <c r="R31" i="6" s="1"/>
  <c r="S31" i="6" s="1"/>
  <c r="T31" i="6" s="1"/>
  <c r="O9" i="4"/>
  <c r="O31" i="4" s="1"/>
  <c r="P31" i="4" s="1"/>
  <c r="Q31" i="4" s="1"/>
  <c r="R31" i="4" s="1"/>
  <c r="S31" i="4" s="1"/>
  <c r="T31" i="4" s="1"/>
  <c r="I128" i="9" s="1" a="1"/>
  <c r="I128" i="9" s="1"/>
  <c r="AN128" i="16" s="1"/>
  <c r="O9" i="5"/>
  <c r="O31" i="5" s="1"/>
  <c r="I216" i="9" s="1" a="1"/>
  <c r="I216" i="9" s="1"/>
  <c r="AN216" i="16" s="1"/>
  <c r="J9" i="2"/>
  <c r="J31" i="2" s="1"/>
  <c r="J9" i="8"/>
  <c r="J9" i="7"/>
  <c r="J31" i="7" s="1"/>
  <c r="J31" i="8" s="1"/>
  <c r="J9" i="5"/>
  <c r="J31" i="5" s="1"/>
  <c r="I176" i="9" s="1" a="1"/>
  <c r="I176" i="9" s="1"/>
  <c r="AN176" i="16" s="1"/>
  <c r="J9" i="6"/>
  <c r="J31" i="6" s="1"/>
  <c r="J9" i="4"/>
  <c r="J31" i="4" s="1"/>
  <c r="D9" i="2"/>
  <c r="D9" i="8"/>
  <c r="D31" i="8" s="1"/>
  <c r="D9" i="7"/>
  <c r="D31" i="7" s="1"/>
  <c r="D9" i="5"/>
  <c r="D31" i="5" s="1"/>
  <c r="D9" i="6"/>
  <c r="D31" i="6" s="1"/>
  <c r="D9" i="4"/>
  <c r="D31" i="4" s="1"/>
  <c r="K8" i="2"/>
  <c r="K30" i="2" s="1"/>
  <c r="K8" i="8"/>
  <c r="K8" i="7"/>
  <c r="K30" i="7" s="1"/>
  <c r="K30" i="8" s="1"/>
  <c r="K8" i="5"/>
  <c r="K30" i="5" s="1"/>
  <c r="I183" i="9" s="1" a="1"/>
  <c r="I183" i="9" s="1"/>
  <c r="AN183" i="16" s="1"/>
  <c r="K8" i="6"/>
  <c r="K30" i="6" s="1"/>
  <c r="K8" i="4"/>
  <c r="K30" i="4" s="1"/>
  <c r="F8" i="2"/>
  <c r="F30" i="2" s="1"/>
  <c r="F8" i="8"/>
  <c r="F8" i="7"/>
  <c r="F30" i="7" s="1"/>
  <c r="F30" i="8" s="1"/>
  <c r="F8" i="5"/>
  <c r="F30" i="5" s="1"/>
  <c r="I143" i="9" s="1" a="1"/>
  <c r="I143" i="9" s="1"/>
  <c r="AN143" i="16" s="1"/>
  <c r="F8" i="6"/>
  <c r="F8" i="4"/>
  <c r="F30" i="4" s="1"/>
  <c r="I15" i="9" s="1" a="1"/>
  <c r="I15" i="9" s="1"/>
  <c r="AN15" i="16" s="1"/>
  <c r="L7" i="2"/>
  <c r="L29" i="2" s="1"/>
  <c r="L7" i="8"/>
  <c r="L7" i="7"/>
  <c r="L29" i="7" s="1"/>
  <c r="L29" i="8" s="1"/>
  <c r="L7" i="5"/>
  <c r="L29" i="5" s="1"/>
  <c r="I190" i="9" s="1" a="1"/>
  <c r="I190" i="9" s="1"/>
  <c r="AN190" i="16" s="1"/>
  <c r="L7" i="6"/>
  <c r="L29" i="6" s="1"/>
  <c r="L7" i="4"/>
  <c r="L29" i="4" s="1"/>
  <c r="G7" i="2"/>
  <c r="G29" i="2" s="1"/>
  <c r="G7" i="7"/>
  <c r="G29" i="7" s="1"/>
  <c r="G29" i="8" s="1"/>
  <c r="G7" i="8"/>
  <c r="G7" i="6"/>
  <c r="G29" i="6" s="1"/>
  <c r="G7" i="5"/>
  <c r="G29" i="5" s="1"/>
  <c r="I150" i="9" s="1" a="1"/>
  <c r="I150" i="9" s="1"/>
  <c r="AN150" i="16" s="1"/>
  <c r="N6" i="2"/>
  <c r="N28" i="2" s="1"/>
  <c r="N6" i="8"/>
  <c r="N6" i="7"/>
  <c r="N28" i="7" s="1"/>
  <c r="N28" i="8" s="1"/>
  <c r="N6" i="5"/>
  <c r="N28" i="5" s="1"/>
  <c r="I205" i="9" s="1" a="1"/>
  <c r="I205" i="9" s="1"/>
  <c r="AN205" i="16" s="1"/>
  <c r="N6" i="6"/>
  <c r="N28" i="6" s="1"/>
  <c r="H6" i="2"/>
  <c r="H28" i="2" s="1"/>
  <c r="H6" i="7"/>
  <c r="H28" i="7" s="1"/>
  <c r="H28" i="8" s="1"/>
  <c r="H6" i="8"/>
  <c r="H6" i="5"/>
  <c r="H28" i="5" s="1"/>
  <c r="I157" i="9" s="1" a="1"/>
  <c r="I157" i="9" s="1"/>
  <c r="AN157" i="16" s="1"/>
  <c r="H6" i="6"/>
  <c r="J6" i="4"/>
  <c r="J28" i="4" s="1"/>
  <c r="N6" i="4"/>
  <c r="N28" i="4" s="1"/>
  <c r="I77" i="9" s="1" a="1"/>
  <c r="I77" i="9" s="1"/>
  <c r="AN77" i="16" s="1"/>
  <c r="H7" i="4"/>
  <c r="H29" i="4" s="1"/>
  <c r="C6" i="2"/>
  <c r="C28" i="2" s="1"/>
  <c r="C6" i="8"/>
  <c r="C28" i="8" s="1"/>
  <c r="C6" i="7"/>
  <c r="C28" i="7" s="1"/>
  <c r="C6" i="5"/>
  <c r="C28" i="5" s="1"/>
  <c r="C6" i="6"/>
  <c r="C28" i="6" s="1"/>
  <c r="C13" i="2"/>
  <c r="C35" i="2" s="1"/>
  <c r="C13" i="8"/>
  <c r="C35" i="8" s="1"/>
  <c r="C13" i="7"/>
  <c r="C35" i="7" s="1"/>
  <c r="C13" i="6"/>
  <c r="C35" i="6" s="1"/>
  <c r="C13" i="4"/>
  <c r="C35" i="4" s="1"/>
  <c r="C13" i="5"/>
  <c r="C35" i="5" s="1"/>
  <c r="F13" i="2"/>
  <c r="F35" i="2" s="1"/>
  <c r="F13" i="8"/>
  <c r="F13" i="7"/>
  <c r="F35" i="7" s="1"/>
  <c r="F35" i="8" s="1"/>
  <c r="F13" i="6"/>
  <c r="F35" i="6" s="1"/>
  <c r="F13" i="5"/>
  <c r="F35" i="5" s="1"/>
  <c r="I148" i="9" s="1" a="1"/>
  <c r="I148" i="9" s="1"/>
  <c r="AN148" i="16" s="1"/>
  <c r="F13" i="4"/>
  <c r="F35" i="4" s="1"/>
  <c r="I20" i="9" s="1" a="1"/>
  <c r="I20" i="9" s="1"/>
  <c r="AN20" i="16" s="1"/>
  <c r="C10" i="2"/>
  <c r="C32" i="2" s="1"/>
  <c r="C10" i="8"/>
  <c r="C32" i="8" s="1"/>
  <c r="C10" i="7"/>
  <c r="C32" i="7" s="1"/>
  <c r="C10" i="5"/>
  <c r="C32" i="5" s="1"/>
  <c r="C10" i="6"/>
  <c r="C32" i="6" s="1"/>
  <c r="C10" i="4"/>
  <c r="C32" i="4" s="1"/>
  <c r="N13" i="2"/>
  <c r="N35" i="2" s="1"/>
  <c r="N13" i="8"/>
  <c r="N13" i="7"/>
  <c r="N35" i="7" s="1"/>
  <c r="N35" i="8" s="1"/>
  <c r="N13" i="6"/>
  <c r="N35" i="6" s="1"/>
  <c r="N13" i="5"/>
  <c r="N35" i="5" s="1"/>
  <c r="I212" i="9" s="1" a="1"/>
  <c r="I212" i="9" s="1"/>
  <c r="AN212" i="16" s="1"/>
  <c r="N13" i="4"/>
  <c r="N35" i="4" s="1"/>
  <c r="H13" i="2"/>
  <c r="H35" i="2" s="1"/>
  <c r="H13" i="8"/>
  <c r="H13" i="7"/>
  <c r="H35" i="7" s="1"/>
  <c r="H35" i="8" s="1"/>
  <c r="H13" i="6"/>
  <c r="H35" i="6" s="1"/>
  <c r="H13" i="5"/>
  <c r="H35" i="5" s="1"/>
  <c r="I164" i="9" s="1" a="1"/>
  <c r="I164" i="9" s="1"/>
  <c r="AN164" i="16" s="1"/>
  <c r="H13" i="4"/>
  <c r="H35" i="4" s="1"/>
  <c r="O12" i="2"/>
  <c r="O34" i="2" s="1"/>
  <c r="P34" i="2" s="1"/>
  <c r="Q34" i="2" s="1"/>
  <c r="R34" i="2" s="1"/>
  <c r="S34" i="2" s="1"/>
  <c r="T34" i="2" s="1"/>
  <c r="O12" i="8"/>
  <c r="O12" i="7"/>
  <c r="O34" i="7" s="1"/>
  <c r="O34" i="8" s="1"/>
  <c r="O12" i="6"/>
  <c r="O34" i="6" s="1"/>
  <c r="P34" i="6" s="1"/>
  <c r="Q34" i="6" s="1"/>
  <c r="R34" i="6" s="1"/>
  <c r="S34" i="6" s="1"/>
  <c r="T34" i="6" s="1"/>
  <c r="O12" i="5"/>
  <c r="O34" i="5" s="1"/>
  <c r="I219" i="9" s="1" a="1"/>
  <c r="I219" i="9" s="1"/>
  <c r="AN219" i="16" s="1"/>
  <c r="O12" i="4"/>
  <c r="O34" i="4" s="1"/>
  <c r="P34" i="4" s="1"/>
  <c r="Q34" i="4" s="1"/>
  <c r="R34" i="4" s="1"/>
  <c r="S34" i="4" s="1"/>
  <c r="T34" i="4" s="1"/>
  <c r="I131" i="9" s="1" a="1"/>
  <c r="I131" i="9" s="1"/>
  <c r="AN131" i="16" s="1"/>
  <c r="J12" i="2"/>
  <c r="J34" i="2" s="1"/>
  <c r="J12" i="8"/>
  <c r="J12" i="7"/>
  <c r="J34" i="7" s="1"/>
  <c r="J34" i="8" s="1"/>
  <c r="J12" i="6"/>
  <c r="J34" i="6" s="1"/>
  <c r="J12" i="5"/>
  <c r="J34" i="5" s="1"/>
  <c r="I179" i="9" s="1" a="1"/>
  <c r="I179" i="9" s="1"/>
  <c r="AN179" i="16" s="1"/>
  <c r="J12" i="4"/>
  <c r="J34" i="4" s="1"/>
  <c r="D12" i="2"/>
  <c r="D12" i="8"/>
  <c r="D34" i="8" s="1"/>
  <c r="D12" i="7"/>
  <c r="D34" i="7" s="1"/>
  <c r="D12" i="6"/>
  <c r="D34" i="6" s="1"/>
  <c r="D12" i="5"/>
  <c r="D34" i="5" s="1"/>
  <c r="D12" i="4"/>
  <c r="D34" i="4" s="1"/>
  <c r="K11" i="2"/>
  <c r="K33" i="2" s="1"/>
  <c r="K11" i="8"/>
  <c r="K11" i="7"/>
  <c r="K33" i="7" s="1"/>
  <c r="K33" i="8" s="1"/>
  <c r="K11" i="6"/>
  <c r="K33" i="6" s="1"/>
  <c r="K11" i="4"/>
  <c r="K33" i="4" s="1"/>
  <c r="K11" i="5"/>
  <c r="K33" i="5" s="1"/>
  <c r="I186" i="9" s="1" a="1"/>
  <c r="I186" i="9" s="1"/>
  <c r="AN186" i="16" s="1"/>
  <c r="F11" i="2"/>
  <c r="F33" i="2" s="1"/>
  <c r="F11" i="8"/>
  <c r="F11" i="7"/>
  <c r="F33" i="7" s="1"/>
  <c r="F33" i="8" s="1"/>
  <c r="F11" i="6"/>
  <c r="F33" i="6" s="1"/>
  <c r="F11" i="5"/>
  <c r="F33" i="5" s="1"/>
  <c r="I146" i="9" s="1" a="1"/>
  <c r="I146" i="9" s="1"/>
  <c r="AN146" i="16" s="1"/>
  <c r="F11" i="4"/>
  <c r="F33" i="4" s="1"/>
  <c r="I18" i="9" s="1" a="1"/>
  <c r="I18" i="9" s="1"/>
  <c r="AN18" i="16" s="1"/>
  <c r="L10" i="2"/>
  <c r="L32" i="2" s="1"/>
  <c r="L10" i="8"/>
  <c r="L10" i="7"/>
  <c r="L32" i="7" s="1"/>
  <c r="L32" i="8" s="1"/>
  <c r="L10" i="6"/>
  <c r="L32" i="6" s="1"/>
  <c r="L10" i="5"/>
  <c r="L32" i="5" s="1"/>
  <c r="I193" i="9" s="1" a="1"/>
  <c r="I193" i="9" s="1"/>
  <c r="AN193" i="16" s="1"/>
  <c r="L10" i="4"/>
  <c r="L32" i="4" s="1"/>
  <c r="G10" i="2"/>
  <c r="G32" i="2" s="1"/>
  <c r="G10" i="8"/>
  <c r="G10" i="7"/>
  <c r="G32" i="7" s="1"/>
  <c r="G32" i="8" s="1"/>
  <c r="G10" i="6"/>
  <c r="G32" i="6" s="1"/>
  <c r="G10" i="5"/>
  <c r="G32" i="5" s="1"/>
  <c r="I153" i="9" s="1" a="1"/>
  <c r="I153" i="9" s="1"/>
  <c r="AN153" i="16" s="1"/>
  <c r="G10" i="4"/>
  <c r="G32" i="4" s="1"/>
  <c r="I25" i="9" s="1" a="1"/>
  <c r="I25" i="9" s="1"/>
  <c r="AN25" i="16" s="1"/>
  <c r="N9" i="2"/>
  <c r="N31" i="2" s="1"/>
  <c r="N9" i="8"/>
  <c r="N9" i="7"/>
  <c r="N31" i="7" s="1"/>
  <c r="N31" i="8" s="1"/>
  <c r="N9" i="5"/>
  <c r="N31" i="5" s="1"/>
  <c r="I208" i="9" s="1" a="1"/>
  <c r="I208" i="9" s="1"/>
  <c r="AN208" i="16" s="1"/>
  <c r="N9" i="6"/>
  <c r="N31" i="6" s="1"/>
  <c r="N9" i="4"/>
  <c r="N31" i="4" s="1"/>
  <c r="H9" i="2"/>
  <c r="H31" i="2" s="1"/>
  <c r="H9" i="8"/>
  <c r="H9" i="7"/>
  <c r="H31" i="7" s="1"/>
  <c r="H31" i="8" s="1"/>
  <c r="H9" i="5"/>
  <c r="H31" i="5" s="1"/>
  <c r="I160" i="9" s="1" a="1"/>
  <c r="I160" i="9" s="1"/>
  <c r="AN160" i="16" s="1"/>
  <c r="H9" i="6"/>
  <c r="H31" i="6" s="1"/>
  <c r="H9" i="4"/>
  <c r="H31" i="4" s="1"/>
  <c r="O8" i="2"/>
  <c r="O30" i="2" s="1"/>
  <c r="P30" i="2" s="1"/>
  <c r="Q30" i="2" s="1"/>
  <c r="R30" i="2" s="1"/>
  <c r="S30" i="2" s="1"/>
  <c r="T30" i="2" s="1"/>
  <c r="O8" i="8"/>
  <c r="O8" i="7"/>
  <c r="O30" i="7" s="1"/>
  <c r="O30" i="8" s="1"/>
  <c r="O8" i="5"/>
  <c r="O30" i="5" s="1"/>
  <c r="I215" i="9" s="1" a="1"/>
  <c r="I215" i="9" s="1"/>
  <c r="AN215" i="16" s="1"/>
  <c r="O8" i="6"/>
  <c r="O30" i="6" s="1"/>
  <c r="P30" i="6" s="1"/>
  <c r="Q30" i="6" s="1"/>
  <c r="R30" i="6" s="1"/>
  <c r="S30" i="6" s="1"/>
  <c r="T30" i="6" s="1"/>
  <c r="O8" i="4"/>
  <c r="O30" i="4" s="1"/>
  <c r="P30" i="4" s="1"/>
  <c r="Q30" i="4" s="1"/>
  <c r="R30" i="4" s="1"/>
  <c r="S30" i="4" s="1"/>
  <c r="T30" i="4" s="1"/>
  <c r="I127" i="9" s="1" a="1"/>
  <c r="I127" i="9" s="1"/>
  <c r="AN127" i="16" s="1"/>
  <c r="J8" i="2"/>
  <c r="J30" i="2" s="1"/>
  <c r="J8" i="8"/>
  <c r="J8" i="7"/>
  <c r="J30" i="7" s="1"/>
  <c r="J30" i="8" s="1"/>
  <c r="J8" i="5"/>
  <c r="J30" i="5" s="1"/>
  <c r="I175" i="9" s="1" a="1"/>
  <c r="I175" i="9" s="1"/>
  <c r="AN175" i="16" s="1"/>
  <c r="J8" i="6"/>
  <c r="J30" i="6" s="1"/>
  <c r="J8" i="4"/>
  <c r="J30" i="4" s="1"/>
  <c r="D8" i="2"/>
  <c r="D8" i="8"/>
  <c r="D30" i="8" s="1"/>
  <c r="D8" i="7"/>
  <c r="D30" i="7" s="1"/>
  <c r="D8" i="5"/>
  <c r="D30" i="5" s="1"/>
  <c r="D8" i="6"/>
  <c r="D30" i="6" s="1"/>
  <c r="D8" i="4"/>
  <c r="D30" i="4" s="1"/>
  <c r="K7" i="2"/>
  <c r="K29" i="2" s="1"/>
  <c r="K7" i="8"/>
  <c r="K7" i="7"/>
  <c r="K29" i="7" s="1"/>
  <c r="K29" i="8" s="1"/>
  <c r="K7" i="6"/>
  <c r="K29" i="6" s="1"/>
  <c r="K7" i="5"/>
  <c r="K29" i="5" s="1"/>
  <c r="I182" i="9" s="1" a="1"/>
  <c r="I182" i="9" s="1"/>
  <c r="AN182" i="16" s="1"/>
  <c r="F7" i="2"/>
  <c r="F29" i="2" s="1"/>
  <c r="F7" i="8"/>
  <c r="F7" i="7"/>
  <c r="F29" i="7" s="1"/>
  <c r="F29" i="8" s="1"/>
  <c r="F7" i="5"/>
  <c r="F29" i="5" s="1"/>
  <c r="I142" i="9" s="1" a="1"/>
  <c r="I142" i="9" s="1"/>
  <c r="AN142" i="16" s="1"/>
  <c r="F7" i="6"/>
  <c r="F29" i="6" s="1"/>
  <c r="L6" i="2"/>
  <c r="L28" i="2" s="1"/>
  <c r="L6" i="7"/>
  <c r="L28" i="7" s="1"/>
  <c r="L28" i="8" s="1"/>
  <c r="L6" i="8"/>
  <c r="L6" i="5"/>
  <c r="L28" i="5" s="1"/>
  <c r="I189" i="9" s="1" a="1"/>
  <c r="I189" i="9" s="1"/>
  <c r="AN189" i="16" s="1"/>
  <c r="L6" i="6"/>
  <c r="L28" i="6" s="1"/>
  <c r="G6" i="2"/>
  <c r="G28" i="2" s="1"/>
  <c r="G6" i="8"/>
  <c r="G6" i="7"/>
  <c r="G28" i="7" s="1"/>
  <c r="G28" i="8" s="1"/>
  <c r="G6" i="5"/>
  <c r="G28" i="5" s="1"/>
  <c r="I149" i="9" s="1" a="1"/>
  <c r="I149" i="9" s="1"/>
  <c r="AN149" i="16" s="1"/>
  <c r="G6" i="6"/>
  <c r="G28" i="6" s="1"/>
  <c r="C6" i="4"/>
  <c r="C28" i="4" s="1"/>
  <c r="G6" i="4"/>
  <c r="G28" i="4" s="1"/>
  <c r="I21" i="9" s="1" a="1"/>
  <c r="I21" i="9" s="1"/>
  <c r="AN21" i="16" s="1"/>
  <c r="O6" i="4"/>
  <c r="L13" i="2"/>
  <c r="L35" i="2" s="1"/>
  <c r="L13" i="8"/>
  <c r="L13" i="7"/>
  <c r="L35" i="7" s="1"/>
  <c r="L35" i="8" s="1"/>
  <c r="L13" i="6"/>
  <c r="L13" i="5"/>
  <c r="L35" i="5" s="1"/>
  <c r="I196" i="9" s="1" a="1"/>
  <c r="I196" i="9" s="1"/>
  <c r="AN196" i="16" s="1"/>
  <c r="L13" i="4"/>
  <c r="L35" i="4" s="1"/>
  <c r="G13" i="2"/>
  <c r="G35" i="2" s="1"/>
  <c r="G13" i="8"/>
  <c r="G13" i="7"/>
  <c r="G35" i="7" s="1"/>
  <c r="G35" i="8" s="1"/>
  <c r="G13" i="6"/>
  <c r="G35" i="6" s="1"/>
  <c r="G13" i="4"/>
  <c r="G35" i="4" s="1"/>
  <c r="G13" i="5"/>
  <c r="G35" i="5" s="1"/>
  <c r="I156" i="9" s="1" a="1"/>
  <c r="I156" i="9" s="1"/>
  <c r="AN156" i="16" s="1"/>
  <c r="N12" i="2"/>
  <c r="N34" i="2" s="1"/>
  <c r="N12" i="8"/>
  <c r="N12" i="7"/>
  <c r="N34" i="7" s="1"/>
  <c r="N34" i="8" s="1"/>
  <c r="N12" i="6"/>
  <c r="N34" i="6" s="1"/>
  <c r="N12" i="5"/>
  <c r="N34" i="5" s="1"/>
  <c r="I211" i="9" s="1" a="1"/>
  <c r="I211" i="9" s="1"/>
  <c r="AN211" i="16" s="1"/>
  <c r="N12" i="4"/>
  <c r="N34" i="4" s="1"/>
  <c r="H12" i="2"/>
  <c r="H34" i="2" s="1"/>
  <c r="H12" i="8"/>
  <c r="H12" i="7"/>
  <c r="H34" i="7" s="1"/>
  <c r="H34" i="8" s="1"/>
  <c r="H12" i="6"/>
  <c r="H34" i="6" s="1"/>
  <c r="H12" i="5"/>
  <c r="H34" i="5" s="1"/>
  <c r="I163" i="9" s="1" a="1"/>
  <c r="I163" i="9" s="1"/>
  <c r="AN163" i="16" s="1"/>
  <c r="H12" i="4"/>
  <c r="H34" i="4" s="1"/>
  <c r="O11" i="2"/>
  <c r="O33" i="2" s="1"/>
  <c r="P33" i="2" s="1"/>
  <c r="Q33" i="2" s="1"/>
  <c r="R33" i="2" s="1"/>
  <c r="S33" i="2" s="1"/>
  <c r="T33" i="2" s="1"/>
  <c r="O11" i="8"/>
  <c r="O11" i="7"/>
  <c r="O33" i="7" s="1"/>
  <c r="O33" i="8" s="1"/>
  <c r="O11" i="6"/>
  <c r="O11" i="4"/>
  <c r="O33" i="4" s="1"/>
  <c r="P33" i="4" s="1"/>
  <c r="Q33" i="4" s="1"/>
  <c r="R33" i="4" s="1"/>
  <c r="S33" i="4" s="1"/>
  <c r="T33" i="4" s="1"/>
  <c r="I130" i="9" s="1" a="1"/>
  <c r="I130" i="9" s="1"/>
  <c r="AN130" i="16" s="1"/>
  <c r="O11" i="5"/>
  <c r="O33" i="5" s="1"/>
  <c r="I218" i="9" s="1" a="1"/>
  <c r="I218" i="9" s="1"/>
  <c r="AN218" i="16" s="1"/>
  <c r="J11" i="2"/>
  <c r="J33" i="2" s="1"/>
  <c r="J11" i="8"/>
  <c r="J11" i="7"/>
  <c r="J33" i="7" s="1"/>
  <c r="J33" i="8" s="1"/>
  <c r="J11" i="6"/>
  <c r="J33" i="6" s="1"/>
  <c r="J11" i="5"/>
  <c r="J33" i="5" s="1"/>
  <c r="I178" i="9" s="1" a="1"/>
  <c r="I178" i="9" s="1"/>
  <c r="AN178" i="16" s="1"/>
  <c r="J11" i="4"/>
  <c r="J33" i="4" s="1"/>
  <c r="D11" i="2"/>
  <c r="D11" i="8"/>
  <c r="D33" i="8" s="1"/>
  <c r="D11" i="7"/>
  <c r="D33" i="7" s="1"/>
  <c r="D11" i="6"/>
  <c r="D33" i="6" s="1"/>
  <c r="D11" i="5"/>
  <c r="D33" i="5" s="1"/>
  <c r="D11" i="4"/>
  <c r="D33" i="4" s="1"/>
  <c r="K10" i="2"/>
  <c r="K32" i="2" s="1"/>
  <c r="K10" i="8"/>
  <c r="K10" i="7"/>
  <c r="K32" i="7" s="1"/>
  <c r="K32" i="8" s="1"/>
  <c r="K10" i="6"/>
  <c r="K32" i="6" s="1"/>
  <c r="K10" i="5"/>
  <c r="K32" i="5" s="1"/>
  <c r="I185" i="9" s="1" a="1"/>
  <c r="I185" i="9" s="1"/>
  <c r="AN185" i="16" s="1"/>
  <c r="K10" i="4"/>
  <c r="K32" i="4" s="1"/>
  <c r="F10" i="2"/>
  <c r="F32" i="2" s="1"/>
  <c r="F10" i="8"/>
  <c r="F10" i="7"/>
  <c r="F32" i="7" s="1"/>
  <c r="F32" i="8" s="1"/>
  <c r="F10" i="6"/>
  <c r="F32" i="6" s="1"/>
  <c r="F10" i="5"/>
  <c r="F32" i="5" s="1"/>
  <c r="I145" i="9" s="1" a="1"/>
  <c r="I145" i="9" s="1"/>
  <c r="AN145" i="16" s="1"/>
  <c r="F10" i="4"/>
  <c r="F32" i="4" s="1"/>
  <c r="I17" i="9" s="1" a="1"/>
  <c r="I17" i="9" s="1"/>
  <c r="AN17" i="16" s="1"/>
  <c r="L9" i="2"/>
  <c r="L31" i="2" s="1"/>
  <c r="L9" i="8"/>
  <c r="L9" i="7"/>
  <c r="L31" i="7" s="1"/>
  <c r="L31" i="8" s="1"/>
  <c r="L9" i="5"/>
  <c r="L31" i="5" s="1"/>
  <c r="I192" i="9" s="1" a="1"/>
  <c r="I192" i="9" s="1"/>
  <c r="AN192" i="16" s="1"/>
  <c r="L9" i="6"/>
  <c r="L31" i="6" s="1"/>
  <c r="L9" i="4"/>
  <c r="L31" i="4" s="1"/>
  <c r="G9" i="2"/>
  <c r="G31" i="2" s="1"/>
  <c r="G9" i="8"/>
  <c r="G9" i="7"/>
  <c r="G31" i="7" s="1"/>
  <c r="G31" i="8" s="1"/>
  <c r="G9" i="6"/>
  <c r="G31" i="6" s="1"/>
  <c r="G9" i="4"/>
  <c r="G31" i="4" s="1"/>
  <c r="I24" i="9" s="1" a="1"/>
  <c r="I24" i="9" s="1"/>
  <c r="AN24" i="16" s="1"/>
  <c r="G9" i="5"/>
  <c r="G31" i="5" s="1"/>
  <c r="I152" i="9" s="1" a="1"/>
  <c r="I152" i="9" s="1"/>
  <c r="AN152" i="16" s="1"/>
  <c r="N8" i="2"/>
  <c r="N30" i="2" s="1"/>
  <c r="N8" i="8"/>
  <c r="N8" i="7"/>
  <c r="N30" i="7" s="1"/>
  <c r="N30" i="8" s="1"/>
  <c r="N8" i="5"/>
  <c r="N30" i="5" s="1"/>
  <c r="I207" i="9" s="1" a="1"/>
  <c r="I207" i="9" s="1"/>
  <c r="AN207" i="16" s="1"/>
  <c r="N8" i="6"/>
  <c r="N30" i="6" s="1"/>
  <c r="N8" i="4"/>
  <c r="N30" i="4" s="1"/>
  <c r="I79" i="9" s="1" a="1"/>
  <c r="I79" i="9" s="1"/>
  <c r="AN79" i="16" s="1"/>
  <c r="H8" i="2"/>
  <c r="H30" i="2" s="1"/>
  <c r="H8" i="8"/>
  <c r="H8" i="7"/>
  <c r="H30" i="7" s="1"/>
  <c r="H30" i="8" s="1"/>
  <c r="H8" i="5"/>
  <c r="H30" i="5" s="1"/>
  <c r="I159" i="9" s="1" a="1"/>
  <c r="I159" i="9" s="1"/>
  <c r="AN159" i="16" s="1"/>
  <c r="H8" i="6"/>
  <c r="H30" i="6" s="1"/>
  <c r="H8" i="4"/>
  <c r="H30" i="4" s="1"/>
  <c r="O7" i="2"/>
  <c r="O29" i="2" s="1"/>
  <c r="P29" i="2" s="1"/>
  <c r="Q29" i="2" s="1"/>
  <c r="R29" i="2" s="1"/>
  <c r="S29" i="2" s="1"/>
  <c r="T29" i="2" s="1"/>
  <c r="O7" i="8"/>
  <c r="O7" i="7"/>
  <c r="O29" i="7" s="1"/>
  <c r="O29" i="8" s="1"/>
  <c r="O7" i="6"/>
  <c r="O29" i="6" s="1"/>
  <c r="P29" i="6" s="1"/>
  <c r="Q29" i="6" s="1"/>
  <c r="R29" i="6" s="1"/>
  <c r="S29" i="6" s="1"/>
  <c r="T29" i="6" s="1"/>
  <c r="O7" i="4"/>
  <c r="O29" i="4" s="1"/>
  <c r="P29" i="4" s="1"/>
  <c r="Q29" i="4" s="1"/>
  <c r="R29" i="4" s="1"/>
  <c r="S29" i="4" s="1"/>
  <c r="T29" i="4" s="1"/>
  <c r="I126" i="9" s="1" a="1"/>
  <c r="I126" i="9" s="1"/>
  <c r="AN126" i="16" s="1"/>
  <c r="O7" i="5"/>
  <c r="O29" i="5" s="1"/>
  <c r="I214" i="9" s="1" a="1"/>
  <c r="I214" i="9" s="1"/>
  <c r="AN214" i="16" s="1"/>
  <c r="J7" i="2"/>
  <c r="J29" i="2" s="1"/>
  <c r="J7" i="8"/>
  <c r="J7" i="7"/>
  <c r="J29" i="7" s="1"/>
  <c r="J29" i="8" s="1"/>
  <c r="J7" i="5"/>
  <c r="J29" i="5" s="1"/>
  <c r="I174" i="9" s="1" a="1"/>
  <c r="I174" i="9" s="1"/>
  <c r="AN174" i="16" s="1"/>
  <c r="J7" i="6"/>
  <c r="J29" i="6" s="1"/>
  <c r="D7" i="2"/>
  <c r="D7" i="8"/>
  <c r="D29" i="8" s="1"/>
  <c r="D7" i="7"/>
  <c r="D29" i="7" s="1"/>
  <c r="D7" i="5"/>
  <c r="D29" i="5" s="1"/>
  <c r="D7" i="6"/>
  <c r="D29" i="6" s="1"/>
  <c r="K6" i="2"/>
  <c r="K28" i="2" s="1"/>
  <c r="K6" i="8"/>
  <c r="K6" i="7"/>
  <c r="K28" i="7" s="1"/>
  <c r="K28" i="8" s="1"/>
  <c r="K6" i="5"/>
  <c r="K28" i="5" s="1"/>
  <c r="I181" i="9" s="1" a="1"/>
  <c r="I181" i="9" s="1"/>
  <c r="AN181" i="16" s="1"/>
  <c r="K6" i="6"/>
  <c r="K28" i="6" s="1"/>
  <c r="F6" i="2"/>
  <c r="F28" i="2" s="1"/>
  <c r="F6" i="8"/>
  <c r="F6" i="7"/>
  <c r="F28" i="7" s="1"/>
  <c r="F28" i="8" s="1"/>
  <c r="F6" i="5"/>
  <c r="F28" i="5" s="1"/>
  <c r="I141" i="9" s="1" a="1"/>
  <c r="I141" i="9" s="1"/>
  <c r="AN141" i="16" s="1"/>
  <c r="F6" i="6"/>
  <c r="F28" i="6" s="1"/>
  <c r="E6" i="2"/>
  <c r="E28" i="2" s="1"/>
  <c r="E6" i="7"/>
  <c r="E28" i="7" s="1"/>
  <c r="E28" i="8" s="1"/>
  <c r="E6" i="8"/>
  <c r="E6" i="6"/>
  <c r="E28" i="6" s="1"/>
  <c r="E6" i="5"/>
  <c r="E28" i="5" s="1"/>
  <c r="I133" i="9" s="1" a="1"/>
  <c r="I133" i="9" s="1"/>
  <c r="AN133" i="16" s="1"/>
  <c r="D6" i="4"/>
  <c r="D28" i="4" s="1"/>
  <c r="H6" i="4"/>
  <c r="H28" i="4" s="1"/>
  <c r="L6" i="4"/>
  <c r="L28" i="4" s="1"/>
  <c r="F7" i="4"/>
  <c r="F29" i="4" s="1"/>
  <c r="I14" i="9" s="1" a="1"/>
  <c r="I14" i="9" s="1"/>
  <c r="AN14" i="16" s="1"/>
  <c r="K7" i="4"/>
  <c r="K29" i="4" s="1"/>
  <c r="H28" i="6"/>
  <c r="F30" i="6"/>
  <c r="O33" i="6"/>
  <c r="P33" i="6" s="1"/>
  <c r="Q33" i="6" s="1"/>
  <c r="R33" i="6" s="1"/>
  <c r="S33" i="6" s="1"/>
  <c r="T33" i="6" s="1"/>
  <c r="E81" i="9"/>
  <c r="L80" i="9"/>
  <c r="L28" i="9"/>
  <c r="B26" i="7"/>
  <c r="L24" i="6"/>
  <c r="B26" i="6"/>
  <c r="I24" i="6"/>
  <c r="B26" i="4"/>
  <c r="P17" i="1"/>
  <c r="P17" i="11" s="1"/>
  <c r="P21" i="1"/>
  <c r="P21" i="11" s="1"/>
  <c r="P24" i="1"/>
  <c r="P24" i="11" s="1"/>
  <c r="P20" i="1"/>
  <c r="P20" i="11" s="1"/>
  <c r="P23" i="1"/>
  <c r="P23" i="11" s="1"/>
  <c r="P19" i="1"/>
  <c r="P19" i="11" s="1"/>
  <c r="P22" i="1"/>
  <c r="P22" i="11" s="1"/>
  <c r="P18" i="1"/>
  <c r="P18" i="11" s="1"/>
  <c r="C23" i="1"/>
  <c r="C35" i="1" s="1"/>
  <c r="C12" i="11" s="1"/>
  <c r="C34" i="11" s="1"/>
  <c r="C19" i="1"/>
  <c r="C31" i="1" s="1"/>
  <c r="C8" i="11" s="1"/>
  <c r="C30" i="11" s="1"/>
  <c r="M24" i="1"/>
  <c r="M36" i="1" s="1"/>
  <c r="M13" i="11" s="1"/>
  <c r="M35" i="11" s="1"/>
  <c r="I24" i="1"/>
  <c r="I36" i="1" s="1"/>
  <c r="I13" i="11" s="1"/>
  <c r="I35" i="11" s="1"/>
  <c r="E24" i="1"/>
  <c r="E36" i="1" s="1"/>
  <c r="E13" i="11" s="1"/>
  <c r="E35" i="11" s="1"/>
  <c r="M23" i="1"/>
  <c r="M35" i="1" s="1"/>
  <c r="M12" i="11" s="1"/>
  <c r="M34" i="11" s="1"/>
  <c r="M23" i="12" s="1"/>
  <c r="M34" i="12" s="1"/>
  <c r="M12" i="13" s="1"/>
  <c r="M34" i="13" s="1"/>
  <c r="I23" i="1"/>
  <c r="I35" i="1" s="1"/>
  <c r="I12" i="11" s="1"/>
  <c r="I34" i="11" s="1"/>
  <c r="I23" i="12" s="1"/>
  <c r="I34" i="12" s="1"/>
  <c r="I12" i="13" s="1"/>
  <c r="I34" i="13" s="1"/>
  <c r="E23" i="1"/>
  <c r="E35" i="1" s="1"/>
  <c r="E12" i="11" s="1"/>
  <c r="E34" i="11" s="1"/>
  <c r="E23" i="12" s="1"/>
  <c r="E34" i="12" s="1"/>
  <c r="E12" i="13" s="1"/>
  <c r="E34" i="13" s="1"/>
  <c r="M22" i="1"/>
  <c r="M34" i="1" s="1"/>
  <c r="M11" i="11" s="1"/>
  <c r="M33" i="11" s="1"/>
  <c r="M22" i="12" s="1"/>
  <c r="M33" i="12" s="1"/>
  <c r="M11" i="13" s="1"/>
  <c r="M33" i="13" s="1"/>
  <c r="I22" i="1"/>
  <c r="I34" i="1" s="1"/>
  <c r="I11" i="11" s="1"/>
  <c r="I33" i="11" s="1"/>
  <c r="I22" i="12" s="1"/>
  <c r="I33" i="12" s="1"/>
  <c r="I11" i="13" s="1"/>
  <c r="I33" i="13" s="1"/>
  <c r="E22" i="1"/>
  <c r="E34" i="1" s="1"/>
  <c r="E11" i="11" s="1"/>
  <c r="E33" i="11" s="1"/>
  <c r="E22" i="12" s="1"/>
  <c r="E33" i="12" s="1"/>
  <c r="E11" i="13" s="1"/>
  <c r="E33" i="13" s="1"/>
  <c r="M21" i="1"/>
  <c r="M33" i="1" s="1"/>
  <c r="M10" i="11" s="1"/>
  <c r="M32" i="11" s="1"/>
  <c r="M21" i="12" s="1"/>
  <c r="M32" i="12" s="1"/>
  <c r="M10" i="13" s="1"/>
  <c r="M32" i="13" s="1"/>
  <c r="I21" i="1"/>
  <c r="I33" i="1" s="1"/>
  <c r="I10" i="11" s="1"/>
  <c r="I32" i="11" s="1"/>
  <c r="I21" i="12" s="1"/>
  <c r="I32" i="12" s="1"/>
  <c r="I10" i="13" s="1"/>
  <c r="I32" i="13" s="1"/>
  <c r="E21" i="1"/>
  <c r="E33" i="1" s="1"/>
  <c r="E10" i="11" s="1"/>
  <c r="E32" i="11" s="1"/>
  <c r="E21" i="12" s="1"/>
  <c r="E32" i="12" s="1"/>
  <c r="E10" i="13" s="1"/>
  <c r="E32" i="13" s="1"/>
  <c r="M20" i="1"/>
  <c r="M32" i="1" s="1"/>
  <c r="M9" i="11" s="1"/>
  <c r="M31" i="11" s="1"/>
  <c r="M20" i="12" s="1"/>
  <c r="M31" i="12" s="1"/>
  <c r="M9" i="13" s="1"/>
  <c r="M31" i="13" s="1"/>
  <c r="I20" i="1"/>
  <c r="I32" i="1" s="1"/>
  <c r="I9" i="11" s="1"/>
  <c r="I31" i="11" s="1"/>
  <c r="I20" i="12" s="1"/>
  <c r="I31" i="12" s="1"/>
  <c r="I9" i="13" s="1"/>
  <c r="I31" i="13" s="1"/>
  <c r="E20" i="1"/>
  <c r="E32" i="1" s="1"/>
  <c r="E9" i="11" s="1"/>
  <c r="E31" i="11" s="1"/>
  <c r="E20" i="12" s="1"/>
  <c r="E31" i="12" s="1"/>
  <c r="E9" i="13" s="1"/>
  <c r="E31" i="13" s="1"/>
  <c r="M19" i="1"/>
  <c r="M31" i="1" s="1"/>
  <c r="M8" i="11" s="1"/>
  <c r="M30" i="11" s="1"/>
  <c r="M19" i="12" s="1"/>
  <c r="M30" i="12" s="1"/>
  <c r="M8" i="13" s="1"/>
  <c r="M30" i="13" s="1"/>
  <c r="I19" i="1"/>
  <c r="I31" i="1" s="1"/>
  <c r="I8" i="11" s="1"/>
  <c r="I30" i="11" s="1"/>
  <c r="I19" i="12" s="1"/>
  <c r="I30" i="12" s="1"/>
  <c r="I8" i="13" s="1"/>
  <c r="I30" i="13" s="1"/>
  <c r="E19" i="1"/>
  <c r="E31" i="1" s="1"/>
  <c r="E8" i="11" s="1"/>
  <c r="E30" i="11" s="1"/>
  <c r="E19" i="12" s="1"/>
  <c r="E30" i="12" s="1"/>
  <c r="E8" i="13" s="1"/>
  <c r="E30" i="13" s="1"/>
  <c r="M18" i="1"/>
  <c r="M30" i="1" s="1"/>
  <c r="M7" i="11" s="1"/>
  <c r="M29" i="11" s="1"/>
  <c r="M18" i="12" s="1"/>
  <c r="M29" i="12" s="1"/>
  <c r="M7" i="13" s="1"/>
  <c r="M29" i="13" s="1"/>
  <c r="I18" i="1"/>
  <c r="I30" i="1" s="1"/>
  <c r="I7" i="11" s="1"/>
  <c r="I29" i="11" s="1"/>
  <c r="I18" i="12" s="1"/>
  <c r="I29" i="12" s="1"/>
  <c r="I7" i="13" s="1"/>
  <c r="I29" i="13" s="1"/>
  <c r="E18" i="1"/>
  <c r="E30" i="1" s="1"/>
  <c r="E7" i="11" s="1"/>
  <c r="E29" i="11" s="1"/>
  <c r="E18" i="12" s="1"/>
  <c r="E29" i="12" s="1"/>
  <c r="E7" i="13" s="1"/>
  <c r="E29" i="13" s="1"/>
  <c r="M17" i="1"/>
  <c r="M29" i="1" s="1"/>
  <c r="M6" i="11" s="1"/>
  <c r="M28" i="11" s="1"/>
  <c r="M17" i="12" s="1"/>
  <c r="M28" i="12" s="1"/>
  <c r="I17" i="1"/>
  <c r="I29" i="1" s="1"/>
  <c r="I6" i="11" s="1"/>
  <c r="I28" i="11" s="1"/>
  <c r="I17" i="12" s="1"/>
  <c r="I28" i="12" s="1"/>
  <c r="I13" i="16" l="1"/>
  <c r="J13" i="16" s="1"/>
  <c r="P13" i="16" s="1"/>
  <c r="I5" i="16"/>
  <c r="J5" i="16" s="1"/>
  <c r="P5" i="16" s="1"/>
  <c r="I21" i="16"/>
  <c r="J21" i="16" s="1"/>
  <c r="P21" i="16" s="1"/>
  <c r="I141" i="16"/>
  <c r="J141" i="16" s="1"/>
  <c r="P141" i="16" s="1"/>
  <c r="I149" i="16"/>
  <c r="J149" i="16" s="1"/>
  <c r="P149" i="16" s="1"/>
  <c r="I157" i="16"/>
  <c r="J157" i="16" s="1"/>
  <c r="P157" i="16" s="1"/>
  <c r="I133" i="16"/>
  <c r="J133" i="16" s="1"/>
  <c r="P133" i="16" s="1"/>
  <c r="J35" i="12"/>
  <c r="L35" i="6"/>
  <c r="Q28" i="11"/>
  <c r="R28" i="11" s="1"/>
  <c r="M6" i="13"/>
  <c r="M28" i="13" s="1"/>
  <c r="M35" i="12"/>
  <c r="G7" i="9" a="1"/>
  <c r="G7" i="9" s="1"/>
  <c r="AL7" i="16" s="1"/>
  <c r="G135" i="9" a="1"/>
  <c r="G135" i="9" s="1"/>
  <c r="AL135" i="16" s="1"/>
  <c r="G40" i="9" a="1"/>
  <c r="G40" i="9" s="1"/>
  <c r="AL40" i="16" s="1"/>
  <c r="G168" i="9" a="1"/>
  <c r="G168" i="9" s="1"/>
  <c r="AL168" i="16" s="1"/>
  <c r="G73" i="9" a="1"/>
  <c r="G73" i="9" s="1"/>
  <c r="AL73" i="16" s="1"/>
  <c r="G201" i="9" a="1"/>
  <c r="G201" i="9" s="1"/>
  <c r="AL201" i="16" s="1"/>
  <c r="G139" i="9" a="1"/>
  <c r="G139" i="9" s="1"/>
  <c r="AL139" i="16" s="1"/>
  <c r="G11" i="9" a="1"/>
  <c r="G11" i="9" s="1"/>
  <c r="AL11" i="16" s="1"/>
  <c r="E35" i="12"/>
  <c r="E6" i="13"/>
  <c r="E28" i="13" s="1"/>
  <c r="P6" i="13"/>
  <c r="P28" i="13" s="1"/>
  <c r="G149" i="9" a="1"/>
  <c r="G149" i="9" s="1"/>
  <c r="AL149" i="16" s="1"/>
  <c r="G21" i="9" a="1"/>
  <c r="G21" i="9" s="1"/>
  <c r="AL21" i="16" s="1"/>
  <c r="G35" i="13"/>
  <c r="G157" i="9" a="1"/>
  <c r="G157" i="9" s="1"/>
  <c r="AL157" i="16" s="1"/>
  <c r="G29" i="9" a="1"/>
  <c r="G29" i="9" s="1"/>
  <c r="AL29" i="16" s="1"/>
  <c r="H35" i="13"/>
  <c r="G22" i="9" a="1"/>
  <c r="G22" i="9" s="1"/>
  <c r="AL22" i="16" s="1"/>
  <c r="G150" i="9" a="1"/>
  <c r="G150" i="9" s="1"/>
  <c r="AL150" i="16" s="1"/>
  <c r="G6" i="9" a="1"/>
  <c r="G6" i="9" s="1"/>
  <c r="AL6" i="16" s="1"/>
  <c r="G134" i="9" a="1"/>
  <c r="G134" i="9" s="1"/>
  <c r="AL134" i="16" s="1"/>
  <c r="G167" i="9" a="1"/>
  <c r="G167" i="9" s="1"/>
  <c r="AL167" i="16" s="1"/>
  <c r="G39" i="9" a="1"/>
  <c r="G39" i="9" s="1"/>
  <c r="AL39" i="16" s="1"/>
  <c r="G200" i="9" a="1"/>
  <c r="G200" i="9" s="1"/>
  <c r="AL200" i="16" s="1"/>
  <c r="G72" i="9" a="1"/>
  <c r="G72" i="9" s="1"/>
  <c r="AL72" i="16" s="1"/>
  <c r="G10" i="9" a="1"/>
  <c r="G10" i="9" s="1"/>
  <c r="AL10" i="16" s="1"/>
  <c r="G138" i="9" a="1"/>
  <c r="G138" i="9" s="1"/>
  <c r="AL138" i="16" s="1"/>
  <c r="G171" i="9" a="1"/>
  <c r="G171" i="9" s="1"/>
  <c r="AL171" i="16" s="1"/>
  <c r="G43" i="9" a="1"/>
  <c r="G43" i="9" s="1"/>
  <c r="AL43" i="16" s="1"/>
  <c r="G85" i="9" a="1"/>
  <c r="G85" i="9" s="1"/>
  <c r="AL85" i="16" s="1"/>
  <c r="G213" i="9" a="1"/>
  <c r="G213" i="9" s="1"/>
  <c r="AL213" i="16" s="1"/>
  <c r="G78" i="9" a="1"/>
  <c r="G78" i="9" s="1"/>
  <c r="AL78" i="16" s="1"/>
  <c r="G206" i="9" a="1"/>
  <c r="G206" i="9" s="1"/>
  <c r="AL206" i="16" s="1"/>
  <c r="G217" i="9" a="1"/>
  <c r="G217" i="9" s="1"/>
  <c r="AL217" i="16" s="1"/>
  <c r="G89" i="9" a="1"/>
  <c r="G89" i="9" s="1"/>
  <c r="AL89" i="16" s="1"/>
  <c r="F6" i="13"/>
  <c r="F28" i="13" s="1"/>
  <c r="F35" i="12"/>
  <c r="G214" i="9" a="1"/>
  <c r="G214" i="9" s="1"/>
  <c r="AL214" i="16" s="1"/>
  <c r="G86" i="9" a="1"/>
  <c r="G86" i="9" s="1"/>
  <c r="AL86" i="16" s="1"/>
  <c r="G218" i="9" a="1"/>
  <c r="G218" i="9" s="1"/>
  <c r="AL218" i="16" s="1"/>
  <c r="G90" i="9" a="1"/>
  <c r="G90" i="9" s="1"/>
  <c r="AL90" i="16" s="1"/>
  <c r="L35" i="13"/>
  <c r="G61" i="9" a="1"/>
  <c r="G61" i="9" s="1"/>
  <c r="AL61" i="16" s="1"/>
  <c r="G189" i="9" a="1"/>
  <c r="G189" i="9" s="1"/>
  <c r="AL189" i="16" s="1"/>
  <c r="O35" i="12"/>
  <c r="O8" i="13"/>
  <c r="O30" i="13" s="1"/>
  <c r="O35" i="13" s="1"/>
  <c r="G91" i="9" a="1"/>
  <c r="G91" i="9" s="1"/>
  <c r="AL91" i="16" s="1"/>
  <c r="G219" i="9" a="1"/>
  <c r="G219" i="9" s="1"/>
  <c r="AL219" i="16" s="1"/>
  <c r="G84" i="9" a="1"/>
  <c r="G84" i="9" s="1"/>
  <c r="AL84" i="16" s="1"/>
  <c r="G212" i="9" a="1"/>
  <c r="G212" i="9" s="1"/>
  <c r="AL212" i="16" s="1"/>
  <c r="G38" i="9" a="1"/>
  <c r="G38" i="9" s="1"/>
  <c r="AL38" i="16" s="1"/>
  <c r="G166" i="9" a="1"/>
  <c r="G166" i="9" s="1"/>
  <c r="AL166" i="16" s="1"/>
  <c r="G199" i="9" a="1"/>
  <c r="G199" i="9" s="1"/>
  <c r="AL199" i="16" s="1"/>
  <c r="G71" i="9" a="1"/>
  <c r="G71" i="9" s="1"/>
  <c r="AL71" i="16" s="1"/>
  <c r="G137" i="9" a="1"/>
  <c r="G137" i="9" s="1"/>
  <c r="AL137" i="16" s="1"/>
  <c r="G9" i="9" a="1"/>
  <c r="G9" i="9" s="1"/>
  <c r="AL9" i="16" s="1"/>
  <c r="G42" i="9" a="1"/>
  <c r="G42" i="9" s="1"/>
  <c r="AL42" i="16" s="1"/>
  <c r="G170" i="9" a="1"/>
  <c r="G170" i="9" s="1"/>
  <c r="AL170" i="16" s="1"/>
  <c r="G75" i="9" a="1"/>
  <c r="G75" i="9" s="1"/>
  <c r="AL75" i="16" s="1"/>
  <c r="G203" i="9" a="1"/>
  <c r="G203" i="9" s="1"/>
  <c r="AL203" i="16" s="1"/>
  <c r="Q32" i="11"/>
  <c r="P21" i="12"/>
  <c r="P32" i="12" s="1"/>
  <c r="P10" i="13" s="1"/>
  <c r="P32" i="13" s="1"/>
  <c r="Q29" i="11"/>
  <c r="P18" i="12"/>
  <c r="P29" i="12" s="1"/>
  <c r="P7" i="13" s="1"/>
  <c r="P29" i="13" s="1"/>
  <c r="Q33" i="11"/>
  <c r="P22" i="12"/>
  <c r="P33" i="12" s="1"/>
  <c r="P11" i="13" s="1"/>
  <c r="P33" i="13" s="1"/>
  <c r="Q30" i="11"/>
  <c r="P19" i="12"/>
  <c r="P30" i="12" s="1"/>
  <c r="P8" i="13" s="1"/>
  <c r="P30" i="13" s="1"/>
  <c r="Q34" i="11"/>
  <c r="P23" i="12"/>
  <c r="P34" i="12" s="1"/>
  <c r="P12" i="13" s="1"/>
  <c r="P34" i="13" s="1"/>
  <c r="G88" i="9" a="1"/>
  <c r="G88" i="9" s="1"/>
  <c r="AL88" i="16" s="1"/>
  <c r="G216" i="9" a="1"/>
  <c r="G216" i="9" s="1"/>
  <c r="AL216" i="16" s="1"/>
  <c r="I35" i="12"/>
  <c r="I6" i="13"/>
  <c r="I28" i="13" s="1"/>
  <c r="G198" i="9" a="1"/>
  <c r="G198" i="9" s="1"/>
  <c r="AL198" i="16" s="1"/>
  <c r="G70" i="9" a="1"/>
  <c r="G70" i="9" s="1"/>
  <c r="AL70" i="16" s="1"/>
  <c r="G136" i="9" a="1"/>
  <c r="G136" i="9" s="1"/>
  <c r="AL136" i="16" s="1"/>
  <c r="G8" i="9" a="1"/>
  <c r="G8" i="9" s="1"/>
  <c r="AL8" i="16" s="1"/>
  <c r="G41" i="9" a="1"/>
  <c r="G41" i="9" s="1"/>
  <c r="AL41" i="16" s="1"/>
  <c r="G169" i="9" a="1"/>
  <c r="G169" i="9" s="1"/>
  <c r="AL169" i="16" s="1"/>
  <c r="G202" i="9" a="1"/>
  <c r="G202" i="9" s="1"/>
  <c r="AL202" i="16" s="1"/>
  <c r="G74" i="9" a="1"/>
  <c r="G74" i="9" s="1"/>
  <c r="AL74" i="16" s="1"/>
  <c r="G45" i="9" a="1"/>
  <c r="G45" i="9" s="1"/>
  <c r="AL45" i="16" s="1"/>
  <c r="G173" i="9" a="1"/>
  <c r="G173" i="9" s="1"/>
  <c r="AL173" i="16" s="1"/>
  <c r="J35" i="13"/>
  <c r="K6" i="13"/>
  <c r="K28" i="13" s="1"/>
  <c r="K35" i="12"/>
  <c r="G174" i="9" a="1"/>
  <c r="G174" i="9" s="1"/>
  <c r="AL174" i="16" s="1"/>
  <c r="G46" i="9" a="1"/>
  <c r="G46" i="9" s="1"/>
  <c r="AL46" i="16" s="1"/>
  <c r="Q31" i="11"/>
  <c r="P20" i="12"/>
  <c r="P31" i="12" s="1"/>
  <c r="P9" i="13" s="1"/>
  <c r="P31" i="13" s="1"/>
  <c r="P19" i="4"/>
  <c r="P24" i="5"/>
  <c r="P19" i="7"/>
  <c r="P19" i="8" s="1"/>
  <c r="I80" i="9" a="1"/>
  <c r="I80" i="9" s="1"/>
  <c r="AN80" i="16" s="1"/>
  <c r="P23" i="5"/>
  <c r="P23" i="6"/>
  <c r="P19" i="6"/>
  <c r="P23" i="7"/>
  <c r="P23" i="8" s="1"/>
  <c r="M6" i="2"/>
  <c r="M28" i="2" s="1"/>
  <c r="M6" i="7"/>
  <c r="M28" i="7" s="1"/>
  <c r="M28" i="8" s="1"/>
  <c r="M6" i="8"/>
  <c r="M6" i="6"/>
  <c r="M28" i="6" s="1"/>
  <c r="M6" i="5"/>
  <c r="M28" i="5" s="1"/>
  <c r="I197" i="9" s="1" a="1"/>
  <c r="I197" i="9" s="1"/>
  <c r="AN197" i="16" s="1"/>
  <c r="M6" i="4"/>
  <c r="M28" i="4" s="1"/>
  <c r="I69" i="9" s="1" a="1"/>
  <c r="I69" i="9" s="1"/>
  <c r="AN69" i="16" s="1"/>
  <c r="E8" i="2"/>
  <c r="E30" i="2" s="1"/>
  <c r="E8" i="8"/>
  <c r="E8" i="7"/>
  <c r="E30" i="7" s="1"/>
  <c r="E30" i="8" s="1"/>
  <c r="E8" i="6"/>
  <c r="E30" i="6" s="1"/>
  <c r="E8" i="4"/>
  <c r="E30" i="4" s="1"/>
  <c r="I7" i="9" s="1" a="1"/>
  <c r="I7" i="9" s="1"/>
  <c r="AN7" i="16" s="1"/>
  <c r="E8" i="5"/>
  <c r="E30" i="5" s="1"/>
  <c r="I135" i="9" s="1" a="1"/>
  <c r="I135" i="9" s="1"/>
  <c r="AN135" i="16" s="1"/>
  <c r="I9" i="2"/>
  <c r="I31" i="2" s="1"/>
  <c r="I9" i="8"/>
  <c r="I9" i="7"/>
  <c r="I31" i="7" s="1"/>
  <c r="I31" i="8" s="1"/>
  <c r="I9" i="5"/>
  <c r="I31" i="5" s="1"/>
  <c r="I168" i="9" s="1" a="1"/>
  <c r="I168" i="9" s="1"/>
  <c r="AN168" i="16" s="1"/>
  <c r="I9" i="6"/>
  <c r="I31" i="6" s="1"/>
  <c r="I9" i="4"/>
  <c r="I31" i="4" s="1"/>
  <c r="M10" i="2"/>
  <c r="M32" i="2" s="1"/>
  <c r="M10" i="8"/>
  <c r="M10" i="7"/>
  <c r="M32" i="7" s="1"/>
  <c r="M32" i="8" s="1"/>
  <c r="M10" i="6"/>
  <c r="M32" i="6" s="1"/>
  <c r="M10" i="4"/>
  <c r="M32" i="4" s="1"/>
  <c r="I73" i="9" s="1" a="1"/>
  <c r="I73" i="9" s="1"/>
  <c r="AN73" i="16" s="1"/>
  <c r="M10" i="5"/>
  <c r="M32" i="5" s="1"/>
  <c r="I201" i="9" s="1" a="1"/>
  <c r="I201" i="9" s="1"/>
  <c r="AN201" i="16" s="1"/>
  <c r="E12" i="2"/>
  <c r="E34" i="2" s="1"/>
  <c r="E12" i="8"/>
  <c r="E12" i="7"/>
  <c r="E34" i="7" s="1"/>
  <c r="E34" i="8" s="1"/>
  <c r="E12" i="6"/>
  <c r="E34" i="6" s="1"/>
  <c r="E12" i="4"/>
  <c r="E34" i="4" s="1"/>
  <c r="I11" i="9" s="1" a="1"/>
  <c r="I11" i="9" s="1"/>
  <c r="AN11" i="16" s="1"/>
  <c r="E12" i="5"/>
  <c r="E34" i="5" s="1"/>
  <c r="I139" i="9" s="1" a="1"/>
  <c r="I139" i="9" s="1"/>
  <c r="AN139" i="16" s="1"/>
  <c r="I13" i="2"/>
  <c r="I35" i="2" s="1"/>
  <c r="I13" i="8"/>
  <c r="I13" i="7"/>
  <c r="I35" i="7" s="1"/>
  <c r="I35" i="8" s="1"/>
  <c r="I13" i="6"/>
  <c r="I35" i="6" s="1"/>
  <c r="I13" i="5"/>
  <c r="I35" i="5" s="1"/>
  <c r="I172" i="9" s="1" a="1"/>
  <c r="I172" i="9" s="1"/>
  <c r="AN172" i="16" s="1"/>
  <c r="I13" i="4"/>
  <c r="I35" i="4" s="1"/>
  <c r="P18" i="4"/>
  <c r="P20" i="5"/>
  <c r="E7" i="2"/>
  <c r="E29" i="2" s="1"/>
  <c r="E7" i="8"/>
  <c r="E7" i="7"/>
  <c r="E29" i="7" s="1"/>
  <c r="E29" i="8" s="1"/>
  <c r="E7" i="5"/>
  <c r="E29" i="5" s="1"/>
  <c r="I134" i="9" s="1" a="1"/>
  <c r="I134" i="9" s="1"/>
  <c r="AN134" i="16" s="1"/>
  <c r="E7" i="6"/>
  <c r="E29" i="6" s="1"/>
  <c r="E7" i="4"/>
  <c r="E29" i="4" s="1"/>
  <c r="I6" i="9" s="1" a="1"/>
  <c r="I6" i="9" s="1"/>
  <c r="AN6" i="16" s="1"/>
  <c r="I8" i="2"/>
  <c r="I30" i="2" s="1"/>
  <c r="I8" i="8"/>
  <c r="I8" i="7"/>
  <c r="I30" i="7" s="1"/>
  <c r="I30" i="8" s="1"/>
  <c r="I8" i="6"/>
  <c r="I30" i="6" s="1"/>
  <c r="I8" i="4"/>
  <c r="I30" i="4" s="1"/>
  <c r="I8" i="5"/>
  <c r="I30" i="5" s="1"/>
  <c r="I167" i="9" s="1" a="1"/>
  <c r="I167" i="9" s="1"/>
  <c r="AN167" i="16" s="1"/>
  <c r="M9" i="2"/>
  <c r="M31" i="2" s="1"/>
  <c r="M9" i="8"/>
  <c r="M9" i="7"/>
  <c r="M31" i="7" s="1"/>
  <c r="M31" i="8" s="1"/>
  <c r="M9" i="5"/>
  <c r="M31" i="5" s="1"/>
  <c r="I200" i="9" s="1" a="1"/>
  <c r="I200" i="9" s="1"/>
  <c r="AN200" i="16" s="1"/>
  <c r="M9" i="6"/>
  <c r="M31" i="6" s="1"/>
  <c r="M9" i="4"/>
  <c r="M31" i="4" s="1"/>
  <c r="I72" i="9" s="1" a="1"/>
  <c r="I72" i="9" s="1"/>
  <c r="AN72" i="16" s="1"/>
  <c r="E11" i="2"/>
  <c r="E33" i="2" s="1"/>
  <c r="E11" i="8"/>
  <c r="E11" i="7"/>
  <c r="E33" i="7" s="1"/>
  <c r="E33" i="8" s="1"/>
  <c r="E11" i="6"/>
  <c r="E33" i="6" s="1"/>
  <c r="E11" i="5"/>
  <c r="E33" i="5" s="1"/>
  <c r="I138" i="9" s="1" a="1"/>
  <c r="I138" i="9" s="1"/>
  <c r="AN138" i="16" s="1"/>
  <c r="E11" i="4"/>
  <c r="E33" i="4" s="1"/>
  <c r="I10" i="9" s="1" a="1"/>
  <c r="I10" i="9" s="1"/>
  <c r="AN10" i="16" s="1"/>
  <c r="I12" i="2"/>
  <c r="I34" i="2" s="1"/>
  <c r="I12" i="8"/>
  <c r="I12" i="7"/>
  <c r="I34" i="7" s="1"/>
  <c r="I34" i="8" s="1"/>
  <c r="I12" i="6"/>
  <c r="I34" i="6" s="1"/>
  <c r="I12" i="4"/>
  <c r="I34" i="4" s="1"/>
  <c r="I12" i="5"/>
  <c r="I34" i="5" s="1"/>
  <c r="I171" i="9" s="1" a="1"/>
  <c r="I171" i="9" s="1"/>
  <c r="AN171" i="16" s="1"/>
  <c r="M13" i="2"/>
  <c r="M35" i="2" s="1"/>
  <c r="M13" i="8"/>
  <c r="M13" i="7"/>
  <c r="M35" i="7" s="1"/>
  <c r="M35" i="8" s="1"/>
  <c r="M13" i="6"/>
  <c r="M35" i="6" s="1"/>
  <c r="M13" i="5"/>
  <c r="M35" i="5" s="1"/>
  <c r="I204" i="9" s="1" a="1"/>
  <c r="I204" i="9" s="1"/>
  <c r="AN204" i="16" s="1"/>
  <c r="M13" i="4"/>
  <c r="M35" i="4" s="1"/>
  <c r="I76" i="9" s="1" a="1"/>
  <c r="I76" i="9" s="1"/>
  <c r="AN76" i="16" s="1"/>
  <c r="P19" i="5"/>
  <c r="P22" i="6"/>
  <c r="P18" i="6"/>
  <c r="P24" i="7"/>
  <c r="P20" i="7"/>
  <c r="I7" i="2"/>
  <c r="I29" i="2" s="1"/>
  <c r="I7" i="8"/>
  <c r="I7" i="7"/>
  <c r="I29" i="7" s="1"/>
  <c r="I29" i="8" s="1"/>
  <c r="I7" i="5"/>
  <c r="I29" i="5" s="1"/>
  <c r="I166" i="9" s="1" a="1"/>
  <c r="I166" i="9" s="1"/>
  <c r="AN166" i="16" s="1"/>
  <c r="I7" i="6"/>
  <c r="I29" i="6" s="1"/>
  <c r="I7" i="4"/>
  <c r="I29" i="4" s="1"/>
  <c r="M8" i="2"/>
  <c r="M30" i="2" s="1"/>
  <c r="M8" i="8"/>
  <c r="M8" i="7"/>
  <c r="M30" i="7" s="1"/>
  <c r="M30" i="8" s="1"/>
  <c r="M8" i="6"/>
  <c r="M30" i="6" s="1"/>
  <c r="M8" i="4"/>
  <c r="M30" i="4" s="1"/>
  <c r="I71" i="9" s="1" a="1"/>
  <c r="I71" i="9" s="1"/>
  <c r="AN71" i="16" s="1"/>
  <c r="M8" i="5"/>
  <c r="M30" i="5" s="1"/>
  <c r="I199" i="9" s="1" a="1"/>
  <c r="I199" i="9" s="1"/>
  <c r="AN199" i="16" s="1"/>
  <c r="E10" i="2"/>
  <c r="E32" i="2" s="1"/>
  <c r="E10" i="8"/>
  <c r="E10" i="7"/>
  <c r="E32" i="7" s="1"/>
  <c r="E32" i="8" s="1"/>
  <c r="E10" i="6"/>
  <c r="E32" i="6" s="1"/>
  <c r="E10" i="4"/>
  <c r="E32" i="4" s="1"/>
  <c r="I9" i="9" s="1" a="1"/>
  <c r="I9" i="9" s="1"/>
  <c r="AN9" i="16" s="1"/>
  <c r="E10" i="5"/>
  <c r="E32" i="5" s="1"/>
  <c r="I137" i="9" s="1" a="1"/>
  <c r="I137" i="9" s="1"/>
  <c r="AN137" i="16" s="1"/>
  <c r="I11" i="2"/>
  <c r="I33" i="2" s="1"/>
  <c r="I11" i="8"/>
  <c r="I11" i="7"/>
  <c r="I33" i="7" s="1"/>
  <c r="I33" i="8" s="1"/>
  <c r="I11" i="6"/>
  <c r="I33" i="6" s="1"/>
  <c r="I11" i="5"/>
  <c r="I33" i="5" s="1"/>
  <c r="I170" i="9" s="1" a="1"/>
  <c r="I170" i="9" s="1"/>
  <c r="AN170" i="16" s="1"/>
  <c r="I11" i="4"/>
  <c r="I33" i="4" s="1"/>
  <c r="M12" i="2"/>
  <c r="M34" i="2" s="1"/>
  <c r="M12" i="8"/>
  <c r="M12" i="7"/>
  <c r="M34" i="7" s="1"/>
  <c r="M34" i="8" s="1"/>
  <c r="M12" i="6"/>
  <c r="M34" i="6" s="1"/>
  <c r="M12" i="4"/>
  <c r="M34" i="4" s="1"/>
  <c r="I75" i="9" s="1" a="1"/>
  <c r="I75" i="9" s="1"/>
  <c r="AN75" i="16" s="1"/>
  <c r="M12" i="5"/>
  <c r="M34" i="5" s="1"/>
  <c r="I203" i="9" s="1" a="1"/>
  <c r="I203" i="9" s="1"/>
  <c r="AN203" i="16" s="1"/>
  <c r="C8" i="2"/>
  <c r="C30" i="2" s="1"/>
  <c r="C8" i="8"/>
  <c r="C30" i="8" s="1"/>
  <c r="C8" i="7"/>
  <c r="C30" i="7" s="1"/>
  <c r="C8" i="5"/>
  <c r="C30" i="5" s="1"/>
  <c r="C8" i="6"/>
  <c r="C30" i="6" s="1"/>
  <c r="C8" i="4"/>
  <c r="C30" i="4" s="1"/>
  <c r="P22" i="5"/>
  <c r="P18" i="5"/>
  <c r="P21" i="6"/>
  <c r="P17" i="6"/>
  <c r="P21" i="7"/>
  <c r="P17" i="7"/>
  <c r="I6" i="2"/>
  <c r="I28" i="2" s="1"/>
  <c r="I6" i="7"/>
  <c r="I28" i="7" s="1"/>
  <c r="I28" i="8" s="1"/>
  <c r="I6" i="8"/>
  <c r="I6" i="6"/>
  <c r="I28" i="6" s="1"/>
  <c r="I6" i="5"/>
  <c r="I28" i="5" s="1"/>
  <c r="I165" i="9" s="1" a="1"/>
  <c r="I165" i="9" s="1"/>
  <c r="AN165" i="16" s="1"/>
  <c r="I181" i="16" s="1"/>
  <c r="J181" i="16" s="1"/>
  <c r="P181" i="16" s="1"/>
  <c r="I6" i="4"/>
  <c r="I28" i="4" s="1"/>
  <c r="M7" i="2"/>
  <c r="M29" i="2" s="1"/>
  <c r="M7" i="8"/>
  <c r="M7" i="7"/>
  <c r="M29" i="7" s="1"/>
  <c r="M29" i="8" s="1"/>
  <c r="M7" i="5"/>
  <c r="M29" i="5" s="1"/>
  <c r="I198" i="9" s="1" a="1"/>
  <c r="I198" i="9" s="1"/>
  <c r="AN198" i="16" s="1"/>
  <c r="M7" i="6"/>
  <c r="M29" i="6" s="1"/>
  <c r="M7" i="4"/>
  <c r="M29" i="4" s="1"/>
  <c r="I70" i="9" s="1" a="1"/>
  <c r="I70" i="9" s="1"/>
  <c r="AN70" i="16" s="1"/>
  <c r="E9" i="2"/>
  <c r="E31" i="2" s="1"/>
  <c r="E9" i="8"/>
  <c r="E9" i="7"/>
  <c r="E31" i="7" s="1"/>
  <c r="E31" i="8" s="1"/>
  <c r="E9" i="5"/>
  <c r="E31" i="5" s="1"/>
  <c r="I136" i="9" s="1" a="1"/>
  <c r="I136" i="9" s="1"/>
  <c r="AN136" i="16" s="1"/>
  <c r="E9" i="6"/>
  <c r="E31" i="6" s="1"/>
  <c r="E9" i="4"/>
  <c r="E31" i="4" s="1"/>
  <c r="I8" i="9" s="1" a="1"/>
  <c r="I8" i="9" s="1"/>
  <c r="AN8" i="16" s="1"/>
  <c r="I10" i="2"/>
  <c r="I32" i="2" s="1"/>
  <c r="I10" i="8"/>
  <c r="I10" i="7"/>
  <c r="I32" i="7" s="1"/>
  <c r="I32" i="8" s="1"/>
  <c r="I10" i="6"/>
  <c r="I32" i="6" s="1"/>
  <c r="I10" i="4"/>
  <c r="I32" i="4" s="1"/>
  <c r="I10" i="5"/>
  <c r="I32" i="5" s="1"/>
  <c r="I169" i="9" s="1" a="1"/>
  <c r="I169" i="9" s="1"/>
  <c r="AN169" i="16" s="1"/>
  <c r="M11" i="2"/>
  <c r="M33" i="2" s="1"/>
  <c r="M11" i="8"/>
  <c r="M11" i="7"/>
  <c r="M33" i="7" s="1"/>
  <c r="M33" i="8" s="1"/>
  <c r="M11" i="6"/>
  <c r="M33" i="6" s="1"/>
  <c r="M11" i="5"/>
  <c r="M33" i="5" s="1"/>
  <c r="I202" i="9" s="1" a="1"/>
  <c r="I202" i="9" s="1"/>
  <c r="AN202" i="16" s="1"/>
  <c r="M11" i="4"/>
  <c r="M33" i="4" s="1"/>
  <c r="I74" i="9" s="1" a="1"/>
  <c r="I74" i="9" s="1"/>
  <c r="AN74" i="16" s="1"/>
  <c r="E13" i="2"/>
  <c r="E35" i="2" s="1"/>
  <c r="E13" i="8"/>
  <c r="E13" i="7"/>
  <c r="E35" i="7" s="1"/>
  <c r="E35" i="8" s="1"/>
  <c r="E13" i="6"/>
  <c r="E35" i="6" s="1"/>
  <c r="E13" i="5"/>
  <c r="E35" i="5" s="1"/>
  <c r="I140" i="9" s="1" a="1"/>
  <c r="I140" i="9" s="1"/>
  <c r="AN140" i="16" s="1"/>
  <c r="E13" i="4"/>
  <c r="E35" i="4" s="1"/>
  <c r="I12" i="9" s="1" a="1"/>
  <c r="I12" i="9" s="1"/>
  <c r="AN12" i="16" s="1"/>
  <c r="C12" i="2"/>
  <c r="C34" i="2" s="1"/>
  <c r="C12" i="8"/>
  <c r="C34" i="8" s="1"/>
  <c r="C12" i="7"/>
  <c r="C34" i="7" s="1"/>
  <c r="C12" i="6"/>
  <c r="C34" i="6" s="1"/>
  <c r="C12" i="5"/>
  <c r="C34" i="5" s="1"/>
  <c r="C12" i="4"/>
  <c r="C34" i="4" s="1"/>
  <c r="P24" i="4"/>
  <c r="P21" i="4"/>
  <c r="P21" i="5"/>
  <c r="P17" i="5"/>
  <c r="P24" i="6"/>
  <c r="P20" i="6"/>
  <c r="P22" i="7"/>
  <c r="P18" i="7"/>
  <c r="I28" i="9" a="1"/>
  <c r="I28" i="9" s="1"/>
  <c r="AN28" i="16" s="1"/>
  <c r="L81" i="9"/>
  <c r="I81" i="9" s="1" a="1"/>
  <c r="I81" i="9" s="1"/>
  <c r="AN81" i="16" s="1"/>
  <c r="E82" i="9"/>
  <c r="L29" i="9"/>
  <c r="I29" i="9" s="1" a="1"/>
  <c r="I29" i="9" s="1"/>
  <c r="AN29" i="16" s="1"/>
  <c r="E30" i="9"/>
  <c r="P20" i="4"/>
  <c r="O28" i="4"/>
  <c r="P28" i="4" s="1"/>
  <c r="Q28" i="4" s="1"/>
  <c r="R28" i="4" s="1"/>
  <c r="S28" i="4" s="1"/>
  <c r="T28" i="4" s="1"/>
  <c r="I125" i="9" s="1" a="1"/>
  <c r="I125" i="9" s="1"/>
  <c r="AN125" i="16" s="1"/>
  <c r="P17" i="4"/>
  <c r="P22" i="4"/>
  <c r="P23" i="4"/>
  <c r="P18" i="2"/>
  <c r="P30" i="1"/>
  <c r="P7" i="11" s="1"/>
  <c r="Q18" i="1"/>
  <c r="Q18" i="11" s="1"/>
  <c r="P20" i="2"/>
  <c r="P32" i="1"/>
  <c r="P9" i="11" s="1"/>
  <c r="Q20" i="1"/>
  <c r="Q20" i="11" s="1"/>
  <c r="P22" i="2"/>
  <c r="P34" i="1"/>
  <c r="P11" i="11" s="1"/>
  <c r="Q22" i="1"/>
  <c r="Q22" i="11" s="1"/>
  <c r="P24" i="2"/>
  <c r="P36" i="1"/>
  <c r="P13" i="11" s="1"/>
  <c r="Q24" i="1"/>
  <c r="P19" i="2"/>
  <c r="P31" i="1"/>
  <c r="P8" i="11" s="1"/>
  <c r="Q19" i="1"/>
  <c r="P33" i="1"/>
  <c r="P10" i="11" s="1"/>
  <c r="Q21" i="1"/>
  <c r="Q21" i="11" s="1"/>
  <c r="P21" i="2"/>
  <c r="P23" i="2"/>
  <c r="P35" i="1"/>
  <c r="P12" i="11" s="1"/>
  <c r="Q23" i="1"/>
  <c r="Q23" i="11" s="1"/>
  <c r="P29" i="1"/>
  <c r="P6" i="11" s="1"/>
  <c r="Q17" i="1"/>
  <c r="Q17" i="11" s="1"/>
  <c r="P17" i="2"/>
  <c r="I213" i="16" l="1"/>
  <c r="J213" i="16" s="1"/>
  <c r="P213" i="16" s="1"/>
  <c r="Q213" i="16" s="1"/>
  <c r="Q21" i="16"/>
  <c r="R21" i="16"/>
  <c r="S21" i="16" s="1"/>
  <c r="I9" i="16"/>
  <c r="J9" i="16" s="1"/>
  <c r="P9" i="16" s="1"/>
  <c r="I17" i="16"/>
  <c r="J17" i="16" s="1"/>
  <c r="P17" i="16" s="1"/>
  <c r="I25" i="16"/>
  <c r="J25" i="16" s="1"/>
  <c r="P25" i="16" s="1"/>
  <c r="G167" i="16"/>
  <c r="G183" i="16"/>
  <c r="G151" i="16"/>
  <c r="G143" i="16"/>
  <c r="G159" i="16"/>
  <c r="G191" i="16"/>
  <c r="G199" i="16"/>
  <c r="G175" i="16"/>
  <c r="G207" i="16"/>
  <c r="G135" i="16"/>
  <c r="Q5" i="16"/>
  <c r="R5" i="16"/>
  <c r="S5" i="16" s="1"/>
  <c r="I10" i="16"/>
  <c r="J10" i="16" s="1"/>
  <c r="P10" i="16" s="1"/>
  <c r="I18" i="16"/>
  <c r="J18" i="16" s="1"/>
  <c r="P18" i="16" s="1"/>
  <c r="I26" i="16"/>
  <c r="J26" i="16" s="1"/>
  <c r="P26" i="16" s="1"/>
  <c r="I203" i="16"/>
  <c r="J203" i="16" s="1"/>
  <c r="P203" i="16" s="1"/>
  <c r="I187" i="16"/>
  <c r="J187" i="16" s="1"/>
  <c r="P187" i="16" s="1"/>
  <c r="I171" i="16"/>
  <c r="J171" i="16" s="1"/>
  <c r="P171" i="16" s="1"/>
  <c r="I195" i="16"/>
  <c r="J195" i="16" s="1"/>
  <c r="P195" i="16" s="1"/>
  <c r="I155" i="16"/>
  <c r="J155" i="16" s="1"/>
  <c r="P155" i="16" s="1"/>
  <c r="I163" i="16"/>
  <c r="J163" i="16" s="1"/>
  <c r="P163" i="16" s="1"/>
  <c r="I211" i="16"/>
  <c r="J211" i="16" s="1"/>
  <c r="P211" i="16" s="1"/>
  <c r="I219" i="16"/>
  <c r="J219" i="16" s="1"/>
  <c r="P219" i="16" s="1"/>
  <c r="I139" i="16"/>
  <c r="J139" i="16" s="1"/>
  <c r="P139" i="16" s="1"/>
  <c r="I147" i="16"/>
  <c r="J147" i="16" s="1"/>
  <c r="P147" i="16" s="1"/>
  <c r="I179" i="16"/>
  <c r="J179" i="16" s="1"/>
  <c r="P179" i="16" s="1"/>
  <c r="G31" i="16"/>
  <c r="G63" i="16"/>
  <c r="G79" i="16"/>
  <c r="G23" i="16"/>
  <c r="G39" i="16"/>
  <c r="G7" i="16"/>
  <c r="G47" i="16"/>
  <c r="G15" i="16"/>
  <c r="G55" i="16"/>
  <c r="G71" i="16"/>
  <c r="I165" i="16"/>
  <c r="J165" i="16" s="1"/>
  <c r="P165" i="16" s="1"/>
  <c r="Q149" i="16"/>
  <c r="R149" i="16"/>
  <c r="I28" i="16"/>
  <c r="J28" i="16" s="1"/>
  <c r="P28" i="16" s="1"/>
  <c r="I12" i="16"/>
  <c r="J12" i="16" s="1"/>
  <c r="P12" i="16" s="1"/>
  <c r="I20" i="16"/>
  <c r="J20" i="16" s="1"/>
  <c r="P20" i="16" s="1"/>
  <c r="I170" i="16"/>
  <c r="J170" i="16" s="1"/>
  <c r="P170" i="16" s="1"/>
  <c r="I154" i="16"/>
  <c r="J154" i="16" s="1"/>
  <c r="P154" i="16" s="1"/>
  <c r="I146" i="16"/>
  <c r="J146" i="16" s="1"/>
  <c r="P146" i="16" s="1"/>
  <c r="I178" i="16"/>
  <c r="J178" i="16" s="1"/>
  <c r="P178" i="16" s="1"/>
  <c r="I138" i="16"/>
  <c r="J138" i="16" s="1"/>
  <c r="P138" i="16" s="1"/>
  <c r="I186" i="16"/>
  <c r="J186" i="16" s="1"/>
  <c r="P186" i="16" s="1"/>
  <c r="I202" i="16"/>
  <c r="J202" i="16" s="1"/>
  <c r="P202" i="16" s="1"/>
  <c r="I210" i="16"/>
  <c r="J210" i="16" s="1"/>
  <c r="P210" i="16" s="1"/>
  <c r="I194" i="16"/>
  <c r="J194" i="16" s="1"/>
  <c r="P194" i="16" s="1"/>
  <c r="I162" i="16"/>
  <c r="J162" i="16" s="1"/>
  <c r="P162" i="16" s="1"/>
  <c r="I218" i="16"/>
  <c r="J218" i="16" s="1"/>
  <c r="P218" i="16" s="1"/>
  <c r="I19" i="16"/>
  <c r="J19" i="16" s="1"/>
  <c r="P19" i="16" s="1"/>
  <c r="I27" i="16"/>
  <c r="J27" i="16" s="1"/>
  <c r="P27" i="16" s="1"/>
  <c r="I11" i="16"/>
  <c r="J11" i="16" s="1"/>
  <c r="P11" i="16" s="1"/>
  <c r="G65" i="16"/>
  <c r="G9" i="16"/>
  <c r="G89" i="16"/>
  <c r="G49" i="16"/>
  <c r="G33" i="16"/>
  <c r="G25" i="16"/>
  <c r="G41" i="16"/>
  <c r="G73" i="16"/>
  <c r="G81" i="16"/>
  <c r="G57" i="16"/>
  <c r="G17" i="16"/>
  <c r="G91" i="16"/>
  <c r="G59" i="16"/>
  <c r="G75" i="16"/>
  <c r="G11" i="16"/>
  <c r="G67" i="16"/>
  <c r="G19" i="16"/>
  <c r="G35" i="16"/>
  <c r="G43" i="16"/>
  <c r="G83" i="16"/>
  <c r="G27" i="16"/>
  <c r="G51" i="16"/>
  <c r="I205" i="16"/>
  <c r="J205" i="16" s="1"/>
  <c r="P205" i="16" s="1"/>
  <c r="I197" i="16"/>
  <c r="J197" i="16" s="1"/>
  <c r="P197" i="16" s="1"/>
  <c r="I220" i="16"/>
  <c r="J220" i="16" s="1"/>
  <c r="P220" i="16" s="1"/>
  <c r="I140" i="16"/>
  <c r="J140" i="16" s="1"/>
  <c r="P140" i="16" s="1"/>
  <c r="I212" i="16"/>
  <c r="J212" i="16" s="1"/>
  <c r="P212" i="16" s="1"/>
  <c r="I188" i="16"/>
  <c r="J188" i="16" s="1"/>
  <c r="P188" i="16" s="1"/>
  <c r="I164" i="16"/>
  <c r="J164" i="16" s="1"/>
  <c r="P164" i="16" s="1"/>
  <c r="I156" i="16"/>
  <c r="J156" i="16" s="1"/>
  <c r="P156" i="16" s="1"/>
  <c r="I148" i="16"/>
  <c r="J148" i="16" s="1"/>
  <c r="P148" i="16" s="1"/>
  <c r="I172" i="16"/>
  <c r="J172" i="16" s="1"/>
  <c r="P172" i="16" s="1"/>
  <c r="I196" i="16"/>
  <c r="J196" i="16" s="1"/>
  <c r="P196" i="16" s="1"/>
  <c r="I204" i="16"/>
  <c r="J204" i="16" s="1"/>
  <c r="P204" i="16" s="1"/>
  <c r="I180" i="16"/>
  <c r="J180" i="16" s="1"/>
  <c r="P180" i="16" s="1"/>
  <c r="I22" i="16"/>
  <c r="J22" i="16" s="1"/>
  <c r="P22" i="16" s="1"/>
  <c r="I14" i="16"/>
  <c r="J14" i="16" s="1"/>
  <c r="P14" i="16" s="1"/>
  <c r="I6" i="16"/>
  <c r="J6" i="16" s="1"/>
  <c r="P6" i="16" s="1"/>
  <c r="I135" i="16"/>
  <c r="J135" i="16" s="1"/>
  <c r="P135" i="16" s="1"/>
  <c r="I167" i="16"/>
  <c r="J167" i="16" s="1"/>
  <c r="P167" i="16" s="1"/>
  <c r="I159" i="16"/>
  <c r="J159" i="16" s="1"/>
  <c r="P159" i="16" s="1"/>
  <c r="I199" i="16"/>
  <c r="J199" i="16" s="1"/>
  <c r="P199" i="16" s="1"/>
  <c r="I151" i="16"/>
  <c r="J151" i="16" s="1"/>
  <c r="P151" i="16" s="1"/>
  <c r="I183" i="16"/>
  <c r="J183" i="16" s="1"/>
  <c r="P183" i="16" s="1"/>
  <c r="I191" i="16"/>
  <c r="J191" i="16" s="1"/>
  <c r="P191" i="16" s="1"/>
  <c r="I207" i="16"/>
  <c r="J207" i="16" s="1"/>
  <c r="P207" i="16" s="1"/>
  <c r="I175" i="16"/>
  <c r="J175" i="16" s="1"/>
  <c r="P175" i="16" s="1"/>
  <c r="I215" i="16"/>
  <c r="J215" i="16" s="1"/>
  <c r="P215" i="16" s="1"/>
  <c r="I143" i="16"/>
  <c r="J143" i="16" s="1"/>
  <c r="P143" i="16" s="1"/>
  <c r="G185" i="16"/>
  <c r="G153" i="16"/>
  <c r="G161" i="16"/>
  <c r="G217" i="16"/>
  <c r="G177" i="16"/>
  <c r="G137" i="16"/>
  <c r="G209" i="16"/>
  <c r="G145" i="16"/>
  <c r="G193" i="16"/>
  <c r="G169" i="16"/>
  <c r="G201" i="16"/>
  <c r="G163" i="16"/>
  <c r="G155" i="16"/>
  <c r="G139" i="16"/>
  <c r="G147" i="16"/>
  <c r="G187" i="16"/>
  <c r="G203" i="16"/>
  <c r="G219" i="16"/>
  <c r="G179" i="16"/>
  <c r="G171" i="16"/>
  <c r="G195" i="16"/>
  <c r="G211" i="16"/>
  <c r="Q133" i="16"/>
  <c r="R133" i="16"/>
  <c r="G82" i="16"/>
  <c r="G34" i="16"/>
  <c r="G26" i="16"/>
  <c r="G74" i="16"/>
  <c r="G66" i="16"/>
  <c r="G10" i="16"/>
  <c r="G42" i="16"/>
  <c r="G90" i="16"/>
  <c r="G18" i="16"/>
  <c r="G58" i="16"/>
  <c r="G50" i="16"/>
  <c r="I8" i="16"/>
  <c r="J8" i="16" s="1"/>
  <c r="P8" i="16" s="1"/>
  <c r="I16" i="16"/>
  <c r="J16" i="16" s="1"/>
  <c r="P16" i="16" s="1"/>
  <c r="I24" i="16"/>
  <c r="J24" i="16" s="1"/>
  <c r="P24" i="16" s="1"/>
  <c r="I15" i="16"/>
  <c r="J15" i="16" s="1"/>
  <c r="P15" i="16" s="1"/>
  <c r="I7" i="16"/>
  <c r="J7" i="16" s="1"/>
  <c r="P7" i="16" s="1"/>
  <c r="I23" i="16"/>
  <c r="J23" i="16" s="1"/>
  <c r="P23" i="16" s="1"/>
  <c r="G8" i="16"/>
  <c r="G32" i="16"/>
  <c r="G80" i="16"/>
  <c r="G64" i="16"/>
  <c r="G24" i="16"/>
  <c r="G16" i="16"/>
  <c r="G56" i="16"/>
  <c r="G72" i="16"/>
  <c r="G48" i="16"/>
  <c r="G88" i="16"/>
  <c r="G40" i="16"/>
  <c r="I189" i="16"/>
  <c r="J189" i="16" s="1"/>
  <c r="P189" i="16" s="1"/>
  <c r="I29" i="16"/>
  <c r="J29" i="16" s="1"/>
  <c r="P29" i="16" s="1"/>
  <c r="Q181" i="16"/>
  <c r="R181" i="16"/>
  <c r="S181" i="16" s="1"/>
  <c r="I190" i="16"/>
  <c r="J190" i="16" s="1"/>
  <c r="P190" i="16" s="1"/>
  <c r="I198" i="16"/>
  <c r="J198" i="16" s="1"/>
  <c r="P198" i="16" s="1"/>
  <c r="I134" i="16"/>
  <c r="J134" i="16" s="1"/>
  <c r="P134" i="16" s="1"/>
  <c r="I214" i="16"/>
  <c r="J214" i="16" s="1"/>
  <c r="P214" i="16" s="1"/>
  <c r="I150" i="16"/>
  <c r="J150" i="16" s="1"/>
  <c r="P150" i="16" s="1"/>
  <c r="I158" i="16"/>
  <c r="J158" i="16" s="1"/>
  <c r="P158" i="16" s="1"/>
  <c r="I174" i="16"/>
  <c r="J174" i="16" s="1"/>
  <c r="P174" i="16" s="1"/>
  <c r="I142" i="16"/>
  <c r="J142" i="16" s="1"/>
  <c r="P142" i="16" s="1"/>
  <c r="I182" i="16"/>
  <c r="J182" i="16" s="1"/>
  <c r="P182" i="16" s="1"/>
  <c r="I206" i="16"/>
  <c r="J206" i="16" s="1"/>
  <c r="P206" i="16" s="1"/>
  <c r="I166" i="16"/>
  <c r="J166" i="16" s="1"/>
  <c r="P166" i="16" s="1"/>
  <c r="G200" i="16"/>
  <c r="G144" i="16"/>
  <c r="G192" i="16"/>
  <c r="G184" i="16"/>
  <c r="G152" i="16"/>
  <c r="G160" i="16"/>
  <c r="G216" i="16"/>
  <c r="G168" i="16"/>
  <c r="G208" i="16"/>
  <c r="G176" i="16"/>
  <c r="G136" i="16"/>
  <c r="G174" i="16"/>
  <c r="G206" i="16"/>
  <c r="G190" i="16"/>
  <c r="G214" i="16"/>
  <c r="G166" i="16"/>
  <c r="G150" i="16"/>
  <c r="G158" i="16"/>
  <c r="G198" i="16"/>
  <c r="G182" i="16"/>
  <c r="G134" i="16"/>
  <c r="G142" i="16"/>
  <c r="I173" i="16"/>
  <c r="J173" i="16" s="1"/>
  <c r="P173" i="16" s="1"/>
  <c r="G194" i="16"/>
  <c r="G154" i="16"/>
  <c r="G138" i="16"/>
  <c r="G146" i="16"/>
  <c r="G162" i="16"/>
  <c r="G218" i="16"/>
  <c r="G202" i="16"/>
  <c r="G170" i="16"/>
  <c r="G210" i="16"/>
  <c r="G178" i="16"/>
  <c r="G186" i="16"/>
  <c r="Q24" i="5"/>
  <c r="I200" i="16"/>
  <c r="J200" i="16" s="1"/>
  <c r="P200" i="16" s="1"/>
  <c r="I144" i="16"/>
  <c r="J144" i="16" s="1"/>
  <c r="P144" i="16" s="1"/>
  <c r="I192" i="16"/>
  <c r="J192" i="16" s="1"/>
  <c r="P192" i="16" s="1"/>
  <c r="I184" i="16"/>
  <c r="J184" i="16" s="1"/>
  <c r="P184" i="16" s="1"/>
  <c r="I160" i="16"/>
  <c r="J160" i="16" s="1"/>
  <c r="P160" i="16" s="1"/>
  <c r="I216" i="16"/>
  <c r="J216" i="16" s="1"/>
  <c r="P216" i="16" s="1"/>
  <c r="I168" i="16"/>
  <c r="J168" i="16" s="1"/>
  <c r="P168" i="16" s="1"/>
  <c r="I208" i="16"/>
  <c r="J208" i="16" s="1"/>
  <c r="P208" i="16" s="1"/>
  <c r="I176" i="16"/>
  <c r="J176" i="16" s="1"/>
  <c r="P176" i="16" s="1"/>
  <c r="I136" i="16"/>
  <c r="J136" i="16" s="1"/>
  <c r="P136" i="16" s="1"/>
  <c r="I152" i="16"/>
  <c r="J152" i="16" s="1"/>
  <c r="P152" i="16" s="1"/>
  <c r="I137" i="16"/>
  <c r="J137" i="16" s="1"/>
  <c r="P137" i="16" s="1"/>
  <c r="I209" i="16"/>
  <c r="J209" i="16" s="1"/>
  <c r="P209" i="16" s="1"/>
  <c r="I153" i="16"/>
  <c r="J153" i="16" s="1"/>
  <c r="P153" i="16" s="1"/>
  <c r="I185" i="16"/>
  <c r="J185" i="16" s="1"/>
  <c r="P185" i="16" s="1"/>
  <c r="I193" i="16"/>
  <c r="J193" i="16" s="1"/>
  <c r="P193" i="16" s="1"/>
  <c r="I161" i="16"/>
  <c r="J161" i="16" s="1"/>
  <c r="P161" i="16" s="1"/>
  <c r="I201" i="16"/>
  <c r="J201" i="16" s="1"/>
  <c r="P201" i="16" s="1"/>
  <c r="I169" i="16"/>
  <c r="J169" i="16" s="1"/>
  <c r="P169" i="16" s="1"/>
  <c r="I177" i="16"/>
  <c r="J177" i="16" s="1"/>
  <c r="P177" i="16" s="1"/>
  <c r="I145" i="16"/>
  <c r="J145" i="16" s="1"/>
  <c r="P145" i="16" s="1"/>
  <c r="I217" i="16"/>
  <c r="J217" i="16" s="1"/>
  <c r="P217" i="16" s="1"/>
  <c r="G46" i="16"/>
  <c r="G30" i="16"/>
  <c r="G86" i="16"/>
  <c r="G14" i="16"/>
  <c r="G54" i="16"/>
  <c r="G70" i="16"/>
  <c r="G6" i="16"/>
  <c r="G38" i="16"/>
  <c r="G78" i="16"/>
  <c r="G62" i="16"/>
  <c r="G22" i="16"/>
  <c r="Q157" i="16"/>
  <c r="R157" i="16"/>
  <c r="S157" i="16" s="1"/>
  <c r="Q141" i="16"/>
  <c r="R141" i="16"/>
  <c r="S141" i="16" s="1"/>
  <c r="Q13" i="16"/>
  <c r="R13" i="16"/>
  <c r="Q19" i="6"/>
  <c r="Q17" i="12"/>
  <c r="Q28" i="12" s="1"/>
  <c r="Q6" i="13" s="1"/>
  <c r="Q28" i="13" s="1"/>
  <c r="P35" i="12"/>
  <c r="G96" i="9" a="1"/>
  <c r="G96" i="9" s="1"/>
  <c r="AL96" i="16" s="1"/>
  <c r="G224" i="9" a="1"/>
  <c r="G224" i="9" s="1"/>
  <c r="AL224" i="16" s="1"/>
  <c r="G223" i="9" a="1"/>
  <c r="G223" i="9" s="1"/>
  <c r="AL223" i="16" s="1"/>
  <c r="G95" i="9" a="1"/>
  <c r="G95" i="9" s="1"/>
  <c r="AL95" i="16" s="1"/>
  <c r="G222" i="9" a="1"/>
  <c r="G222" i="9" s="1"/>
  <c r="AL222" i="16" s="1"/>
  <c r="G94" i="9" a="1"/>
  <c r="G94" i="9" s="1"/>
  <c r="AL94" i="16" s="1"/>
  <c r="G94" i="16" s="1"/>
  <c r="G13" i="9" a="1"/>
  <c r="G13" i="9" s="1"/>
  <c r="AL13" i="16" s="1"/>
  <c r="G141" i="9" a="1"/>
  <c r="G141" i="9" s="1"/>
  <c r="AL141" i="16" s="1"/>
  <c r="F35" i="13"/>
  <c r="Q24" i="11"/>
  <c r="P35" i="13"/>
  <c r="G93" i="9" a="1"/>
  <c r="G93" i="9" s="1"/>
  <c r="AL93" i="16" s="1"/>
  <c r="G221" i="9" a="1"/>
  <c r="G221" i="9" s="1"/>
  <c r="AL221" i="16" s="1"/>
  <c r="R31" i="11"/>
  <c r="Q20" i="12"/>
  <c r="Q31" i="12" s="1"/>
  <c r="Q9" i="13" s="1"/>
  <c r="Q31" i="13" s="1"/>
  <c r="G53" i="9" a="1"/>
  <c r="G53" i="9" s="1"/>
  <c r="AL53" i="16" s="1"/>
  <c r="G181" i="9" a="1"/>
  <c r="G181" i="9" s="1"/>
  <c r="AL181" i="16" s="1"/>
  <c r="K35" i="13"/>
  <c r="R30" i="11"/>
  <c r="Q19" i="12"/>
  <c r="Q30" i="12" s="1"/>
  <c r="Q8" i="13" s="1"/>
  <c r="Q30" i="13" s="1"/>
  <c r="R29" i="11"/>
  <c r="Q18" i="12"/>
  <c r="Q29" i="12" s="1"/>
  <c r="Q7" i="13" s="1"/>
  <c r="Q29" i="13" s="1"/>
  <c r="S28" i="11"/>
  <c r="R17" i="12"/>
  <c r="R28" i="12" s="1"/>
  <c r="R6" i="13" s="1"/>
  <c r="R28" i="13" s="1"/>
  <c r="G28" i="9" a="1"/>
  <c r="G28" i="9" s="1"/>
  <c r="AL28" i="16" s="1"/>
  <c r="G156" i="9" a="1"/>
  <c r="G156" i="9" s="1"/>
  <c r="AL156" i="16" s="1"/>
  <c r="G180" i="9" a="1"/>
  <c r="G180" i="9" s="1"/>
  <c r="AL180" i="16" s="1"/>
  <c r="G52" i="9" a="1"/>
  <c r="G52" i="9" s="1"/>
  <c r="AL52" i="16" s="1"/>
  <c r="I35" i="13"/>
  <c r="G37" i="9" a="1"/>
  <c r="G37" i="9" s="1"/>
  <c r="AL37" i="16" s="1"/>
  <c r="G165" i="9" a="1"/>
  <c r="G165" i="9" s="1"/>
  <c r="AL165" i="16" s="1"/>
  <c r="G99" i="9" a="1"/>
  <c r="G99" i="9" s="1"/>
  <c r="AL99" i="16" s="1"/>
  <c r="G227" i="9" a="1"/>
  <c r="G227" i="9" s="1"/>
  <c r="AL227" i="16" s="1"/>
  <c r="G98" i="9" a="1"/>
  <c r="G98" i="9" s="1"/>
  <c r="AL98" i="16" s="1"/>
  <c r="G98" i="16" s="1"/>
  <c r="G226" i="9" a="1"/>
  <c r="G226" i="9" s="1"/>
  <c r="AL226" i="16" s="1"/>
  <c r="G97" i="9" a="1"/>
  <c r="G97" i="9" s="1"/>
  <c r="AL97" i="16" s="1"/>
  <c r="G225" i="9" a="1"/>
  <c r="G225" i="9" s="1"/>
  <c r="AL225" i="16" s="1"/>
  <c r="G87" i="9" a="1"/>
  <c r="G87" i="9" s="1"/>
  <c r="AL87" i="16" s="1"/>
  <c r="G215" i="9" a="1"/>
  <c r="G215" i="9" s="1"/>
  <c r="AL215" i="16" s="1"/>
  <c r="G223" i="16" s="1"/>
  <c r="G196" i="9" a="1"/>
  <c r="G196" i="9" s="1"/>
  <c r="AL196" i="16" s="1"/>
  <c r="G68" i="9" a="1"/>
  <c r="G68" i="9" s="1"/>
  <c r="AL68" i="16" s="1"/>
  <c r="G36" i="9" a="1"/>
  <c r="G36" i="9" s="1"/>
  <c r="AL36" i="16" s="1"/>
  <c r="G164" i="9" a="1"/>
  <c r="G164" i="9" s="1"/>
  <c r="AL164" i="16" s="1"/>
  <c r="G5" i="9" a="1"/>
  <c r="G5" i="9" s="1"/>
  <c r="AL5" i="16" s="1"/>
  <c r="E35" i="13"/>
  <c r="G133" i="9" a="1"/>
  <c r="G133" i="9" s="1"/>
  <c r="AL133" i="16" s="1"/>
  <c r="R34" i="11"/>
  <c r="Q23" i="12"/>
  <c r="Q34" i="12" s="1"/>
  <c r="Q12" i="13" s="1"/>
  <c r="Q34" i="13" s="1"/>
  <c r="R33" i="11"/>
  <c r="Q22" i="12"/>
  <c r="Q33" i="12" s="1"/>
  <c r="Q11" i="13" s="1"/>
  <c r="Q33" i="13" s="1"/>
  <c r="R32" i="11"/>
  <c r="Q21" i="12"/>
  <c r="Q32" i="12" s="1"/>
  <c r="Q10" i="13" s="1"/>
  <c r="Q32" i="13" s="1"/>
  <c r="Q19" i="11"/>
  <c r="G92" i="9" a="1"/>
  <c r="G92" i="9" s="1"/>
  <c r="AL92" i="16" s="1"/>
  <c r="G220" i="9" a="1"/>
  <c r="G220" i="9" s="1"/>
  <c r="AL220" i="16" s="1"/>
  <c r="G197" i="9" a="1"/>
  <c r="G197" i="9" s="1"/>
  <c r="AL197" i="16" s="1"/>
  <c r="M35" i="13"/>
  <c r="G69" i="9" a="1"/>
  <c r="G69" i="9" s="1"/>
  <c r="AL69" i="16" s="1"/>
  <c r="P9" i="2"/>
  <c r="P9" i="8"/>
  <c r="P9" i="7"/>
  <c r="P31" i="7" s="1"/>
  <c r="P31" i="8" s="1"/>
  <c r="P9" i="5"/>
  <c r="P31" i="5" s="1"/>
  <c r="I224" i="9" s="1" a="1"/>
  <c r="I224" i="9" s="1"/>
  <c r="AN224" i="16" s="1"/>
  <c r="P9" i="6"/>
  <c r="P9" i="4"/>
  <c r="Q20" i="6"/>
  <c r="Q21" i="4"/>
  <c r="Q17" i="6"/>
  <c r="Q18" i="6"/>
  <c r="Q23" i="5"/>
  <c r="Q19" i="7"/>
  <c r="Q23" i="6"/>
  <c r="Q18" i="4"/>
  <c r="P12" i="2"/>
  <c r="P12" i="8"/>
  <c r="P12" i="7"/>
  <c r="P34" i="7" s="1"/>
  <c r="P34" i="8" s="1"/>
  <c r="P12" i="6"/>
  <c r="P12" i="5"/>
  <c r="P34" i="5" s="1"/>
  <c r="I227" i="9" s="1" a="1"/>
  <c r="I227" i="9" s="1"/>
  <c r="AN227" i="16" s="1"/>
  <c r="P12" i="4"/>
  <c r="P10" i="2"/>
  <c r="P10" i="8"/>
  <c r="P10" i="7"/>
  <c r="P32" i="7" s="1"/>
  <c r="P32" i="8" s="1"/>
  <c r="P10" i="6"/>
  <c r="P10" i="5"/>
  <c r="P32" i="5" s="1"/>
  <c r="I225" i="9" s="1" a="1"/>
  <c r="I225" i="9" s="1"/>
  <c r="AN225" i="16" s="1"/>
  <c r="I225" i="16" s="1"/>
  <c r="J225" i="16" s="1"/>
  <c r="P225" i="16" s="1"/>
  <c r="P10" i="4"/>
  <c r="P11" i="2"/>
  <c r="P11" i="8"/>
  <c r="P11" i="7"/>
  <c r="P33" i="7" s="1"/>
  <c r="P33" i="8" s="1"/>
  <c r="P11" i="6"/>
  <c r="P11" i="5"/>
  <c r="P33" i="5" s="1"/>
  <c r="I226" i="9" s="1" a="1"/>
  <c r="I226" i="9" s="1"/>
  <c r="AN226" i="16" s="1"/>
  <c r="I226" i="16" s="1"/>
  <c r="J226" i="16" s="1"/>
  <c r="P226" i="16" s="1"/>
  <c r="P11" i="4"/>
  <c r="Q23" i="4"/>
  <c r="Q20" i="4"/>
  <c r="Q18" i="7"/>
  <c r="P18" i="8"/>
  <c r="Q24" i="6"/>
  <c r="Q24" i="4"/>
  <c r="Q21" i="6"/>
  <c r="Q22" i="6"/>
  <c r="Q20" i="5"/>
  <c r="Q19" i="4"/>
  <c r="P13" i="2"/>
  <c r="P13" i="8"/>
  <c r="P13" i="7"/>
  <c r="P35" i="7" s="1"/>
  <c r="P35" i="8" s="1"/>
  <c r="P13" i="6"/>
  <c r="P13" i="5"/>
  <c r="P35" i="5" s="1"/>
  <c r="I228" i="9" s="1" a="1"/>
  <c r="I228" i="9" s="1"/>
  <c r="AN228" i="16" s="1"/>
  <c r="P13" i="4"/>
  <c r="Q22" i="4"/>
  <c r="Q22" i="7"/>
  <c r="P22" i="8"/>
  <c r="Q17" i="5"/>
  <c r="Q17" i="7"/>
  <c r="P17" i="8"/>
  <c r="Q18" i="5"/>
  <c r="Q20" i="7"/>
  <c r="P20" i="8"/>
  <c r="Q19" i="5"/>
  <c r="Q23" i="7"/>
  <c r="P6" i="2"/>
  <c r="P6" i="7"/>
  <c r="P28" i="7" s="1"/>
  <c r="P28" i="8" s="1"/>
  <c r="P6" i="8"/>
  <c r="P6" i="5"/>
  <c r="P28" i="5" s="1"/>
  <c r="I221" i="9" s="1" a="1"/>
  <c r="I221" i="9" s="1"/>
  <c r="AN221" i="16" s="1"/>
  <c r="I221" i="16" s="1"/>
  <c r="J221" i="16" s="1"/>
  <c r="P221" i="16" s="1"/>
  <c r="P6" i="6"/>
  <c r="P6" i="4"/>
  <c r="P8" i="2"/>
  <c r="P8" i="8"/>
  <c r="P8" i="7"/>
  <c r="P30" i="7" s="1"/>
  <c r="P30" i="8" s="1"/>
  <c r="P8" i="5"/>
  <c r="P30" i="5" s="1"/>
  <c r="I223" i="9" s="1" a="1"/>
  <c r="I223" i="9" s="1"/>
  <c r="AN223" i="16" s="1"/>
  <c r="I223" i="16" s="1"/>
  <c r="J223" i="16" s="1"/>
  <c r="P223" i="16" s="1"/>
  <c r="P8" i="6"/>
  <c r="P8" i="4"/>
  <c r="P7" i="2"/>
  <c r="P7" i="8"/>
  <c r="P7" i="7"/>
  <c r="P29" i="7" s="1"/>
  <c r="P29" i="8" s="1"/>
  <c r="P7" i="5"/>
  <c r="P29" i="5" s="1"/>
  <c r="I222" i="9" s="1" a="1"/>
  <c r="I222" i="9" s="1"/>
  <c r="AN222" i="16" s="1"/>
  <c r="P7" i="6"/>
  <c r="P7" i="4"/>
  <c r="Q17" i="4"/>
  <c r="Q21" i="5"/>
  <c r="Q21" i="7"/>
  <c r="P21" i="8"/>
  <c r="Q22" i="5"/>
  <c r="Q24" i="7"/>
  <c r="P24" i="8"/>
  <c r="E83" i="9"/>
  <c r="L82" i="9"/>
  <c r="I82" i="9" s="1" a="1"/>
  <c r="I82" i="9" s="1"/>
  <c r="AN82" i="16" s="1"/>
  <c r="L30" i="9"/>
  <c r="I30" i="9" s="1" a="1"/>
  <c r="I30" i="9" s="1"/>
  <c r="AN30" i="16" s="1"/>
  <c r="E31" i="9"/>
  <c r="R24" i="1"/>
  <c r="R24" i="5" s="1"/>
  <c r="Q36" i="1"/>
  <c r="Q13" i="11" s="1"/>
  <c r="Q24" i="2"/>
  <c r="R17" i="1"/>
  <c r="R17" i="11" s="1"/>
  <c r="Q17" i="2"/>
  <c r="Q29" i="1"/>
  <c r="Q6" i="11" s="1"/>
  <c r="R19" i="1"/>
  <c r="Q19" i="2"/>
  <c r="Q31" i="1"/>
  <c r="Q8" i="11" s="1"/>
  <c r="R18" i="1"/>
  <c r="R18" i="11" s="1"/>
  <c r="Q18" i="2"/>
  <c r="Q30" i="1"/>
  <c r="Q7" i="11" s="1"/>
  <c r="R20" i="1"/>
  <c r="R20" i="11" s="1"/>
  <c r="Q32" i="1"/>
  <c r="Q9" i="11" s="1"/>
  <c r="Q20" i="2"/>
  <c r="R23" i="1"/>
  <c r="R23" i="11" s="1"/>
  <c r="Q23" i="2"/>
  <c r="Q35" i="1"/>
  <c r="Q12" i="11" s="1"/>
  <c r="R21" i="1"/>
  <c r="R21" i="11" s="1"/>
  <c r="Q21" i="2"/>
  <c r="Q33" i="1"/>
  <c r="Q10" i="11" s="1"/>
  <c r="R22" i="1"/>
  <c r="R22" i="11" s="1"/>
  <c r="Q22" i="2"/>
  <c r="Q34" i="1"/>
  <c r="Q11" i="11" s="1"/>
  <c r="R213" i="16" l="1"/>
  <c r="T98" i="16"/>
  <c r="U98" i="16" s="1"/>
  <c r="Q226" i="16"/>
  <c r="R226" i="16"/>
  <c r="S226" i="16" s="1"/>
  <c r="Q223" i="16"/>
  <c r="R223" i="16"/>
  <c r="S223" i="16" s="1"/>
  <c r="K223" i="16"/>
  <c r="X223" i="16" s="1"/>
  <c r="T223" i="16"/>
  <c r="U223" i="16" s="1"/>
  <c r="V223" i="16" s="1"/>
  <c r="Z223" i="16" s="1"/>
  <c r="L223" i="16"/>
  <c r="T62" i="16"/>
  <c r="U62" i="16" s="1"/>
  <c r="V62" i="16" s="1"/>
  <c r="Q153" i="16"/>
  <c r="R153" i="16"/>
  <c r="S153" i="16" s="1"/>
  <c r="Q136" i="16"/>
  <c r="R136" i="16"/>
  <c r="T146" i="16"/>
  <c r="U146" i="16" s="1"/>
  <c r="V146" i="16" s="1"/>
  <c r="L146" i="16"/>
  <c r="K146" i="16"/>
  <c r="X146" i="16" s="1"/>
  <c r="Q173" i="16"/>
  <c r="R173" i="16"/>
  <c r="K166" i="16"/>
  <c r="X166" i="16" s="1"/>
  <c r="T166" i="16"/>
  <c r="U166" i="16" s="1"/>
  <c r="L166" i="16"/>
  <c r="K160" i="16"/>
  <c r="X160" i="16" s="1"/>
  <c r="T160" i="16"/>
  <c r="U160" i="16" s="1"/>
  <c r="L160" i="16"/>
  <c r="Q182" i="16"/>
  <c r="R182" i="16"/>
  <c r="Q190" i="16"/>
  <c r="R190" i="16"/>
  <c r="S190" i="16" s="1"/>
  <c r="T88" i="16"/>
  <c r="U88" i="16" s="1"/>
  <c r="T64" i="16"/>
  <c r="U64" i="16" s="1"/>
  <c r="T50" i="16"/>
  <c r="U50" i="16" s="1"/>
  <c r="T10" i="16"/>
  <c r="U10" i="16" s="1"/>
  <c r="V10" i="16" s="1"/>
  <c r="L10" i="16"/>
  <c r="K10" i="16"/>
  <c r="X10" i="16" s="1"/>
  <c r="K193" i="16"/>
  <c r="X193" i="16" s="1"/>
  <c r="T193" i="16"/>
  <c r="U193" i="16" s="1"/>
  <c r="L193" i="16"/>
  <c r="Q175" i="16"/>
  <c r="R175" i="16"/>
  <c r="Q159" i="16"/>
  <c r="R159" i="16"/>
  <c r="Q196" i="16"/>
  <c r="R196" i="16"/>
  <c r="S196" i="16" s="1"/>
  <c r="Q188" i="16"/>
  <c r="R188" i="16"/>
  <c r="Q205" i="16"/>
  <c r="R205" i="16"/>
  <c r="S205" i="16" s="1"/>
  <c r="T43" i="16"/>
  <c r="U43" i="16" s="1"/>
  <c r="V43" i="16" s="1"/>
  <c r="T91" i="16"/>
  <c r="U91" i="16" s="1"/>
  <c r="V91" i="16" s="1"/>
  <c r="T33" i="16"/>
  <c r="U33" i="16" s="1"/>
  <c r="V33" i="16" s="1"/>
  <c r="T65" i="16"/>
  <c r="U65" i="16" s="1"/>
  <c r="V65" i="16" s="1"/>
  <c r="Q27" i="16"/>
  <c r="R27" i="16"/>
  <c r="Q170" i="16"/>
  <c r="R170" i="16"/>
  <c r="Q28" i="16"/>
  <c r="R28" i="16"/>
  <c r="S28" i="16" s="1"/>
  <c r="T71" i="16"/>
  <c r="U71" i="16" s="1"/>
  <c r="V71" i="16" s="1"/>
  <c r="T39" i="16"/>
  <c r="U39" i="16" s="1"/>
  <c r="Q179" i="16"/>
  <c r="R179" i="16"/>
  <c r="I227" i="16"/>
  <c r="J227" i="16" s="1"/>
  <c r="P227" i="16" s="1"/>
  <c r="T191" i="16"/>
  <c r="U191" i="16" s="1"/>
  <c r="K191" i="16"/>
  <c r="X191" i="16" s="1"/>
  <c r="L191" i="16"/>
  <c r="L167" i="16"/>
  <c r="T167" i="16"/>
  <c r="U167" i="16" s="1"/>
  <c r="V167" i="16" s="1"/>
  <c r="K167" i="16"/>
  <c r="X167" i="16" s="1"/>
  <c r="Q9" i="16"/>
  <c r="R9" i="16"/>
  <c r="S9" i="16" s="1"/>
  <c r="Q145" i="16"/>
  <c r="R145" i="16"/>
  <c r="G21" i="16"/>
  <c r="G93" i="16"/>
  <c r="G37" i="16"/>
  <c r="G45" i="16"/>
  <c r="G85" i="16"/>
  <c r="G69" i="16"/>
  <c r="G5" i="16"/>
  <c r="G77" i="16"/>
  <c r="G53" i="16"/>
  <c r="G61" i="16"/>
  <c r="G29" i="16"/>
  <c r="G13" i="16"/>
  <c r="S13" i="16"/>
  <c r="T54" i="16"/>
  <c r="U54" i="16" s="1"/>
  <c r="T78" i="16"/>
  <c r="U78" i="16" s="1"/>
  <c r="V78" i="16" s="1"/>
  <c r="Q177" i="16"/>
  <c r="R177" i="16"/>
  <c r="L14" i="16"/>
  <c r="T14" i="16"/>
  <c r="U14" i="16" s="1"/>
  <c r="K14" i="16"/>
  <c r="X14" i="16" s="1"/>
  <c r="Q169" i="16"/>
  <c r="R169" i="16"/>
  <c r="S169" i="16" s="1"/>
  <c r="Q209" i="16"/>
  <c r="R209" i="16"/>
  <c r="Q176" i="16"/>
  <c r="R176" i="16"/>
  <c r="S176" i="16" s="1"/>
  <c r="Q184" i="16"/>
  <c r="R184" i="16"/>
  <c r="S184" i="16" s="1"/>
  <c r="K210" i="16"/>
  <c r="X210" i="16" s="1"/>
  <c r="T210" i="16"/>
  <c r="U210" i="16" s="1"/>
  <c r="V210" i="16" s="1"/>
  <c r="L210" i="16"/>
  <c r="K138" i="16"/>
  <c r="X138" i="16" s="1"/>
  <c r="T138" i="16"/>
  <c r="U138" i="16" s="1"/>
  <c r="L138" i="16"/>
  <c r="T214" i="16"/>
  <c r="U214" i="16" s="1"/>
  <c r="K214" i="16"/>
  <c r="X214" i="16" s="1"/>
  <c r="L214" i="16"/>
  <c r="T136" i="16"/>
  <c r="U136" i="16" s="1"/>
  <c r="V136" i="16" s="1"/>
  <c r="K136" i="16"/>
  <c r="X136" i="16" s="1"/>
  <c r="L136" i="16"/>
  <c r="Q166" i="16"/>
  <c r="R166" i="16"/>
  <c r="Q142" i="16"/>
  <c r="R142" i="16"/>
  <c r="S142" i="16" s="1"/>
  <c r="T48" i="16"/>
  <c r="U48" i="16" s="1"/>
  <c r="V48" i="16" s="1"/>
  <c r="Q23" i="16"/>
  <c r="R23" i="16"/>
  <c r="Q15" i="16"/>
  <c r="R15" i="16"/>
  <c r="T58" i="16"/>
  <c r="U58" i="16" s="1"/>
  <c r="V58" i="16" s="1"/>
  <c r="T66" i="16"/>
  <c r="U66" i="16" s="1"/>
  <c r="T171" i="16"/>
  <c r="U171" i="16" s="1"/>
  <c r="V171" i="16" s="1"/>
  <c r="L171" i="16"/>
  <c r="K171" i="16"/>
  <c r="X171" i="16" s="1"/>
  <c r="K145" i="16"/>
  <c r="X145" i="16" s="1"/>
  <c r="L145" i="16"/>
  <c r="T145" i="16"/>
  <c r="U145" i="16" s="1"/>
  <c r="T153" i="16"/>
  <c r="U153" i="16" s="1"/>
  <c r="V153" i="16" s="1"/>
  <c r="Z153" i="16" s="1"/>
  <c r="L153" i="16"/>
  <c r="K153" i="16"/>
  <c r="X153" i="16" s="1"/>
  <c r="Q167" i="16"/>
  <c r="R167" i="16"/>
  <c r="Q6" i="16"/>
  <c r="R6" i="16"/>
  <c r="S6" i="16" s="1"/>
  <c r="Q172" i="16"/>
  <c r="R172" i="16"/>
  <c r="S172" i="16" s="1"/>
  <c r="Q212" i="16"/>
  <c r="R212" i="16"/>
  <c r="S212" i="16" s="1"/>
  <c r="T51" i="16"/>
  <c r="U51" i="16" s="1"/>
  <c r="T35" i="16"/>
  <c r="U35" i="16" s="1"/>
  <c r="V35" i="16" s="1"/>
  <c r="L17" i="16"/>
  <c r="K17" i="16"/>
  <c r="X17" i="16" s="1"/>
  <c r="T17" i="16"/>
  <c r="U17" i="16" s="1"/>
  <c r="V17" i="16" s="1"/>
  <c r="T49" i="16"/>
  <c r="U49" i="16" s="1"/>
  <c r="Q20" i="16"/>
  <c r="R20" i="16"/>
  <c r="S149" i="16"/>
  <c r="T23" i="16"/>
  <c r="U23" i="16" s="1"/>
  <c r="V23" i="16" s="1"/>
  <c r="L23" i="16"/>
  <c r="K23" i="16"/>
  <c r="X23" i="16" s="1"/>
  <c r="Q147" i="16"/>
  <c r="R147" i="16"/>
  <c r="S147" i="16" s="1"/>
  <c r="Q171" i="16"/>
  <c r="R171" i="16"/>
  <c r="T159" i="16"/>
  <c r="U159" i="16" s="1"/>
  <c r="L159" i="16"/>
  <c r="K159" i="16"/>
  <c r="X159" i="16" s="1"/>
  <c r="R19" i="6"/>
  <c r="T38" i="16"/>
  <c r="U38" i="16" s="1"/>
  <c r="Q208" i="16"/>
  <c r="R208" i="16"/>
  <c r="Q192" i="16"/>
  <c r="R192" i="16"/>
  <c r="K142" i="16"/>
  <c r="X142" i="16" s="1"/>
  <c r="T142" i="16"/>
  <c r="U142" i="16" s="1"/>
  <c r="V142" i="16" s="1"/>
  <c r="Z142" i="16" s="1"/>
  <c r="L142" i="16"/>
  <c r="G222" i="16"/>
  <c r="L152" i="16"/>
  <c r="T152" i="16"/>
  <c r="U152" i="16" s="1"/>
  <c r="V152" i="16" s="1"/>
  <c r="K152" i="16"/>
  <c r="X152" i="16" s="1"/>
  <c r="Q174" i="16"/>
  <c r="R174" i="16"/>
  <c r="S174" i="16" s="1"/>
  <c r="T72" i="16"/>
  <c r="U72" i="16" s="1"/>
  <c r="V72" i="16" s="1"/>
  <c r="T80" i="16"/>
  <c r="U80" i="16" s="1"/>
  <c r="T74" i="16"/>
  <c r="U74" i="16" s="1"/>
  <c r="V74" i="16" s="1"/>
  <c r="G227" i="16"/>
  <c r="K139" i="16"/>
  <c r="X139" i="16" s="1"/>
  <c r="T139" i="16"/>
  <c r="U139" i="16" s="1"/>
  <c r="V139" i="16" s="1"/>
  <c r="L139" i="16"/>
  <c r="T209" i="16"/>
  <c r="U209" i="16" s="1"/>
  <c r="V209" i="16" s="1"/>
  <c r="K209" i="16"/>
  <c r="X209" i="16" s="1"/>
  <c r="L209" i="16"/>
  <c r="T185" i="16"/>
  <c r="U185" i="16" s="1"/>
  <c r="K185" i="16"/>
  <c r="X185" i="16" s="1"/>
  <c r="L185" i="16"/>
  <c r="Q14" i="16"/>
  <c r="R14" i="16"/>
  <c r="S14" i="16" s="1"/>
  <c r="Q148" i="16"/>
  <c r="R148" i="16"/>
  <c r="S148" i="16" s="1"/>
  <c r="Q140" i="16"/>
  <c r="R140" i="16"/>
  <c r="T57" i="16"/>
  <c r="U57" i="16" s="1"/>
  <c r="Q218" i="16"/>
  <c r="R218" i="16"/>
  <c r="S218" i="16" s="1"/>
  <c r="Q186" i="16"/>
  <c r="R186" i="16"/>
  <c r="S186" i="16" s="1"/>
  <c r="G87" i="16"/>
  <c r="T79" i="16"/>
  <c r="U79" i="16" s="1"/>
  <c r="V79" i="16" s="1"/>
  <c r="Q139" i="16"/>
  <c r="R139" i="16"/>
  <c r="Q187" i="16"/>
  <c r="R187" i="16"/>
  <c r="S187" i="16" s="1"/>
  <c r="G215" i="16"/>
  <c r="Q225" i="16"/>
  <c r="R225" i="16"/>
  <c r="S225" i="16" s="1"/>
  <c r="T30" i="16"/>
  <c r="U30" i="16" s="1"/>
  <c r="Q201" i="16"/>
  <c r="R201" i="16"/>
  <c r="S201" i="16" s="1"/>
  <c r="Q168" i="16"/>
  <c r="R168" i="16"/>
  <c r="S168" i="16" s="1"/>
  <c r="Q144" i="16"/>
  <c r="R144" i="16"/>
  <c r="S144" i="16" s="1"/>
  <c r="K170" i="16"/>
  <c r="X170" i="16" s="1"/>
  <c r="L170" i="16"/>
  <c r="T170" i="16"/>
  <c r="U170" i="16" s="1"/>
  <c r="G226" i="16"/>
  <c r="K134" i="16"/>
  <c r="X134" i="16" s="1"/>
  <c r="T134" i="16"/>
  <c r="U134" i="16" s="1"/>
  <c r="V134" i="16" s="1"/>
  <c r="L134" i="16"/>
  <c r="K176" i="16"/>
  <c r="X176" i="16" s="1"/>
  <c r="L176" i="16"/>
  <c r="T176" i="16"/>
  <c r="U176" i="16" s="1"/>
  <c r="V176" i="16" s="1"/>
  <c r="Z176" i="16" s="1"/>
  <c r="K184" i="16"/>
  <c r="X184" i="16" s="1"/>
  <c r="L184" i="16"/>
  <c r="T184" i="16"/>
  <c r="U184" i="16" s="1"/>
  <c r="I222" i="16"/>
  <c r="J222" i="16" s="1"/>
  <c r="P222" i="16" s="1"/>
  <c r="Q158" i="16"/>
  <c r="R158" i="16"/>
  <c r="Q29" i="16"/>
  <c r="R29" i="16"/>
  <c r="T56" i="16"/>
  <c r="U56" i="16" s="1"/>
  <c r="Q24" i="16"/>
  <c r="R24" i="16"/>
  <c r="K18" i="16"/>
  <c r="X18" i="16" s="1"/>
  <c r="T18" i="16"/>
  <c r="U18" i="16" s="1"/>
  <c r="V18" i="16" s="1"/>
  <c r="L18" i="16"/>
  <c r="S133" i="16"/>
  <c r="K179" i="16"/>
  <c r="X179" i="16" s="1"/>
  <c r="L179" i="16"/>
  <c r="T179" i="16"/>
  <c r="U179" i="16" s="1"/>
  <c r="K155" i="16"/>
  <c r="X155" i="16" s="1"/>
  <c r="T155" i="16"/>
  <c r="U155" i="16" s="1"/>
  <c r="V155" i="16" s="1"/>
  <c r="L155" i="16"/>
  <c r="G225" i="16"/>
  <c r="Q207" i="16"/>
  <c r="R207" i="16"/>
  <c r="S207" i="16" s="1"/>
  <c r="Q22" i="16"/>
  <c r="R22" i="16"/>
  <c r="S22" i="16" s="1"/>
  <c r="L19" i="16"/>
  <c r="K19" i="16"/>
  <c r="X19" i="16" s="1"/>
  <c r="T19" i="16"/>
  <c r="U19" i="16" s="1"/>
  <c r="V19" i="16" s="1"/>
  <c r="T81" i="16"/>
  <c r="U81" i="16" s="1"/>
  <c r="V81" i="16" s="1"/>
  <c r="Q19" i="16"/>
  <c r="R19" i="16"/>
  <c r="Q162" i="16"/>
  <c r="R162" i="16"/>
  <c r="S162" i="16" s="1"/>
  <c r="Q138" i="16"/>
  <c r="R138" i="16"/>
  <c r="S138" i="16" s="1"/>
  <c r="G95" i="16"/>
  <c r="Q219" i="16"/>
  <c r="R219" i="16"/>
  <c r="K135" i="16"/>
  <c r="X135" i="16" s="1"/>
  <c r="T135" i="16"/>
  <c r="U135" i="16" s="1"/>
  <c r="L135" i="16"/>
  <c r="Q25" i="16"/>
  <c r="R25" i="16"/>
  <c r="Q221" i="16"/>
  <c r="R221" i="16"/>
  <c r="S221" i="16" s="1"/>
  <c r="T86" i="16"/>
  <c r="U86" i="16" s="1"/>
  <c r="V86" i="16" s="1"/>
  <c r="K6" i="16"/>
  <c r="X6" i="16" s="1"/>
  <c r="L6" i="16"/>
  <c r="T6" i="16"/>
  <c r="U6" i="16" s="1"/>
  <c r="V6" i="16" s="1"/>
  <c r="Z6" i="16" s="1"/>
  <c r="T46" i="16"/>
  <c r="U46" i="16" s="1"/>
  <c r="Q137" i="16"/>
  <c r="R137" i="16"/>
  <c r="S137" i="16" s="1"/>
  <c r="Q200" i="16"/>
  <c r="R200" i="16"/>
  <c r="T154" i="16"/>
  <c r="U154" i="16" s="1"/>
  <c r="L154" i="16"/>
  <c r="K154" i="16"/>
  <c r="X154" i="16" s="1"/>
  <c r="T182" i="16"/>
  <c r="U182" i="16" s="1"/>
  <c r="V182" i="16" s="1"/>
  <c r="L182" i="16"/>
  <c r="K182" i="16"/>
  <c r="X182" i="16" s="1"/>
  <c r="T190" i="16"/>
  <c r="U190" i="16" s="1"/>
  <c r="L190" i="16"/>
  <c r="K190" i="16"/>
  <c r="X190" i="16" s="1"/>
  <c r="G224" i="16"/>
  <c r="K192" i="16"/>
  <c r="X192" i="16" s="1"/>
  <c r="T192" i="16"/>
  <c r="U192" i="16" s="1"/>
  <c r="V192" i="16" s="1"/>
  <c r="L192" i="16"/>
  <c r="Q206" i="16"/>
  <c r="R206" i="16"/>
  <c r="Q150" i="16"/>
  <c r="R150" i="16"/>
  <c r="T16" i="16"/>
  <c r="U16" i="16" s="1"/>
  <c r="L16" i="16"/>
  <c r="K16" i="16"/>
  <c r="X16" i="16" s="1"/>
  <c r="G96" i="16"/>
  <c r="T90" i="16"/>
  <c r="U90" i="16" s="1"/>
  <c r="V90" i="16" s="1"/>
  <c r="L26" i="16"/>
  <c r="K26" i="16"/>
  <c r="X26" i="16" s="1"/>
  <c r="T26" i="16"/>
  <c r="U26" i="16" s="1"/>
  <c r="V26" i="16" s="1"/>
  <c r="K219" i="16"/>
  <c r="X219" i="16" s="1"/>
  <c r="T219" i="16"/>
  <c r="U219" i="16" s="1"/>
  <c r="V219" i="16" s="1"/>
  <c r="L219" i="16"/>
  <c r="K163" i="16"/>
  <c r="X163" i="16" s="1"/>
  <c r="T163" i="16"/>
  <c r="U163" i="16" s="1"/>
  <c r="L163" i="16"/>
  <c r="K137" i="16"/>
  <c r="X137" i="16" s="1"/>
  <c r="T137" i="16"/>
  <c r="U137" i="16" s="1"/>
  <c r="L137" i="16"/>
  <c r="Q191" i="16"/>
  <c r="R191" i="16"/>
  <c r="S191" i="16" s="1"/>
  <c r="Q135" i="16"/>
  <c r="R135" i="16"/>
  <c r="I30" i="16"/>
  <c r="J30" i="16" s="1"/>
  <c r="P30" i="16" s="1"/>
  <c r="Q156" i="16"/>
  <c r="R156" i="16"/>
  <c r="S156" i="16" s="1"/>
  <c r="Q220" i="16"/>
  <c r="R220" i="16"/>
  <c r="S220" i="16" s="1"/>
  <c r="T27" i="16"/>
  <c r="U27" i="16" s="1"/>
  <c r="L27" i="16"/>
  <c r="K27" i="16"/>
  <c r="X27" i="16" s="1"/>
  <c r="T67" i="16"/>
  <c r="U67" i="16" s="1"/>
  <c r="V67" i="16" s="1"/>
  <c r="T73" i="16"/>
  <c r="U73" i="16" s="1"/>
  <c r="T89" i="16"/>
  <c r="U89" i="16" s="1"/>
  <c r="Q194" i="16"/>
  <c r="R194" i="16"/>
  <c r="S194" i="16" s="1"/>
  <c r="Q178" i="16"/>
  <c r="R178" i="16"/>
  <c r="S178" i="16" s="1"/>
  <c r="T55" i="16"/>
  <c r="U55" i="16" s="1"/>
  <c r="T63" i="16"/>
  <c r="U63" i="16" s="1"/>
  <c r="V63" i="16" s="1"/>
  <c r="Q211" i="16"/>
  <c r="R211" i="16"/>
  <c r="S211" i="16" s="1"/>
  <c r="Q26" i="16"/>
  <c r="R26" i="16"/>
  <c r="S26" i="16" s="1"/>
  <c r="Q10" i="16"/>
  <c r="Y10" i="16" s="1"/>
  <c r="AG10" i="16" s="1"/>
  <c r="R10" i="16"/>
  <c r="L207" i="16"/>
  <c r="T207" i="16"/>
  <c r="U207" i="16" s="1"/>
  <c r="K207" i="16"/>
  <c r="X207" i="16" s="1"/>
  <c r="S213" i="16"/>
  <c r="Q193" i="16"/>
  <c r="R193" i="16"/>
  <c r="G133" i="16"/>
  <c r="G173" i="16"/>
  <c r="G221" i="16"/>
  <c r="G205" i="16"/>
  <c r="G189" i="16"/>
  <c r="G157" i="16"/>
  <c r="G141" i="16"/>
  <c r="G165" i="16"/>
  <c r="G181" i="16"/>
  <c r="G197" i="16"/>
  <c r="G149" i="16"/>
  <c r="G213" i="16"/>
  <c r="K22" i="16"/>
  <c r="X22" i="16" s="1"/>
  <c r="T22" i="16"/>
  <c r="U22" i="16" s="1"/>
  <c r="L22" i="16"/>
  <c r="T70" i="16"/>
  <c r="U70" i="16" s="1"/>
  <c r="Q217" i="16"/>
  <c r="R217" i="16"/>
  <c r="Q161" i="16"/>
  <c r="R161" i="16"/>
  <c r="Q152" i="16"/>
  <c r="R152" i="16"/>
  <c r="Q216" i="16"/>
  <c r="R216" i="16"/>
  <c r="S216" i="16" s="1"/>
  <c r="K202" i="16"/>
  <c r="X202" i="16" s="1"/>
  <c r="T202" i="16"/>
  <c r="U202" i="16" s="1"/>
  <c r="L202" i="16"/>
  <c r="L194" i="16"/>
  <c r="T194" i="16"/>
  <c r="U194" i="16" s="1"/>
  <c r="K194" i="16"/>
  <c r="X194" i="16" s="1"/>
  <c r="K198" i="16"/>
  <c r="X198" i="16" s="1"/>
  <c r="T198" i="16"/>
  <c r="U198" i="16" s="1"/>
  <c r="V198" i="16" s="1"/>
  <c r="L198" i="16"/>
  <c r="K208" i="16"/>
  <c r="X208" i="16" s="1"/>
  <c r="T208" i="16"/>
  <c r="U208" i="16" s="1"/>
  <c r="L208" i="16"/>
  <c r="Q214" i="16"/>
  <c r="R214" i="16"/>
  <c r="Q189" i="16"/>
  <c r="R189" i="16"/>
  <c r="T24" i="16"/>
  <c r="U24" i="16" s="1"/>
  <c r="L24" i="16"/>
  <c r="K24" i="16"/>
  <c r="X24" i="16" s="1"/>
  <c r="T32" i="16"/>
  <c r="U32" i="16" s="1"/>
  <c r="Q8" i="16"/>
  <c r="R8" i="16"/>
  <c r="S8" i="16" s="1"/>
  <c r="T42" i="16"/>
  <c r="U42" i="16" s="1"/>
  <c r="V42" i="16" s="1"/>
  <c r="L211" i="16"/>
  <c r="T211" i="16"/>
  <c r="U211" i="16" s="1"/>
  <c r="V211" i="16" s="1"/>
  <c r="Z211" i="16" s="1"/>
  <c r="K211" i="16"/>
  <c r="X211" i="16" s="1"/>
  <c r="K203" i="16"/>
  <c r="X203" i="16" s="1"/>
  <c r="T203" i="16"/>
  <c r="U203" i="16" s="1"/>
  <c r="V203" i="16" s="1"/>
  <c r="L203" i="16"/>
  <c r="K177" i="16"/>
  <c r="X177" i="16" s="1"/>
  <c r="T177" i="16"/>
  <c r="U177" i="16" s="1"/>
  <c r="L177" i="16"/>
  <c r="Q143" i="16"/>
  <c r="R143" i="16"/>
  <c r="S143" i="16" s="1"/>
  <c r="Q183" i="16"/>
  <c r="R183" i="16"/>
  <c r="S183" i="16" s="1"/>
  <c r="I228" i="16"/>
  <c r="J228" i="16" s="1"/>
  <c r="P228" i="16" s="1"/>
  <c r="G99" i="16"/>
  <c r="K11" i="16"/>
  <c r="X11" i="16" s="1"/>
  <c r="L11" i="16"/>
  <c r="T11" i="16"/>
  <c r="U11" i="16" s="1"/>
  <c r="T41" i="16"/>
  <c r="U41" i="16" s="1"/>
  <c r="L9" i="16"/>
  <c r="T9" i="16"/>
  <c r="U9" i="16" s="1"/>
  <c r="V9" i="16" s="1"/>
  <c r="Z9" i="16" s="1"/>
  <c r="K9" i="16"/>
  <c r="X9" i="16" s="1"/>
  <c r="Q210" i="16"/>
  <c r="R210" i="16"/>
  <c r="S210" i="16" s="1"/>
  <c r="Q146" i="16"/>
  <c r="R146" i="16"/>
  <c r="S146" i="16" s="1"/>
  <c r="Q12" i="16"/>
  <c r="R12" i="16"/>
  <c r="S12" i="16" s="1"/>
  <c r="T15" i="16"/>
  <c r="U15" i="16" s="1"/>
  <c r="V15" i="16" s="1"/>
  <c r="L15" i="16"/>
  <c r="K15" i="16"/>
  <c r="X15" i="16" s="1"/>
  <c r="T31" i="16"/>
  <c r="U31" i="16" s="1"/>
  <c r="V31" i="16" s="1"/>
  <c r="Q163" i="16"/>
  <c r="R163" i="16"/>
  <c r="S163" i="16" s="1"/>
  <c r="Q18" i="16"/>
  <c r="R18" i="16"/>
  <c r="K175" i="16"/>
  <c r="X175" i="16" s="1"/>
  <c r="T175" i="16"/>
  <c r="U175" i="16" s="1"/>
  <c r="V175" i="16" s="1"/>
  <c r="L175" i="16"/>
  <c r="K143" i="16"/>
  <c r="X143" i="16" s="1"/>
  <c r="T143" i="16"/>
  <c r="U143" i="16" s="1"/>
  <c r="V143" i="16" s="1"/>
  <c r="L143" i="16"/>
  <c r="I224" i="16"/>
  <c r="J224" i="16" s="1"/>
  <c r="P224" i="16" s="1"/>
  <c r="T186" i="16"/>
  <c r="U186" i="16" s="1"/>
  <c r="K186" i="16"/>
  <c r="X186" i="16" s="1"/>
  <c r="L186" i="16"/>
  <c r="T218" i="16"/>
  <c r="U218" i="16" s="1"/>
  <c r="K218" i="16"/>
  <c r="X218" i="16" s="1"/>
  <c r="L218" i="16"/>
  <c r="T158" i="16"/>
  <c r="U158" i="16" s="1"/>
  <c r="L158" i="16"/>
  <c r="K158" i="16"/>
  <c r="X158" i="16" s="1"/>
  <c r="L206" i="16"/>
  <c r="K206" i="16"/>
  <c r="X206" i="16" s="1"/>
  <c r="T206" i="16"/>
  <c r="U206" i="16" s="1"/>
  <c r="V206" i="16" s="1"/>
  <c r="T168" i="16"/>
  <c r="U168" i="16" s="1"/>
  <c r="V168" i="16" s="1"/>
  <c r="K168" i="16"/>
  <c r="X168" i="16" s="1"/>
  <c r="L168" i="16"/>
  <c r="K144" i="16"/>
  <c r="X144" i="16" s="1"/>
  <c r="L144" i="16"/>
  <c r="T144" i="16"/>
  <c r="U144" i="16" s="1"/>
  <c r="V144" i="16" s="1"/>
  <c r="Q134" i="16"/>
  <c r="Y134" i="16" s="1"/>
  <c r="AG134" i="16" s="1"/>
  <c r="R134" i="16"/>
  <c r="S134" i="16" s="1"/>
  <c r="L8" i="16"/>
  <c r="T8" i="16"/>
  <c r="U8" i="16" s="1"/>
  <c r="V8" i="16" s="1"/>
  <c r="Z8" i="16" s="1"/>
  <c r="K8" i="16"/>
  <c r="X8" i="16" s="1"/>
  <c r="T34" i="16"/>
  <c r="U34" i="16" s="1"/>
  <c r="K187" i="16"/>
  <c r="X187" i="16" s="1"/>
  <c r="L187" i="16"/>
  <c r="T187" i="16"/>
  <c r="U187" i="16" s="1"/>
  <c r="K201" i="16"/>
  <c r="X201" i="16" s="1"/>
  <c r="T201" i="16"/>
  <c r="U201" i="16" s="1"/>
  <c r="L201" i="16"/>
  <c r="K217" i="16"/>
  <c r="X217" i="16" s="1"/>
  <c r="T217" i="16"/>
  <c r="U217" i="16" s="1"/>
  <c r="L217" i="16"/>
  <c r="Q215" i="16"/>
  <c r="R215" i="16"/>
  <c r="Q151" i="16"/>
  <c r="R151" i="16"/>
  <c r="S151" i="16" s="1"/>
  <c r="Q180" i="16"/>
  <c r="R180" i="16"/>
  <c r="T75" i="16"/>
  <c r="U75" i="16" s="1"/>
  <c r="V75" i="16" s="1"/>
  <c r="G97" i="16"/>
  <c r="Q11" i="16"/>
  <c r="R11" i="16"/>
  <c r="S11" i="16" s="1"/>
  <c r="Q154" i="16"/>
  <c r="R154" i="16"/>
  <c r="S154" i="16" s="1"/>
  <c r="Q165" i="16"/>
  <c r="R165" i="16"/>
  <c r="S165" i="16" s="1"/>
  <c r="T47" i="16"/>
  <c r="U47" i="16" s="1"/>
  <c r="V47" i="16" s="1"/>
  <c r="Q155" i="16"/>
  <c r="R155" i="16"/>
  <c r="S155" i="16" s="1"/>
  <c r="Q203" i="16"/>
  <c r="R203" i="16"/>
  <c r="S203" i="16" s="1"/>
  <c r="K151" i="16"/>
  <c r="X151" i="16" s="1"/>
  <c r="T151" i="16"/>
  <c r="U151" i="16" s="1"/>
  <c r="V151" i="16" s="1"/>
  <c r="L151" i="16"/>
  <c r="Q17" i="16"/>
  <c r="Y17" i="16" s="1"/>
  <c r="AG17" i="16" s="1"/>
  <c r="R17" i="16"/>
  <c r="T94" i="16"/>
  <c r="U94" i="16" s="1"/>
  <c r="V94" i="16" s="1"/>
  <c r="Q185" i="16"/>
  <c r="R185" i="16"/>
  <c r="S185" i="16" s="1"/>
  <c r="Q160" i="16"/>
  <c r="R160" i="16"/>
  <c r="S160" i="16" s="1"/>
  <c r="K178" i="16"/>
  <c r="X178" i="16" s="1"/>
  <c r="T178" i="16"/>
  <c r="U178" i="16" s="1"/>
  <c r="L178" i="16"/>
  <c r="T162" i="16"/>
  <c r="U162" i="16" s="1"/>
  <c r="K162" i="16"/>
  <c r="X162" i="16" s="1"/>
  <c r="L162" i="16"/>
  <c r="T150" i="16"/>
  <c r="U150" i="16" s="1"/>
  <c r="V150" i="16" s="1"/>
  <c r="L150" i="16"/>
  <c r="K150" i="16"/>
  <c r="X150" i="16" s="1"/>
  <c r="K174" i="16"/>
  <c r="X174" i="16" s="1"/>
  <c r="T174" i="16"/>
  <c r="U174" i="16" s="1"/>
  <c r="L174" i="16"/>
  <c r="T216" i="16"/>
  <c r="U216" i="16" s="1"/>
  <c r="V216" i="16" s="1"/>
  <c r="Z216" i="16" s="1"/>
  <c r="K216" i="16"/>
  <c r="X216" i="16" s="1"/>
  <c r="L216" i="16"/>
  <c r="T200" i="16"/>
  <c r="U200" i="16" s="1"/>
  <c r="K200" i="16"/>
  <c r="X200" i="16" s="1"/>
  <c r="L200" i="16"/>
  <c r="Q198" i="16"/>
  <c r="R198" i="16"/>
  <c r="S198" i="16" s="1"/>
  <c r="T40" i="16"/>
  <c r="U40" i="16" s="1"/>
  <c r="V40" i="16" s="1"/>
  <c r="Q7" i="16"/>
  <c r="R7" i="16"/>
  <c r="Q16" i="16"/>
  <c r="R16" i="16"/>
  <c r="S16" i="16" s="1"/>
  <c r="T82" i="16"/>
  <c r="U82" i="16" s="1"/>
  <c r="V82" i="16" s="1"/>
  <c r="L195" i="16"/>
  <c r="T195" i="16"/>
  <c r="U195" i="16" s="1"/>
  <c r="K195" i="16"/>
  <c r="X195" i="16" s="1"/>
  <c r="L147" i="16"/>
  <c r="T147" i="16"/>
  <c r="U147" i="16" s="1"/>
  <c r="V147" i="16" s="1"/>
  <c r="Z147" i="16" s="1"/>
  <c r="K147" i="16"/>
  <c r="X147" i="16" s="1"/>
  <c r="K169" i="16"/>
  <c r="X169" i="16" s="1"/>
  <c r="L169" i="16"/>
  <c r="T169" i="16"/>
  <c r="U169" i="16" s="1"/>
  <c r="V169" i="16" s="1"/>
  <c r="T161" i="16"/>
  <c r="U161" i="16" s="1"/>
  <c r="K161" i="16"/>
  <c r="X161" i="16" s="1"/>
  <c r="L161" i="16"/>
  <c r="Q199" i="16"/>
  <c r="R199" i="16"/>
  <c r="S199" i="16" s="1"/>
  <c r="Q204" i="16"/>
  <c r="R204" i="16"/>
  <c r="S204" i="16" s="1"/>
  <c r="Q164" i="16"/>
  <c r="R164" i="16"/>
  <c r="S164" i="16" s="1"/>
  <c r="Q197" i="16"/>
  <c r="R197" i="16"/>
  <c r="T83" i="16"/>
  <c r="U83" i="16" s="1"/>
  <c r="V83" i="16" s="1"/>
  <c r="T59" i="16"/>
  <c r="U59" i="16" s="1"/>
  <c r="V59" i="16" s="1"/>
  <c r="L25" i="16"/>
  <c r="T25" i="16"/>
  <c r="U25" i="16" s="1"/>
  <c r="V25" i="16" s="1"/>
  <c r="K25" i="16"/>
  <c r="X25" i="16" s="1"/>
  <c r="Q202" i="16"/>
  <c r="R202" i="16"/>
  <c r="S202" i="16" s="1"/>
  <c r="T7" i="16"/>
  <c r="U7" i="16" s="1"/>
  <c r="L7" i="16"/>
  <c r="K7" i="16"/>
  <c r="X7" i="16" s="1"/>
  <c r="Q195" i="16"/>
  <c r="R195" i="16"/>
  <c r="S195" i="16" s="1"/>
  <c r="L199" i="16"/>
  <c r="K199" i="16"/>
  <c r="X199" i="16" s="1"/>
  <c r="T199" i="16"/>
  <c r="U199" i="16" s="1"/>
  <c r="V199" i="16" s="1"/>
  <c r="T183" i="16"/>
  <c r="U183" i="16" s="1"/>
  <c r="V183" i="16" s="1"/>
  <c r="L183" i="16"/>
  <c r="K183" i="16"/>
  <c r="X183" i="16" s="1"/>
  <c r="Q35" i="12"/>
  <c r="G233" i="9" a="1"/>
  <c r="G233" i="9" s="1"/>
  <c r="AL233" i="16" s="1"/>
  <c r="G105" i="9" a="1"/>
  <c r="G105" i="9" s="1"/>
  <c r="AL105" i="16" s="1"/>
  <c r="G235" i="9" a="1"/>
  <c r="G235" i="9" s="1"/>
  <c r="AL235" i="16" s="1"/>
  <c r="G235" i="16" s="1"/>
  <c r="G107" i="9" a="1"/>
  <c r="G107" i="9" s="1"/>
  <c r="AL107" i="16" s="1"/>
  <c r="G107" i="16" s="1"/>
  <c r="G140" i="9" a="1"/>
  <c r="G140" i="9" s="1"/>
  <c r="AL140" i="16" s="1"/>
  <c r="G12" i="9" a="1"/>
  <c r="G12" i="9" s="1"/>
  <c r="AL12" i="16" s="1"/>
  <c r="G44" i="9" a="1"/>
  <c r="G44" i="9" s="1"/>
  <c r="AL44" i="16" s="1"/>
  <c r="G172" i="9" a="1"/>
  <c r="G172" i="9" s="1"/>
  <c r="AL172" i="16" s="1"/>
  <c r="S29" i="11"/>
  <c r="R18" i="12"/>
  <c r="R29" i="12" s="1"/>
  <c r="G20" i="9" a="1"/>
  <c r="G20" i="9" s="1"/>
  <c r="AL20" i="16" s="1"/>
  <c r="G148" i="9" a="1"/>
  <c r="G148" i="9" s="1"/>
  <c r="AL148" i="16" s="1"/>
  <c r="S32" i="11"/>
  <c r="R21" i="12"/>
  <c r="R32" i="12" s="1"/>
  <c r="R10" i="13" s="1"/>
  <c r="R32" i="13" s="1"/>
  <c r="S34" i="11"/>
  <c r="R23" i="12"/>
  <c r="R34" i="12" s="1"/>
  <c r="R12" i="13" s="1"/>
  <c r="R34" i="13" s="1"/>
  <c r="G109" i="9" a="1"/>
  <c r="G109" i="9" s="1"/>
  <c r="AL109" i="16" s="1"/>
  <c r="G237" i="9" a="1"/>
  <c r="G237" i="9" s="1"/>
  <c r="AL237" i="16" s="1"/>
  <c r="G231" i="9" a="1"/>
  <c r="G231" i="9" s="1"/>
  <c r="AL231" i="16" s="1"/>
  <c r="G231" i="16" s="1"/>
  <c r="G103" i="9" a="1"/>
  <c r="G103" i="9" s="1"/>
  <c r="AL103" i="16" s="1"/>
  <c r="G234" i="9" a="1"/>
  <c r="G234" i="9" s="1"/>
  <c r="AL234" i="16" s="1"/>
  <c r="G106" i="9" a="1"/>
  <c r="G106" i="9" s="1"/>
  <c r="AL106" i="16" s="1"/>
  <c r="G106" i="16" s="1"/>
  <c r="T28" i="11"/>
  <c r="T17" i="12" s="1"/>
  <c r="T28" i="12" s="1"/>
  <c r="S17" i="12"/>
  <c r="S28" i="12" s="1"/>
  <c r="S6" i="13" s="1"/>
  <c r="S28" i="13" s="1"/>
  <c r="S30" i="11"/>
  <c r="R19" i="12"/>
  <c r="R30" i="12" s="1"/>
  <c r="R8" i="13" s="1"/>
  <c r="R30" i="13" s="1"/>
  <c r="G232" i="9" a="1"/>
  <c r="G232" i="9" s="1"/>
  <c r="AL232" i="16" s="1"/>
  <c r="G104" i="9" a="1"/>
  <c r="G104" i="9" s="1"/>
  <c r="AL104" i="16" s="1"/>
  <c r="G104" i="16" s="1"/>
  <c r="G228" i="9" a="1"/>
  <c r="G228" i="9" s="1"/>
  <c r="AL228" i="16" s="1"/>
  <c r="G100" i="9" a="1"/>
  <c r="G100" i="9" s="1"/>
  <c r="AL100" i="16" s="1"/>
  <c r="R22" i="2"/>
  <c r="R18" i="2"/>
  <c r="G204" i="9" a="1"/>
  <c r="G204" i="9" s="1"/>
  <c r="AL204" i="16" s="1"/>
  <c r="G76" i="9" a="1"/>
  <c r="G76" i="9" s="1"/>
  <c r="AL76" i="16" s="1"/>
  <c r="R19" i="11"/>
  <c r="S33" i="11"/>
  <c r="R22" i="12"/>
  <c r="R33" i="12" s="1"/>
  <c r="R11" i="13" s="1"/>
  <c r="R33" i="13" s="1"/>
  <c r="G230" i="9" a="1"/>
  <c r="G230" i="9" s="1"/>
  <c r="AL230" i="16" s="1"/>
  <c r="G230" i="16" s="1"/>
  <c r="G102" i="9" a="1"/>
  <c r="G102" i="9" s="1"/>
  <c r="AL102" i="16" s="1"/>
  <c r="G102" i="16" s="1"/>
  <c r="G60" i="9" a="1"/>
  <c r="G60" i="9" s="1"/>
  <c r="AL60" i="16" s="1"/>
  <c r="G188" i="9" a="1"/>
  <c r="G188" i="9" s="1"/>
  <c r="AL188" i="16" s="1"/>
  <c r="S31" i="11"/>
  <c r="R20" i="12"/>
  <c r="R31" i="12" s="1"/>
  <c r="R9" i="13" s="1"/>
  <c r="R31" i="13" s="1"/>
  <c r="R24" i="11"/>
  <c r="G229" i="9" a="1"/>
  <c r="G229" i="9" s="1"/>
  <c r="AL229" i="16" s="1"/>
  <c r="G229" i="16" s="1"/>
  <c r="Q35" i="13"/>
  <c r="G101" i="9" a="1"/>
  <c r="G101" i="9" s="1"/>
  <c r="AL101" i="16" s="1"/>
  <c r="G101" i="16" s="1"/>
  <c r="R20" i="2"/>
  <c r="R24" i="2"/>
  <c r="R23" i="2"/>
  <c r="R17" i="2"/>
  <c r="R24" i="4"/>
  <c r="R22" i="5"/>
  <c r="R18" i="5"/>
  <c r="R22" i="7"/>
  <c r="Q22" i="8"/>
  <c r="R19" i="4"/>
  <c r="R18" i="7"/>
  <c r="Q18" i="8"/>
  <c r="R23" i="5"/>
  <c r="R20" i="6"/>
  <c r="Q12" i="2"/>
  <c r="Q12" i="8"/>
  <c r="Q12" i="7"/>
  <c r="Q34" i="7" s="1"/>
  <c r="Q34" i="8" s="1"/>
  <c r="Q12" i="6"/>
  <c r="Q12" i="4"/>
  <c r="Q12" i="5"/>
  <c r="Q34" i="5" s="1"/>
  <c r="I235" i="9" s="1" a="1"/>
  <c r="I235" i="9" s="1"/>
  <c r="AN235" i="16" s="1"/>
  <c r="Q9" i="2"/>
  <c r="Q9" i="8"/>
  <c r="Q9" i="7"/>
  <c r="Q31" i="7" s="1"/>
  <c r="Q31" i="8" s="1"/>
  <c r="Q9" i="5"/>
  <c r="Q31" i="5" s="1"/>
  <c r="I232" i="9" s="1" a="1"/>
  <c r="I232" i="9" s="1"/>
  <c r="AN232" i="16" s="1"/>
  <c r="Q9" i="6"/>
  <c r="Q9" i="4"/>
  <c r="Q6" i="2"/>
  <c r="Q6" i="7"/>
  <c r="Q28" i="7" s="1"/>
  <c r="Q28" i="8" s="1"/>
  <c r="Q6" i="8"/>
  <c r="Q6" i="6"/>
  <c r="Q6" i="5"/>
  <c r="Q28" i="5" s="1"/>
  <c r="I229" i="9" s="1" a="1"/>
  <c r="I229" i="9" s="1"/>
  <c r="AN229" i="16" s="1"/>
  <c r="I229" i="16" s="1"/>
  <c r="J229" i="16" s="1"/>
  <c r="P229" i="16" s="1"/>
  <c r="Q6" i="4"/>
  <c r="Q13" i="2"/>
  <c r="Q13" i="8"/>
  <c r="Q13" i="7"/>
  <c r="Q35" i="7" s="1"/>
  <c r="Q35" i="8" s="1"/>
  <c r="Q13" i="6"/>
  <c r="Q13" i="5"/>
  <c r="Q35" i="5" s="1"/>
  <c r="I236" i="9" s="1" a="1"/>
  <c r="I236" i="9" s="1"/>
  <c r="AN236" i="16" s="1"/>
  <c r="Q13" i="4"/>
  <c r="R21" i="5"/>
  <c r="R23" i="7"/>
  <c r="Q23" i="8"/>
  <c r="R17" i="5"/>
  <c r="R22" i="4"/>
  <c r="R22" i="6"/>
  <c r="R24" i="6"/>
  <c r="R20" i="4"/>
  <c r="R18" i="4"/>
  <c r="R18" i="6"/>
  <c r="Q10" i="2"/>
  <c r="Q10" i="8"/>
  <c r="Q10" i="7"/>
  <c r="Q32" i="7" s="1"/>
  <c r="Q32" i="8" s="1"/>
  <c r="Q10" i="6"/>
  <c r="Q10" i="4"/>
  <c r="Q10" i="5"/>
  <c r="Q32" i="5" s="1"/>
  <c r="I233" i="9" s="1" a="1"/>
  <c r="I233" i="9" s="1"/>
  <c r="AN233" i="16" s="1"/>
  <c r="Q8" i="2"/>
  <c r="Q8" i="8"/>
  <c r="Q8" i="7"/>
  <c r="Q30" i="7" s="1"/>
  <c r="Q30" i="8" s="1"/>
  <c r="Q8" i="6"/>
  <c r="Q8" i="4"/>
  <c r="Q8" i="5"/>
  <c r="Q30" i="5" s="1"/>
  <c r="I231" i="9" s="1" a="1"/>
  <c r="I231" i="9" s="1"/>
  <c r="AN231" i="16" s="1"/>
  <c r="R24" i="7"/>
  <c r="Q24" i="8"/>
  <c r="R17" i="4"/>
  <c r="R20" i="7"/>
  <c r="Q20" i="8"/>
  <c r="R20" i="5"/>
  <c r="R23" i="4"/>
  <c r="R23" i="6"/>
  <c r="R17" i="6"/>
  <c r="Q11" i="2"/>
  <c r="Q11" i="8"/>
  <c r="Q11" i="7"/>
  <c r="Q33" i="7" s="1"/>
  <c r="Q33" i="8" s="1"/>
  <c r="Q11" i="6"/>
  <c r="Q11" i="5"/>
  <c r="Q33" i="5" s="1"/>
  <c r="I234" i="9" s="1" a="1"/>
  <c r="I234" i="9" s="1"/>
  <c r="AN234" i="16" s="1"/>
  <c r="Q11" i="4"/>
  <c r="Q7" i="2"/>
  <c r="Q7" i="8"/>
  <c r="Q7" i="7"/>
  <c r="Q29" i="7" s="1"/>
  <c r="Q29" i="8" s="1"/>
  <c r="Q7" i="5"/>
  <c r="Q29" i="5" s="1"/>
  <c r="I230" i="9" s="1" a="1"/>
  <c r="I230" i="9" s="1"/>
  <c r="AN230" i="16" s="1"/>
  <c r="I230" i="16" s="1"/>
  <c r="J230" i="16" s="1"/>
  <c r="P230" i="16" s="1"/>
  <c r="Q7" i="6"/>
  <c r="Q7" i="4"/>
  <c r="R21" i="7"/>
  <c r="Q21" i="8"/>
  <c r="R19" i="5"/>
  <c r="R17" i="7"/>
  <c r="Q17" i="8"/>
  <c r="R21" i="6"/>
  <c r="R19" i="7"/>
  <c r="Q19" i="8"/>
  <c r="R21" i="4"/>
  <c r="L83" i="9"/>
  <c r="I83" i="9" s="1" a="1"/>
  <c r="I83" i="9" s="1"/>
  <c r="AN83" i="16" s="1"/>
  <c r="E84" i="9"/>
  <c r="E32" i="9"/>
  <c r="L31" i="9"/>
  <c r="I31" i="9" s="1" a="1"/>
  <c r="I31" i="9" s="1"/>
  <c r="AN31" i="16" s="1"/>
  <c r="R21" i="2"/>
  <c r="S23" i="1"/>
  <c r="S23" i="11" s="1"/>
  <c r="R35" i="1"/>
  <c r="R12" i="11" s="1"/>
  <c r="R19" i="2"/>
  <c r="S17" i="1"/>
  <c r="S17" i="11" s="1"/>
  <c r="R29" i="1"/>
  <c r="R6" i="11" s="1"/>
  <c r="S21" i="1"/>
  <c r="S21" i="11" s="1"/>
  <c r="R33" i="1"/>
  <c r="R10" i="11" s="1"/>
  <c r="S19" i="1"/>
  <c r="S19" i="6" s="1"/>
  <c r="R31" i="1"/>
  <c r="R8" i="11" s="1"/>
  <c r="S22" i="1"/>
  <c r="R34" i="1"/>
  <c r="R11" i="11" s="1"/>
  <c r="S18" i="1"/>
  <c r="S18" i="11" s="1"/>
  <c r="R30" i="1"/>
  <c r="R7" i="11" s="1"/>
  <c r="S20" i="1"/>
  <c r="S20" i="11" s="1"/>
  <c r="R32" i="1"/>
  <c r="R9" i="11" s="1"/>
  <c r="S24" i="1"/>
  <c r="R36" i="1"/>
  <c r="R13" i="11" s="1"/>
  <c r="Z169" i="16" l="1"/>
  <c r="Y155" i="16"/>
  <c r="AG155" i="16" s="1"/>
  <c r="Z168" i="16"/>
  <c r="Y152" i="16"/>
  <c r="AG152" i="16" s="1"/>
  <c r="Y18" i="16"/>
  <c r="AG18" i="16" s="1"/>
  <c r="Y198" i="16"/>
  <c r="AG198" i="16" s="1"/>
  <c r="Y146" i="16"/>
  <c r="AG146" i="16" s="1"/>
  <c r="Y210" i="16"/>
  <c r="AG210" i="16" s="1"/>
  <c r="Z183" i="16"/>
  <c r="AH183" i="16" s="1"/>
  <c r="AI183" i="16" s="1"/>
  <c r="L30" i="16"/>
  <c r="Y171" i="16"/>
  <c r="AG171" i="16" s="1"/>
  <c r="Y139" i="16"/>
  <c r="AG139" i="16" s="1"/>
  <c r="Y19" i="16"/>
  <c r="AG19" i="16" s="1"/>
  <c r="Y23" i="16"/>
  <c r="AG23" i="16" s="1"/>
  <c r="Z143" i="16"/>
  <c r="AA143" i="16" s="1"/>
  <c r="Y167" i="16"/>
  <c r="AG167" i="16" s="1"/>
  <c r="Y9" i="16"/>
  <c r="AG9" i="16" s="1"/>
  <c r="Y203" i="16"/>
  <c r="AG203" i="16" s="1"/>
  <c r="Y26" i="16"/>
  <c r="AG26" i="16" s="1"/>
  <c r="Y223" i="16"/>
  <c r="AG223" i="16" s="1"/>
  <c r="Y150" i="16"/>
  <c r="AG150" i="16" s="1"/>
  <c r="Y219" i="16"/>
  <c r="AG219" i="16" s="1"/>
  <c r="K30" i="16"/>
  <c r="X30" i="16" s="1"/>
  <c r="Y183" i="16"/>
  <c r="AG183" i="16" s="1"/>
  <c r="T101" i="16"/>
  <c r="U101" i="16" s="1"/>
  <c r="V101" i="16" s="1"/>
  <c r="T102" i="16"/>
  <c r="U102" i="16" s="1"/>
  <c r="Q229" i="16"/>
  <c r="R229" i="16"/>
  <c r="T230" i="16"/>
  <c r="U230" i="16" s="1"/>
  <c r="K230" i="16"/>
  <c r="X230" i="16" s="1"/>
  <c r="L230" i="16"/>
  <c r="T106" i="16"/>
  <c r="U106" i="16" s="1"/>
  <c r="T229" i="16"/>
  <c r="U229" i="16" s="1"/>
  <c r="V229" i="16" s="1"/>
  <c r="L229" i="16"/>
  <c r="K229" i="16"/>
  <c r="X229" i="16" s="1"/>
  <c r="T107" i="16"/>
  <c r="U107" i="16" s="1"/>
  <c r="V107" i="16" s="1"/>
  <c r="V51" i="16"/>
  <c r="V54" i="16"/>
  <c r="V88" i="16"/>
  <c r="S197" i="16"/>
  <c r="Y199" i="16"/>
  <c r="AG199" i="16" s="1"/>
  <c r="AH147" i="16"/>
  <c r="AI147" i="16" s="1"/>
  <c r="AA147" i="16"/>
  <c r="Y174" i="16"/>
  <c r="AG174" i="16" s="1"/>
  <c r="V174" i="16"/>
  <c r="Z174" i="16" s="1"/>
  <c r="Y151" i="16"/>
  <c r="AG151" i="16" s="1"/>
  <c r="Z144" i="16"/>
  <c r="S161" i="16"/>
  <c r="Y22" i="16"/>
  <c r="AG22" i="16" s="1"/>
  <c r="V22" i="16"/>
  <c r="Z22" i="16" s="1"/>
  <c r="T157" i="16"/>
  <c r="U157" i="16" s="1"/>
  <c r="L157" i="16"/>
  <c r="K157" i="16"/>
  <c r="X157" i="16" s="1"/>
  <c r="K133" i="16"/>
  <c r="X133" i="16" s="1"/>
  <c r="T133" i="16"/>
  <c r="U133" i="16" s="1"/>
  <c r="L133" i="16"/>
  <c r="Z206" i="16"/>
  <c r="S206" i="16"/>
  <c r="Y190" i="16"/>
  <c r="AG190" i="16" s="1"/>
  <c r="V190" i="16"/>
  <c r="Z190" i="16" s="1"/>
  <c r="Y25" i="16"/>
  <c r="AG25" i="16" s="1"/>
  <c r="G103" i="16"/>
  <c r="I236" i="16"/>
  <c r="J236" i="16" s="1"/>
  <c r="P236" i="16" s="1"/>
  <c r="G233" i="16"/>
  <c r="Q222" i="16"/>
  <c r="R222" i="16"/>
  <c r="S222" i="16" s="1"/>
  <c r="Y144" i="16"/>
  <c r="AG144" i="16" s="1"/>
  <c r="Z139" i="16"/>
  <c r="S139" i="16"/>
  <c r="S140" i="16"/>
  <c r="I231" i="16"/>
  <c r="J231" i="16" s="1"/>
  <c r="P231" i="16" s="1"/>
  <c r="AA142" i="16"/>
  <c r="AH142" i="16"/>
  <c r="AI142" i="16" s="1"/>
  <c r="V38" i="16"/>
  <c r="Z171" i="16"/>
  <c r="S171" i="16"/>
  <c r="V49" i="16"/>
  <c r="V66" i="16"/>
  <c r="T61" i="16"/>
  <c r="U61" i="16" s="1"/>
  <c r="T37" i="16"/>
  <c r="U37" i="16" s="1"/>
  <c r="Y193" i="16"/>
  <c r="AG193" i="16" s="1"/>
  <c r="V193" i="16"/>
  <c r="Z146" i="16"/>
  <c r="G232" i="16"/>
  <c r="Y162" i="16"/>
  <c r="AG162" i="16" s="1"/>
  <c r="V162" i="16"/>
  <c r="Z162" i="16" s="1"/>
  <c r="Y201" i="16"/>
  <c r="AG201" i="16" s="1"/>
  <c r="V201" i="16"/>
  <c r="Z201" i="16" s="1"/>
  <c r="AA6" i="16"/>
  <c r="AH6" i="16"/>
  <c r="AI6" i="16" s="1"/>
  <c r="Z25" i="16"/>
  <c r="S25" i="16"/>
  <c r="Y178" i="16"/>
  <c r="AG178" i="16" s="1"/>
  <c r="V178" i="16"/>
  <c r="Z178" i="16" s="1"/>
  <c r="Y187" i="16"/>
  <c r="AG187" i="16" s="1"/>
  <c r="V187" i="16"/>
  <c r="Z187" i="16" s="1"/>
  <c r="AH8" i="16"/>
  <c r="AI8" i="16" s="1"/>
  <c r="AA8" i="16"/>
  <c r="Y186" i="16"/>
  <c r="AG186" i="16" s="1"/>
  <c r="V186" i="16"/>
  <c r="Z186" i="16" s="1"/>
  <c r="Y208" i="16"/>
  <c r="AG208" i="16" s="1"/>
  <c r="V208" i="16"/>
  <c r="K189" i="16"/>
  <c r="X189" i="16" s="1"/>
  <c r="T189" i="16"/>
  <c r="U189" i="16" s="1"/>
  <c r="V189" i="16" s="1"/>
  <c r="Z189" i="16" s="1"/>
  <c r="L189" i="16"/>
  <c r="G237" i="16"/>
  <c r="Y207" i="16"/>
  <c r="AG207" i="16" s="1"/>
  <c r="V207" i="16"/>
  <c r="Z207" i="16" s="1"/>
  <c r="Y211" i="16"/>
  <c r="AG211" i="16" s="1"/>
  <c r="V73" i="16"/>
  <c r="Y206" i="16"/>
  <c r="AG206" i="16" s="1"/>
  <c r="T95" i="16"/>
  <c r="U95" i="16" s="1"/>
  <c r="T225" i="16"/>
  <c r="U225" i="16" s="1"/>
  <c r="K225" i="16"/>
  <c r="X225" i="16" s="1"/>
  <c r="L225" i="16"/>
  <c r="Y184" i="16"/>
  <c r="AG184" i="16" s="1"/>
  <c r="V184" i="16"/>
  <c r="Z184" i="16" s="1"/>
  <c r="Z134" i="16"/>
  <c r="V80" i="16"/>
  <c r="S167" i="16"/>
  <c r="Z167" i="16"/>
  <c r="Y138" i="16"/>
  <c r="AG138" i="16" s="1"/>
  <c r="V138" i="16"/>
  <c r="Z138" i="16" s="1"/>
  <c r="Y176" i="16"/>
  <c r="AG176" i="16" s="1"/>
  <c r="T53" i="16"/>
  <c r="U53" i="16" s="1"/>
  <c r="T93" i="16"/>
  <c r="U93" i="16" s="1"/>
  <c r="V39" i="16"/>
  <c r="S170" i="16"/>
  <c r="V50" i="16"/>
  <c r="G234" i="16"/>
  <c r="AA223" i="16"/>
  <c r="AH223" i="16"/>
  <c r="AI223" i="16" s="1"/>
  <c r="I235" i="16"/>
  <c r="J235" i="16" s="1"/>
  <c r="P235" i="16" s="1"/>
  <c r="Y27" i="16"/>
  <c r="AG27" i="16" s="1"/>
  <c r="V27" i="16"/>
  <c r="Z27" i="16" s="1"/>
  <c r="S200" i="16"/>
  <c r="Y145" i="16"/>
  <c r="AG145" i="16" s="1"/>
  <c r="V145" i="16"/>
  <c r="Z145" i="16" s="1"/>
  <c r="Y14" i="16"/>
  <c r="AG14" i="16" s="1"/>
  <c r="V14" i="16"/>
  <c r="Z14" i="16" s="1"/>
  <c r="L235" i="16"/>
  <c r="T235" i="16"/>
  <c r="U235" i="16" s="1"/>
  <c r="V235" i="16" s="1"/>
  <c r="S215" i="16"/>
  <c r="G44" i="16"/>
  <c r="G76" i="16"/>
  <c r="G28" i="16"/>
  <c r="G36" i="16"/>
  <c r="G52" i="16"/>
  <c r="G68" i="16"/>
  <c r="G12" i="16"/>
  <c r="G20" i="16"/>
  <c r="G84" i="16"/>
  <c r="G100" i="16"/>
  <c r="G92" i="16"/>
  <c r="G60" i="16"/>
  <c r="S7" i="16"/>
  <c r="Z17" i="16"/>
  <c r="S17" i="16"/>
  <c r="Q224" i="16"/>
  <c r="R224" i="16"/>
  <c r="S18" i="16"/>
  <c r="Z18" i="16"/>
  <c r="Y11" i="16"/>
  <c r="AG11" i="16" s="1"/>
  <c r="V11" i="16"/>
  <c r="Z11" i="16" s="1"/>
  <c r="Z203" i="16"/>
  <c r="Y24" i="16"/>
  <c r="AG24" i="16" s="1"/>
  <c r="V24" i="16"/>
  <c r="Z24" i="16" s="1"/>
  <c r="Y202" i="16"/>
  <c r="AG202" i="16" s="1"/>
  <c r="V202" i="16"/>
  <c r="Z202" i="16" s="1"/>
  <c r="S217" i="16"/>
  <c r="T213" i="16"/>
  <c r="U213" i="16" s="1"/>
  <c r="K213" i="16"/>
  <c r="X213" i="16" s="1"/>
  <c r="L213" i="16"/>
  <c r="K205" i="16"/>
  <c r="X205" i="16" s="1"/>
  <c r="L205" i="16"/>
  <c r="T205" i="16"/>
  <c r="U205" i="16" s="1"/>
  <c r="T96" i="16"/>
  <c r="U96" i="16" s="1"/>
  <c r="Y168" i="16"/>
  <c r="AG168" i="16" s="1"/>
  <c r="K227" i="16"/>
  <c r="X227" i="16" s="1"/>
  <c r="T227" i="16"/>
  <c r="U227" i="16" s="1"/>
  <c r="L227" i="16"/>
  <c r="S20" i="16"/>
  <c r="Z209" i="16"/>
  <c r="S209" i="16"/>
  <c r="S177" i="16"/>
  <c r="T77" i="16"/>
  <c r="U77" i="16" s="1"/>
  <c r="T21" i="16"/>
  <c r="U21" i="16" s="1"/>
  <c r="K21" i="16"/>
  <c r="X21" i="16" s="1"/>
  <c r="L21" i="16"/>
  <c r="S159" i="16"/>
  <c r="Z182" i="16"/>
  <c r="S182" i="16"/>
  <c r="Y166" i="16"/>
  <c r="AG166" i="16" s="1"/>
  <c r="V166" i="16"/>
  <c r="Z166" i="16" s="1"/>
  <c r="Q230" i="16"/>
  <c r="R230" i="16"/>
  <c r="V41" i="16"/>
  <c r="Y194" i="16"/>
  <c r="AG194" i="16" s="1"/>
  <c r="V194" i="16"/>
  <c r="Z194" i="16" s="1"/>
  <c r="Y6" i="16"/>
  <c r="AG6" i="16" s="1"/>
  <c r="G212" i="16"/>
  <c r="G140" i="16"/>
  <c r="G188" i="16"/>
  <c r="G156" i="16"/>
  <c r="G180" i="16"/>
  <c r="G220" i="16"/>
  <c r="G164" i="16"/>
  <c r="G228" i="16"/>
  <c r="G148" i="16"/>
  <c r="G172" i="16"/>
  <c r="G196" i="16"/>
  <c r="G204" i="16"/>
  <c r="Y161" i="16"/>
  <c r="AG161" i="16" s="1"/>
  <c r="V161" i="16"/>
  <c r="Z161" i="16" s="1"/>
  <c r="S180" i="16"/>
  <c r="Y158" i="16"/>
  <c r="AG158" i="16" s="1"/>
  <c r="V158" i="16"/>
  <c r="Z158" i="16" s="1"/>
  <c r="S189" i="16"/>
  <c r="L149" i="16"/>
  <c r="K149" i="16"/>
  <c r="X149" i="16" s="1"/>
  <c r="T149" i="16"/>
  <c r="U149" i="16" s="1"/>
  <c r="T221" i="16"/>
  <c r="U221" i="16" s="1"/>
  <c r="K221" i="16"/>
  <c r="X221" i="16" s="1"/>
  <c r="L221" i="16"/>
  <c r="S193" i="16"/>
  <c r="Z193" i="16"/>
  <c r="Z10" i="16"/>
  <c r="S10" i="16"/>
  <c r="Y135" i="16"/>
  <c r="AG135" i="16" s="1"/>
  <c r="V135" i="16"/>
  <c r="Z135" i="16" s="1"/>
  <c r="Z155" i="16"/>
  <c r="V56" i="16"/>
  <c r="K226" i="16"/>
  <c r="X226" i="16" s="1"/>
  <c r="T226" i="16"/>
  <c r="U226" i="16" s="1"/>
  <c r="V226" i="16" s="1"/>
  <c r="Z226" i="16" s="1"/>
  <c r="L226" i="16"/>
  <c r="Y185" i="16"/>
  <c r="AG185" i="16" s="1"/>
  <c r="V185" i="16"/>
  <c r="Z185" i="16" s="1"/>
  <c r="Y147" i="16"/>
  <c r="AG147" i="16" s="1"/>
  <c r="Y209" i="16"/>
  <c r="AG209" i="16" s="1"/>
  <c r="K5" i="16"/>
  <c r="X5" i="16" s="1"/>
  <c r="T5" i="16"/>
  <c r="U5" i="16" s="1"/>
  <c r="L5" i="16"/>
  <c r="Y182" i="16"/>
  <c r="AG182" i="16" s="1"/>
  <c r="Z136" i="16"/>
  <c r="S136" i="16"/>
  <c r="G105" i="16"/>
  <c r="T231" i="16"/>
  <c r="U231" i="16" s="1"/>
  <c r="V231" i="16" s="1"/>
  <c r="T29" i="16"/>
  <c r="U29" i="16" s="1"/>
  <c r="V29" i="16" s="1"/>
  <c r="Z29" i="16" s="1"/>
  <c r="L29" i="16"/>
  <c r="K29" i="16"/>
  <c r="X29" i="16" s="1"/>
  <c r="I31" i="16"/>
  <c r="I233" i="16"/>
  <c r="J233" i="16" s="1"/>
  <c r="P233" i="16" s="1"/>
  <c r="Y195" i="16"/>
  <c r="AG195" i="16" s="1"/>
  <c r="V195" i="16"/>
  <c r="Z195" i="16" s="1"/>
  <c r="Y200" i="16"/>
  <c r="AG200" i="16" s="1"/>
  <c r="V200" i="16"/>
  <c r="Z200" i="16" s="1"/>
  <c r="T104" i="16"/>
  <c r="U104" i="16" s="1"/>
  <c r="V104" i="16" s="1"/>
  <c r="AA183" i="16"/>
  <c r="Y7" i="16"/>
  <c r="AG7" i="16" s="1"/>
  <c r="V7" i="16"/>
  <c r="Z7" i="16" s="1"/>
  <c r="AH169" i="16"/>
  <c r="AI169" i="16" s="1"/>
  <c r="AA169" i="16"/>
  <c r="Y217" i="16"/>
  <c r="AG217" i="16" s="1"/>
  <c r="V217" i="16"/>
  <c r="Z217" i="16" s="1"/>
  <c r="Y8" i="16"/>
  <c r="AG8" i="16" s="1"/>
  <c r="Z198" i="16"/>
  <c r="K197" i="16"/>
  <c r="X197" i="16" s="1"/>
  <c r="T197" i="16"/>
  <c r="U197" i="16" s="1"/>
  <c r="L197" i="16"/>
  <c r="T173" i="16"/>
  <c r="U173" i="16" s="1"/>
  <c r="V173" i="16" s="1"/>
  <c r="Z173" i="16" s="1"/>
  <c r="K173" i="16"/>
  <c r="X173" i="16" s="1"/>
  <c r="L173" i="16"/>
  <c r="Q30" i="16"/>
  <c r="Y30" i="16" s="1"/>
  <c r="AG30" i="16" s="1"/>
  <c r="R30" i="16"/>
  <c r="Y137" i="16"/>
  <c r="AG137" i="16" s="1"/>
  <c r="V137" i="16"/>
  <c r="Z137" i="16" s="1"/>
  <c r="Z26" i="16"/>
  <c r="V46" i="16"/>
  <c r="S29" i="16"/>
  <c r="AA176" i="16"/>
  <c r="AH176" i="16"/>
  <c r="AI176" i="16" s="1"/>
  <c r="Y170" i="16"/>
  <c r="AG170" i="16" s="1"/>
  <c r="V170" i="16"/>
  <c r="Z170" i="16" s="1"/>
  <c r="K215" i="16"/>
  <c r="X215" i="16" s="1"/>
  <c r="T215" i="16"/>
  <c r="U215" i="16" s="1"/>
  <c r="L215" i="16"/>
  <c r="V57" i="16"/>
  <c r="Z192" i="16"/>
  <c r="S192" i="16"/>
  <c r="I234" i="16"/>
  <c r="J234" i="16" s="1"/>
  <c r="P234" i="16" s="1"/>
  <c r="Z15" i="16"/>
  <c r="S15" i="16"/>
  <c r="Z210" i="16"/>
  <c r="G109" i="16"/>
  <c r="T69" i="16"/>
  <c r="U69" i="16" s="1"/>
  <c r="S145" i="16"/>
  <c r="S27" i="16"/>
  <c r="S188" i="16"/>
  <c r="Z175" i="16"/>
  <c r="S175" i="16"/>
  <c r="V64" i="16"/>
  <c r="S173" i="16"/>
  <c r="Y136" i="16"/>
  <c r="AG136" i="16" s="1"/>
  <c r="V98" i="16"/>
  <c r="Y177" i="16"/>
  <c r="AG177" i="16" s="1"/>
  <c r="V177" i="16"/>
  <c r="Z177" i="16" s="1"/>
  <c r="K141" i="16"/>
  <c r="X141" i="16" s="1"/>
  <c r="L141" i="16"/>
  <c r="T141" i="16"/>
  <c r="U141" i="16" s="1"/>
  <c r="V30" i="16"/>
  <c r="Z199" i="16"/>
  <c r="Z151" i="16"/>
  <c r="V34" i="16"/>
  <c r="AH9" i="16"/>
  <c r="AI9" i="16" s="1"/>
  <c r="AA9" i="16"/>
  <c r="T99" i="16"/>
  <c r="U99" i="16" s="1"/>
  <c r="V99" i="16" s="1"/>
  <c r="Y143" i="16"/>
  <c r="AG143" i="16" s="1"/>
  <c r="AA211" i="16"/>
  <c r="AH211" i="16"/>
  <c r="AI211" i="16" s="1"/>
  <c r="S214" i="16"/>
  <c r="Y216" i="16"/>
  <c r="AG216" i="16" s="1"/>
  <c r="V70" i="16"/>
  <c r="K181" i="16"/>
  <c r="X181" i="16" s="1"/>
  <c r="T181" i="16"/>
  <c r="U181" i="16" s="1"/>
  <c r="L181" i="16"/>
  <c r="Y16" i="16"/>
  <c r="AG16" i="16" s="1"/>
  <c r="V16" i="16"/>
  <c r="Z16" i="16" s="1"/>
  <c r="T224" i="16"/>
  <c r="U224" i="16" s="1"/>
  <c r="L224" i="16"/>
  <c r="K224" i="16"/>
  <c r="X224" i="16" s="1"/>
  <c r="Y179" i="16"/>
  <c r="AG179" i="16" s="1"/>
  <c r="V179" i="16"/>
  <c r="Z179" i="16" s="1"/>
  <c r="T87" i="16"/>
  <c r="U87" i="16" s="1"/>
  <c r="V87" i="16" s="1"/>
  <c r="Y192" i="16"/>
  <c r="AG192" i="16" s="1"/>
  <c r="Y15" i="16"/>
  <c r="AG15" i="16" s="1"/>
  <c r="Y142" i="16"/>
  <c r="AG142" i="16" s="1"/>
  <c r="Y169" i="16"/>
  <c r="AG169" i="16" s="1"/>
  <c r="T13" i="16"/>
  <c r="U13" i="16" s="1"/>
  <c r="L13" i="16"/>
  <c r="K13" i="16"/>
  <c r="X13" i="16" s="1"/>
  <c r="T85" i="16"/>
  <c r="U85" i="16" s="1"/>
  <c r="V85" i="16" s="1"/>
  <c r="Y191" i="16"/>
  <c r="AG191" i="16" s="1"/>
  <c r="V191" i="16"/>
  <c r="Z191" i="16" s="1"/>
  <c r="Y175" i="16"/>
  <c r="AG175" i="16" s="1"/>
  <c r="T97" i="16"/>
  <c r="U97" i="16" s="1"/>
  <c r="Y163" i="16"/>
  <c r="AG163" i="16" s="1"/>
  <c r="V163" i="16"/>
  <c r="Z163" i="16" s="1"/>
  <c r="S179" i="16"/>
  <c r="AH168" i="16"/>
  <c r="AI168" i="16" s="1"/>
  <c r="AA168" i="16"/>
  <c r="AH216" i="16"/>
  <c r="AI216" i="16" s="1"/>
  <c r="AA216" i="16"/>
  <c r="Y218" i="16"/>
  <c r="AG218" i="16" s="1"/>
  <c r="V218" i="16"/>
  <c r="Z218" i="16" s="1"/>
  <c r="Q228" i="16"/>
  <c r="R228" i="16"/>
  <c r="V32" i="16"/>
  <c r="Z152" i="16"/>
  <c r="S152" i="16"/>
  <c r="K165" i="16"/>
  <c r="X165" i="16" s="1"/>
  <c r="T165" i="16"/>
  <c r="U165" i="16" s="1"/>
  <c r="V165" i="16" s="1"/>
  <c r="Z165" i="16" s="1"/>
  <c r="L165" i="16"/>
  <c r="V55" i="16"/>
  <c r="V89" i="16"/>
  <c r="S135" i="16"/>
  <c r="S150" i="16"/>
  <c r="Z150" i="16"/>
  <c r="Y154" i="16"/>
  <c r="AG154" i="16" s="1"/>
  <c r="V154" i="16"/>
  <c r="Z154" i="16" s="1"/>
  <c r="S219" i="16"/>
  <c r="Z219" i="16"/>
  <c r="Z19" i="16"/>
  <c r="S19" i="16"/>
  <c r="S24" i="16"/>
  <c r="S158" i="16"/>
  <c r="K222" i="16"/>
  <c r="X222" i="16" s="1"/>
  <c r="T222" i="16"/>
  <c r="U222" i="16" s="1"/>
  <c r="L222" i="16"/>
  <c r="S208" i="16"/>
  <c r="Z208" i="16"/>
  <c r="Y159" i="16"/>
  <c r="AG159" i="16" s="1"/>
  <c r="V159" i="16"/>
  <c r="Z159" i="16" s="1"/>
  <c r="AA153" i="16"/>
  <c r="AH153" i="16"/>
  <c r="AI153" i="16" s="1"/>
  <c r="S23" i="16"/>
  <c r="Z23" i="16"/>
  <c r="S166" i="16"/>
  <c r="Y214" i="16"/>
  <c r="AG214" i="16" s="1"/>
  <c r="V214" i="16"/>
  <c r="Z214" i="16" s="1"/>
  <c r="T45" i="16"/>
  <c r="U45" i="16" s="1"/>
  <c r="V45" i="16" s="1"/>
  <c r="Q227" i="16"/>
  <c r="R227" i="16"/>
  <c r="S227" i="16" s="1"/>
  <c r="Y160" i="16"/>
  <c r="AG160" i="16" s="1"/>
  <c r="V160" i="16"/>
  <c r="Z160" i="16" s="1"/>
  <c r="Y153" i="16"/>
  <c r="AG153" i="16" s="1"/>
  <c r="I232" i="16"/>
  <c r="J232" i="16" s="1"/>
  <c r="P232" i="16" s="1"/>
  <c r="S24" i="2"/>
  <c r="S22" i="2"/>
  <c r="G114" i="9" a="1"/>
  <c r="G114" i="9" s="1"/>
  <c r="AL114" i="16" s="1"/>
  <c r="G242" i="9" a="1"/>
  <c r="G242" i="9" s="1"/>
  <c r="AL242" i="16" s="1"/>
  <c r="G242" i="16" s="1"/>
  <c r="T30" i="11"/>
  <c r="T19" i="12" s="1"/>
  <c r="T30" i="12" s="1"/>
  <c r="T8" i="13" s="1"/>
  <c r="T30" i="13" s="1"/>
  <c r="S19" i="12"/>
  <c r="S30" i="12" s="1"/>
  <c r="G113" i="9" a="1"/>
  <c r="G113" i="9" s="1"/>
  <c r="AL113" i="16" s="1"/>
  <c r="G241" i="9" a="1"/>
  <c r="G241" i="9" s="1"/>
  <c r="AL241" i="16" s="1"/>
  <c r="G241" i="16" s="1"/>
  <c r="R35" i="12"/>
  <c r="R7" i="13"/>
  <c r="R29" i="13" s="1"/>
  <c r="R35" i="13" s="1"/>
  <c r="G244" i="9" s="1" a="1"/>
  <c r="G244" i="9" s="1"/>
  <c r="AL244" i="16" s="1"/>
  <c r="S24" i="11"/>
  <c r="T33" i="11"/>
  <c r="T22" i="12" s="1"/>
  <c r="T33" i="12" s="1"/>
  <c r="T11" i="13" s="1"/>
  <c r="T33" i="13" s="1"/>
  <c r="S22" i="12"/>
  <c r="S33" i="12" s="1"/>
  <c r="S11" i="13" s="1"/>
  <c r="S33" i="13" s="1"/>
  <c r="G117" i="9" a="1"/>
  <c r="G117" i="9" s="1"/>
  <c r="AL117" i="16" s="1"/>
  <c r="G117" i="16" s="1"/>
  <c r="G245" i="9" a="1"/>
  <c r="G245" i="9" s="1"/>
  <c r="AL245" i="16" s="1"/>
  <c r="G245" i="16" s="1"/>
  <c r="T32" i="11"/>
  <c r="T21" i="12" s="1"/>
  <c r="T32" i="12" s="1"/>
  <c r="T10" i="13" s="1"/>
  <c r="T32" i="13" s="1"/>
  <c r="S21" i="12"/>
  <c r="S32" i="12" s="1"/>
  <c r="S10" i="13" s="1"/>
  <c r="S32" i="13" s="1"/>
  <c r="T29" i="11"/>
  <c r="T18" i="12" s="1"/>
  <c r="T29" i="12" s="1"/>
  <c r="T7" i="13" s="1"/>
  <c r="T29" i="13" s="1"/>
  <c r="S18" i="12"/>
  <c r="S29" i="12" s="1"/>
  <c r="S7" i="13" s="1"/>
  <c r="S29" i="13" s="1"/>
  <c r="G112" i="9" a="1"/>
  <c r="G112" i="9" s="1"/>
  <c r="AL112" i="16" s="1"/>
  <c r="G112" i="16" s="1"/>
  <c r="G240" i="9" a="1"/>
  <c r="G240" i="9" s="1"/>
  <c r="AL240" i="16" s="1"/>
  <c r="S19" i="11"/>
  <c r="T6" i="13"/>
  <c r="T28" i="13" s="1"/>
  <c r="G115" i="9" a="1"/>
  <c r="G115" i="9" s="1"/>
  <c r="AL115" i="16" s="1"/>
  <c r="G243" i="9" a="1"/>
  <c r="G243" i="9" s="1"/>
  <c r="AL243" i="16" s="1"/>
  <c r="G108" i="9" a="1"/>
  <c r="G108" i="9" s="1"/>
  <c r="AL108" i="16" s="1"/>
  <c r="G236" i="9" a="1"/>
  <c r="G236" i="9" s="1"/>
  <c r="AL236" i="16" s="1"/>
  <c r="T31" i="11"/>
  <c r="T20" i="12" s="1"/>
  <c r="T31" i="12" s="1"/>
  <c r="T9" i="13" s="1"/>
  <c r="T31" i="13" s="1"/>
  <c r="S20" i="12"/>
  <c r="S31" i="12" s="1"/>
  <c r="S9" i="13" s="1"/>
  <c r="S31" i="13" s="1"/>
  <c r="G111" i="9" a="1"/>
  <c r="G111" i="9" s="1"/>
  <c r="AL111" i="16" s="1"/>
  <c r="G239" i="9" a="1"/>
  <c r="G239" i="9" s="1"/>
  <c r="AL239" i="16" s="1"/>
  <c r="T34" i="11"/>
  <c r="T23" i="12" s="1"/>
  <c r="T34" i="12" s="1"/>
  <c r="T12" i="13" s="1"/>
  <c r="T34" i="13" s="1"/>
  <c r="G259" i="9" s="1" a="1"/>
  <c r="G259" i="9" s="1"/>
  <c r="S23" i="12"/>
  <c r="S34" i="12" s="1"/>
  <c r="S12" i="13" s="1"/>
  <c r="S34" i="13" s="1"/>
  <c r="S22" i="11"/>
  <c r="S23" i="2"/>
  <c r="S17" i="2"/>
  <c r="R12" i="2"/>
  <c r="R12" i="8"/>
  <c r="R12" i="7"/>
  <c r="R34" i="7" s="1"/>
  <c r="R34" i="8" s="1"/>
  <c r="R12" i="6"/>
  <c r="R12" i="5"/>
  <c r="R34" i="5" s="1"/>
  <c r="I243" i="9" s="1" a="1"/>
  <c r="I243" i="9" s="1"/>
  <c r="AN243" i="16" s="1"/>
  <c r="I243" i="16" s="1"/>
  <c r="J243" i="16" s="1"/>
  <c r="P243" i="16" s="1"/>
  <c r="R12" i="4"/>
  <c r="S21" i="7"/>
  <c r="R21" i="8"/>
  <c r="S18" i="6"/>
  <c r="S22" i="6"/>
  <c r="S18" i="7"/>
  <c r="R18" i="8"/>
  <c r="S18" i="5"/>
  <c r="S24" i="5"/>
  <c r="R7" i="2"/>
  <c r="R7" i="8"/>
  <c r="R7" i="7"/>
  <c r="R29" i="7" s="1"/>
  <c r="R29" i="8" s="1"/>
  <c r="R7" i="5"/>
  <c r="R29" i="5" s="1"/>
  <c r="I238" i="9" s="1" a="1"/>
  <c r="I238" i="9" s="1"/>
  <c r="AN238" i="16" s="1"/>
  <c r="R7" i="6"/>
  <c r="R7" i="4"/>
  <c r="R8" i="2"/>
  <c r="R8" i="8"/>
  <c r="R8" i="7"/>
  <c r="R30" i="7" s="1"/>
  <c r="R30" i="8" s="1"/>
  <c r="R8" i="5"/>
  <c r="R30" i="5" s="1"/>
  <c r="I239" i="9" s="1" a="1"/>
  <c r="I239" i="9" s="1"/>
  <c r="AN239" i="16" s="1"/>
  <c r="R8" i="6"/>
  <c r="R8" i="4"/>
  <c r="R6" i="2"/>
  <c r="R6" i="8"/>
  <c r="R6" i="7"/>
  <c r="R28" i="7" s="1"/>
  <c r="R28" i="8" s="1"/>
  <c r="R6" i="5"/>
  <c r="R28" i="5" s="1"/>
  <c r="I237" i="9" s="1" a="1"/>
  <c r="I237" i="9" s="1"/>
  <c r="AN237" i="16" s="1"/>
  <c r="R6" i="6"/>
  <c r="R6" i="4"/>
  <c r="S19" i="7"/>
  <c r="R19" i="8"/>
  <c r="S19" i="5"/>
  <c r="S17" i="6"/>
  <c r="S18" i="4"/>
  <c r="S22" i="4"/>
  <c r="S21" i="5"/>
  <c r="S23" i="5"/>
  <c r="S24" i="4"/>
  <c r="R9" i="2"/>
  <c r="R9" i="8"/>
  <c r="R9" i="7"/>
  <c r="R31" i="7" s="1"/>
  <c r="R31" i="8" s="1"/>
  <c r="R9" i="5"/>
  <c r="R31" i="5" s="1"/>
  <c r="I240" i="9" s="1" a="1"/>
  <c r="I240" i="9" s="1"/>
  <c r="AN240" i="16" s="1"/>
  <c r="R9" i="6"/>
  <c r="R9" i="4"/>
  <c r="S21" i="4"/>
  <c r="S23" i="6"/>
  <c r="S20" i="5"/>
  <c r="S20" i="7"/>
  <c r="R20" i="8"/>
  <c r="S20" i="4"/>
  <c r="S22" i="7"/>
  <c r="R22" i="8"/>
  <c r="S22" i="5"/>
  <c r="R13" i="2"/>
  <c r="R13" i="8"/>
  <c r="R13" i="7"/>
  <c r="R35" i="7" s="1"/>
  <c r="R35" i="8" s="1"/>
  <c r="R13" i="6"/>
  <c r="R13" i="5"/>
  <c r="R35" i="5" s="1"/>
  <c r="I244" i="9" s="1" a="1"/>
  <c r="I244" i="9" s="1"/>
  <c r="AN244" i="16" s="1"/>
  <c r="I244" i="16" s="1"/>
  <c r="J244" i="16" s="1"/>
  <c r="P244" i="16" s="1"/>
  <c r="R13" i="4"/>
  <c r="R11" i="2"/>
  <c r="R11" i="8"/>
  <c r="R11" i="7"/>
  <c r="R33" i="7" s="1"/>
  <c r="R33" i="8" s="1"/>
  <c r="R11" i="6"/>
  <c r="R11" i="5"/>
  <c r="R33" i="5" s="1"/>
  <c r="I242" i="9" s="1" a="1"/>
  <c r="I242" i="9" s="1"/>
  <c r="AN242" i="16" s="1"/>
  <c r="R11" i="4"/>
  <c r="R10" i="2"/>
  <c r="R10" i="8"/>
  <c r="R10" i="7"/>
  <c r="R32" i="7" s="1"/>
  <c r="R32" i="8" s="1"/>
  <c r="R10" i="6"/>
  <c r="R10" i="5"/>
  <c r="R32" i="5" s="1"/>
  <c r="I241" i="9" s="1" a="1"/>
  <c r="I241" i="9" s="1"/>
  <c r="AN241" i="16" s="1"/>
  <c r="R10" i="4"/>
  <c r="S21" i="6"/>
  <c r="S17" i="7"/>
  <c r="R17" i="8"/>
  <c r="S23" i="4"/>
  <c r="S17" i="4"/>
  <c r="S24" i="7"/>
  <c r="R24" i="8"/>
  <c r="S24" i="6"/>
  <c r="S17" i="5"/>
  <c r="S23" i="7"/>
  <c r="R23" i="8"/>
  <c r="S20" i="6"/>
  <c r="S19" i="4"/>
  <c r="L84" i="9"/>
  <c r="I84" i="9" s="1" a="1"/>
  <c r="I84" i="9" s="1"/>
  <c r="AN84" i="16" s="1"/>
  <c r="E33" i="9"/>
  <c r="L32" i="9"/>
  <c r="I32" i="9" s="1" a="1"/>
  <c r="I32" i="9" s="1"/>
  <c r="AN32" i="16" s="1"/>
  <c r="T18" i="1"/>
  <c r="T30" i="1" s="1"/>
  <c r="T7" i="11" s="1"/>
  <c r="S30" i="1"/>
  <c r="S7" i="11" s="1"/>
  <c r="T21" i="1"/>
  <c r="T33" i="1" s="1"/>
  <c r="T10" i="11" s="1"/>
  <c r="S33" i="1"/>
  <c r="S10" i="11" s="1"/>
  <c r="S19" i="2"/>
  <c r="T20" i="1"/>
  <c r="T32" i="1" s="1"/>
  <c r="T9" i="11" s="1"/>
  <c r="S32" i="1"/>
  <c r="S9" i="11" s="1"/>
  <c r="S20" i="2"/>
  <c r="T19" i="1"/>
  <c r="T31" i="1" s="1"/>
  <c r="T8" i="11" s="1"/>
  <c r="S31" i="1"/>
  <c r="S8" i="11" s="1"/>
  <c r="T24" i="1"/>
  <c r="T36" i="1" s="1"/>
  <c r="T13" i="11" s="1"/>
  <c r="S36" i="1"/>
  <c r="S13" i="11" s="1"/>
  <c r="T22" i="1"/>
  <c r="T34" i="1" s="1"/>
  <c r="T11" i="11" s="1"/>
  <c r="S34" i="1"/>
  <c r="S11" i="11" s="1"/>
  <c r="S18" i="2"/>
  <c r="T23" i="1"/>
  <c r="T23" i="11" s="1"/>
  <c r="S35" i="1"/>
  <c r="S12" i="11" s="1"/>
  <c r="T17" i="1"/>
  <c r="T29" i="1" s="1"/>
  <c r="T6" i="11" s="1"/>
  <c r="S29" i="1"/>
  <c r="S6" i="11" s="1"/>
  <c r="S21" i="2"/>
  <c r="AH143" i="16" l="1"/>
  <c r="AI143" i="16" s="1"/>
  <c r="K235" i="16"/>
  <c r="X235" i="16" s="1"/>
  <c r="L231" i="16"/>
  <c r="Y189" i="16"/>
  <c r="AG189" i="16" s="1"/>
  <c r="K231" i="16"/>
  <c r="X231" i="16" s="1"/>
  <c r="Y29" i="16"/>
  <c r="AG29" i="16" s="1"/>
  <c r="Y173" i="16"/>
  <c r="AG173" i="16" s="1"/>
  <c r="AH135" i="16"/>
  <c r="AI135" i="16" s="1"/>
  <c r="AA135" i="16"/>
  <c r="T112" i="16"/>
  <c r="U112" i="16" s="1"/>
  <c r="V112" i="16" s="1"/>
  <c r="AA161" i="16"/>
  <c r="AH161" i="16"/>
  <c r="AI161" i="16" s="1"/>
  <c r="AA214" i="16"/>
  <c r="AH214" i="16"/>
  <c r="AI214" i="16" s="1"/>
  <c r="AH159" i="16"/>
  <c r="AI159" i="16" s="1"/>
  <c r="AA159" i="16"/>
  <c r="AH179" i="16"/>
  <c r="AI179" i="16" s="1"/>
  <c r="AA179" i="16"/>
  <c r="Q244" i="16"/>
  <c r="R244" i="16"/>
  <c r="S244" i="16" s="1"/>
  <c r="T241" i="16"/>
  <c r="U241" i="16" s="1"/>
  <c r="AH173" i="16"/>
  <c r="AI173" i="16" s="1"/>
  <c r="AA173" i="16"/>
  <c r="AH217" i="16"/>
  <c r="AI217" i="16" s="1"/>
  <c r="AA217" i="16"/>
  <c r="AA177" i="16"/>
  <c r="AH177" i="16"/>
  <c r="AI177" i="16" s="1"/>
  <c r="AH200" i="16"/>
  <c r="AI200" i="16" s="1"/>
  <c r="AA200" i="16"/>
  <c r="T117" i="16"/>
  <c r="U117" i="16" s="1"/>
  <c r="AA170" i="16"/>
  <c r="AH170" i="16"/>
  <c r="AI170" i="16" s="1"/>
  <c r="T242" i="16"/>
  <c r="U242" i="16" s="1"/>
  <c r="AH7" i="16"/>
  <c r="AI7" i="16" s="1"/>
  <c r="AA7" i="16"/>
  <c r="T245" i="16"/>
  <c r="U245" i="16" s="1"/>
  <c r="Q243" i="16"/>
  <c r="R243" i="16"/>
  <c r="S243" i="16" s="1"/>
  <c r="I32" i="16"/>
  <c r="G111" i="16"/>
  <c r="Y221" i="16"/>
  <c r="AG221" i="16" s="1"/>
  <c r="V221" i="16"/>
  <c r="Z221" i="16" s="1"/>
  <c r="K148" i="16"/>
  <c r="X148" i="16" s="1"/>
  <c r="L148" i="16"/>
  <c r="T148" i="16"/>
  <c r="U148" i="16" s="1"/>
  <c r="AH182" i="16"/>
  <c r="AI182" i="16" s="1"/>
  <c r="AA182" i="16"/>
  <c r="V77" i="16"/>
  <c r="T84" i="16"/>
  <c r="U84" i="16" s="1"/>
  <c r="L28" i="16"/>
  <c r="K28" i="16"/>
  <c r="X28" i="16" s="1"/>
  <c r="T28" i="16"/>
  <c r="U28" i="16" s="1"/>
  <c r="V53" i="16"/>
  <c r="T232" i="16"/>
  <c r="U232" i="16" s="1"/>
  <c r="L232" i="16"/>
  <c r="K232" i="16"/>
  <c r="X232" i="16" s="1"/>
  <c r="T233" i="16"/>
  <c r="U233" i="16" s="1"/>
  <c r="K233" i="16"/>
  <c r="X233" i="16" s="1"/>
  <c r="L233" i="16"/>
  <c r="AH206" i="16"/>
  <c r="AI206" i="16" s="1"/>
  <c r="AA206" i="16"/>
  <c r="Y229" i="16"/>
  <c r="AG229" i="16" s="1"/>
  <c r="Q232" i="16"/>
  <c r="R232" i="16"/>
  <c r="AH23" i="16"/>
  <c r="AI23" i="16" s="1"/>
  <c r="AA23" i="16"/>
  <c r="AH24" i="16"/>
  <c r="AI24" i="16" s="1"/>
  <c r="AA24" i="16"/>
  <c r="AA165" i="16"/>
  <c r="AH165" i="16"/>
  <c r="AI165" i="16" s="1"/>
  <c r="AH218" i="16"/>
  <c r="AI218" i="16" s="1"/>
  <c r="AA218" i="16"/>
  <c r="AA199" i="16"/>
  <c r="AH199" i="16"/>
  <c r="AI199" i="16" s="1"/>
  <c r="J31" i="16"/>
  <c r="P31" i="16" s="1"/>
  <c r="L31" i="16"/>
  <c r="K31" i="16"/>
  <c r="X31" i="16" s="1"/>
  <c r="I238" i="16"/>
  <c r="J238" i="16" s="1"/>
  <c r="P238" i="16" s="1"/>
  <c r="Y224" i="16"/>
  <c r="AG224" i="16" s="1"/>
  <c r="V224" i="16"/>
  <c r="AH26" i="16"/>
  <c r="AI26" i="16" s="1"/>
  <c r="AA26" i="16"/>
  <c r="AA160" i="16"/>
  <c r="AH160" i="16"/>
  <c r="AI160" i="16" s="1"/>
  <c r="Y222" i="16"/>
  <c r="AG222" i="16" s="1"/>
  <c r="V222" i="16"/>
  <c r="Z222" i="16" s="1"/>
  <c r="AA19" i="16"/>
  <c r="AH19" i="16"/>
  <c r="AI19" i="16" s="1"/>
  <c r="AH16" i="16"/>
  <c r="AI16" i="16" s="1"/>
  <c r="AA16" i="16"/>
  <c r="AH175" i="16"/>
  <c r="AI175" i="16" s="1"/>
  <c r="AA175" i="16"/>
  <c r="AA192" i="16"/>
  <c r="AH192" i="16"/>
  <c r="AI192" i="16" s="1"/>
  <c r="AA137" i="16"/>
  <c r="AH137" i="16"/>
  <c r="AI137" i="16" s="1"/>
  <c r="AA136" i="16"/>
  <c r="AH136" i="16"/>
  <c r="AI136" i="16" s="1"/>
  <c r="Y149" i="16"/>
  <c r="AG149" i="16" s="1"/>
  <c r="V149" i="16"/>
  <c r="Z149" i="16" s="1"/>
  <c r="K228" i="16"/>
  <c r="X228" i="16" s="1"/>
  <c r="T228" i="16"/>
  <c r="U228" i="16" s="1"/>
  <c r="V228" i="16" s="1"/>
  <c r="Z228" i="16" s="1"/>
  <c r="L228" i="16"/>
  <c r="T156" i="16"/>
  <c r="U156" i="16" s="1"/>
  <c r="K156" i="16"/>
  <c r="X156" i="16" s="1"/>
  <c r="L156" i="16"/>
  <c r="G243" i="16"/>
  <c r="V96" i="16"/>
  <c r="AH203" i="16"/>
  <c r="AI203" i="16" s="1"/>
  <c r="AA203" i="16"/>
  <c r="AH17" i="16"/>
  <c r="AI17" i="16" s="1"/>
  <c r="AA17" i="16"/>
  <c r="L20" i="16"/>
  <c r="T20" i="16"/>
  <c r="U20" i="16" s="1"/>
  <c r="K20" i="16"/>
  <c r="X20" i="16" s="1"/>
  <c r="T76" i="16"/>
  <c r="U76" i="16" s="1"/>
  <c r="V76" i="16" s="1"/>
  <c r="AH14" i="16"/>
  <c r="AI14" i="16" s="1"/>
  <c r="AA14" i="16"/>
  <c r="Q235" i="16"/>
  <c r="Y235" i="16" s="1"/>
  <c r="AG235" i="16" s="1"/>
  <c r="R235" i="16"/>
  <c r="V95" i="16"/>
  <c r="AH178" i="16"/>
  <c r="AI178" i="16" s="1"/>
  <c r="AA178" i="16"/>
  <c r="AA201" i="16"/>
  <c r="AH201" i="16"/>
  <c r="AI201" i="16" s="1"/>
  <c r="AH146" i="16"/>
  <c r="AI146" i="16" s="1"/>
  <c r="AA146" i="16"/>
  <c r="V61" i="16"/>
  <c r="Q236" i="16"/>
  <c r="R236" i="16"/>
  <c r="S236" i="16" s="1"/>
  <c r="G113" i="16"/>
  <c r="V102" i="16"/>
  <c r="Q233" i="16"/>
  <c r="R233" i="16"/>
  <c r="S233" i="16" s="1"/>
  <c r="I239" i="16"/>
  <c r="J239" i="16" s="1"/>
  <c r="P239" i="16" s="1"/>
  <c r="AA226" i="16"/>
  <c r="AH226" i="16"/>
  <c r="AI226" i="16" s="1"/>
  <c r="T164" i="16"/>
  <c r="U164" i="16" s="1"/>
  <c r="K164" i="16"/>
  <c r="X164" i="16" s="1"/>
  <c r="L164" i="16"/>
  <c r="T188" i="16"/>
  <c r="U188" i="16" s="1"/>
  <c r="K188" i="16"/>
  <c r="X188" i="16" s="1"/>
  <c r="L188" i="16"/>
  <c r="S230" i="16"/>
  <c r="V213" i="16"/>
  <c r="Z213" i="16" s="1"/>
  <c r="Y213" i="16"/>
  <c r="AG213" i="16" s="1"/>
  <c r="AA11" i="16"/>
  <c r="AH11" i="16"/>
  <c r="AI11" i="16" s="1"/>
  <c r="T12" i="16"/>
  <c r="U12" i="16" s="1"/>
  <c r="L12" i="16"/>
  <c r="K12" i="16"/>
  <c r="X12" i="16" s="1"/>
  <c r="T44" i="16"/>
  <c r="U44" i="16" s="1"/>
  <c r="V44" i="16" s="1"/>
  <c r="AH134" i="16"/>
  <c r="AI134" i="16" s="1"/>
  <c r="AA134" i="16"/>
  <c r="AH171" i="16"/>
  <c r="AI171" i="16" s="1"/>
  <c r="AA171" i="16"/>
  <c r="Y133" i="16"/>
  <c r="AG133" i="16" s="1"/>
  <c r="V133" i="16"/>
  <c r="Z133" i="16" s="1"/>
  <c r="G239" i="16"/>
  <c r="V106" i="16"/>
  <c r="AA191" i="16"/>
  <c r="AH191" i="16"/>
  <c r="AI191" i="16" s="1"/>
  <c r="T109" i="16"/>
  <c r="U109" i="16" s="1"/>
  <c r="S30" i="16"/>
  <c r="Z30" i="16"/>
  <c r="I242" i="16"/>
  <c r="J242" i="16" s="1"/>
  <c r="P242" i="16" s="1"/>
  <c r="AH10" i="16"/>
  <c r="AI10" i="16" s="1"/>
  <c r="AA10" i="16"/>
  <c r="G236" i="16"/>
  <c r="L140" i="16"/>
  <c r="T140" i="16"/>
  <c r="U140" i="16" s="1"/>
  <c r="K140" i="16"/>
  <c r="X140" i="16" s="1"/>
  <c r="T68" i="16"/>
  <c r="U68" i="16" s="1"/>
  <c r="V68" i="16" s="1"/>
  <c r="G108" i="16"/>
  <c r="AH184" i="16"/>
  <c r="AI184" i="16" s="1"/>
  <c r="AA184" i="16"/>
  <c r="AA207" i="16"/>
  <c r="AH207" i="16"/>
  <c r="AI207" i="16" s="1"/>
  <c r="AH186" i="16"/>
  <c r="AI186" i="16" s="1"/>
  <c r="AA186" i="16"/>
  <c r="G240" i="16"/>
  <c r="AA139" i="16"/>
  <c r="AH139" i="16"/>
  <c r="AI139" i="16" s="1"/>
  <c r="T103" i="16"/>
  <c r="U103" i="16" s="1"/>
  <c r="V103" i="16" s="1"/>
  <c r="AA219" i="16"/>
  <c r="AH219" i="16"/>
  <c r="AI219" i="16" s="1"/>
  <c r="AA152" i="16"/>
  <c r="AH152" i="16"/>
  <c r="AI152" i="16" s="1"/>
  <c r="AA163" i="16"/>
  <c r="AH163" i="16"/>
  <c r="AI163" i="16" s="1"/>
  <c r="V69" i="16"/>
  <c r="Y197" i="16"/>
  <c r="AG197" i="16" s="1"/>
  <c r="V197" i="16"/>
  <c r="Z197" i="16" s="1"/>
  <c r="G114" i="16"/>
  <c r="I237" i="16"/>
  <c r="J237" i="16" s="1"/>
  <c r="P237" i="16" s="1"/>
  <c r="AH154" i="16"/>
  <c r="AI154" i="16" s="1"/>
  <c r="AA154" i="16"/>
  <c r="V97" i="16"/>
  <c r="AA27" i="16"/>
  <c r="AH27" i="16"/>
  <c r="AI27" i="16" s="1"/>
  <c r="AA210" i="16"/>
  <c r="AH210" i="16"/>
  <c r="AI210" i="16" s="1"/>
  <c r="AA29" i="16"/>
  <c r="AH29" i="16"/>
  <c r="AI29" i="16" s="1"/>
  <c r="AA198" i="16"/>
  <c r="AH198" i="16"/>
  <c r="AI198" i="16" s="1"/>
  <c r="AA193" i="16"/>
  <c r="AH193" i="16"/>
  <c r="AI193" i="16" s="1"/>
  <c r="AA189" i="16"/>
  <c r="AH189" i="16"/>
  <c r="AI189" i="16" s="1"/>
  <c r="T220" i="16"/>
  <c r="U220" i="16" s="1"/>
  <c r="L220" i="16"/>
  <c r="K220" i="16"/>
  <c r="X220" i="16" s="1"/>
  <c r="T212" i="16"/>
  <c r="U212" i="16" s="1"/>
  <c r="K212" i="16"/>
  <c r="X212" i="16" s="1"/>
  <c r="L212" i="16"/>
  <c r="Y226" i="16"/>
  <c r="AG226" i="16" s="1"/>
  <c r="Y227" i="16"/>
  <c r="AG227" i="16" s="1"/>
  <c r="V227" i="16"/>
  <c r="Z227" i="16" s="1"/>
  <c r="AH18" i="16"/>
  <c r="AI18" i="16" s="1"/>
  <c r="AA18" i="16"/>
  <c r="T60" i="16"/>
  <c r="U60" i="16" s="1"/>
  <c r="T52" i="16"/>
  <c r="U52" i="16" s="1"/>
  <c r="AH138" i="16"/>
  <c r="AI138" i="16" s="1"/>
  <c r="AA138" i="16"/>
  <c r="AA162" i="16"/>
  <c r="AH162" i="16"/>
  <c r="AI162" i="16" s="1"/>
  <c r="AA144" i="16"/>
  <c r="AH144" i="16"/>
  <c r="AI144" i="16" s="1"/>
  <c r="V141" i="16"/>
  <c r="Z141" i="16" s="1"/>
  <c r="Y141" i="16"/>
  <c r="AG141" i="16" s="1"/>
  <c r="T204" i="16"/>
  <c r="U204" i="16" s="1"/>
  <c r="L204" i="16"/>
  <c r="K204" i="16"/>
  <c r="X204" i="16" s="1"/>
  <c r="T180" i="16"/>
  <c r="U180" i="16" s="1"/>
  <c r="L180" i="16"/>
  <c r="K180" i="16"/>
  <c r="X180" i="16" s="1"/>
  <c r="AA209" i="16"/>
  <c r="AH209" i="16"/>
  <c r="AI209" i="16" s="1"/>
  <c r="Y205" i="16"/>
  <c r="AG205" i="16" s="1"/>
  <c r="V205" i="16"/>
  <c r="Z205" i="16" s="1"/>
  <c r="AA202" i="16"/>
  <c r="AH202" i="16"/>
  <c r="AI202" i="16" s="1"/>
  <c r="T92" i="16"/>
  <c r="U92" i="16" s="1"/>
  <c r="V92" i="16" s="1"/>
  <c r="T36" i="16"/>
  <c r="U36" i="16" s="1"/>
  <c r="T234" i="16"/>
  <c r="U234" i="16" s="1"/>
  <c r="V234" i="16" s="1"/>
  <c r="K234" i="16"/>
  <c r="X234" i="16" s="1"/>
  <c r="L234" i="16"/>
  <c r="V93" i="16"/>
  <c r="I240" i="16"/>
  <c r="J240" i="16" s="1"/>
  <c r="P240" i="16" s="1"/>
  <c r="T237" i="16"/>
  <c r="U237" i="16" s="1"/>
  <c r="V237" i="16" s="1"/>
  <c r="AA25" i="16"/>
  <c r="AH25" i="16"/>
  <c r="AI25" i="16" s="1"/>
  <c r="AA190" i="16"/>
  <c r="AH190" i="16"/>
  <c r="AI190" i="16" s="1"/>
  <c r="V13" i="16"/>
  <c r="Z13" i="16" s="1"/>
  <c r="Y13" i="16"/>
  <c r="AG13" i="16" s="1"/>
  <c r="AA166" i="16"/>
  <c r="AH166" i="16"/>
  <c r="AI166" i="16" s="1"/>
  <c r="AH158" i="16"/>
  <c r="AI158" i="16" s="1"/>
  <c r="AA158" i="16"/>
  <c r="S228" i="16"/>
  <c r="V181" i="16"/>
  <c r="Z181" i="16" s="1"/>
  <c r="Y181" i="16"/>
  <c r="AG181" i="16" s="1"/>
  <c r="G115" i="16"/>
  <c r="I241" i="16"/>
  <c r="J241" i="16" s="1"/>
  <c r="P241" i="16" s="1"/>
  <c r="AA208" i="16"/>
  <c r="AH208" i="16"/>
  <c r="AI208" i="16" s="1"/>
  <c r="AA150" i="16"/>
  <c r="AH150" i="16"/>
  <c r="AI150" i="16" s="1"/>
  <c r="AA151" i="16"/>
  <c r="AH151" i="16"/>
  <c r="AI151" i="16" s="1"/>
  <c r="AA145" i="16"/>
  <c r="AH145" i="16"/>
  <c r="AI145" i="16" s="1"/>
  <c r="AA15" i="16"/>
  <c r="AH15" i="16"/>
  <c r="AI15" i="16" s="1"/>
  <c r="Y215" i="16"/>
  <c r="AG215" i="16" s="1"/>
  <c r="V215" i="16"/>
  <c r="Z215" i="16" s="1"/>
  <c r="AA195" i="16"/>
  <c r="AH195" i="16"/>
  <c r="AI195" i="16" s="1"/>
  <c r="Y5" i="16"/>
  <c r="AG5" i="16" s="1"/>
  <c r="V5" i="16"/>
  <c r="Z5" i="16" s="1"/>
  <c r="AH185" i="16"/>
  <c r="AI185" i="16" s="1"/>
  <c r="AA185" i="16"/>
  <c r="AA155" i="16"/>
  <c r="AH155" i="16"/>
  <c r="AI155" i="16" s="1"/>
  <c r="L196" i="16"/>
  <c r="K196" i="16"/>
  <c r="X196" i="16" s="1"/>
  <c r="T196" i="16"/>
  <c r="U196" i="16" s="1"/>
  <c r="G244" i="16"/>
  <c r="AA194" i="16"/>
  <c r="AH194" i="16"/>
  <c r="AI194" i="16" s="1"/>
  <c r="V21" i="16"/>
  <c r="Z21" i="16" s="1"/>
  <c r="Y21" i="16"/>
  <c r="AG21" i="16" s="1"/>
  <c r="S224" i="16"/>
  <c r="Z224" i="16"/>
  <c r="AH167" i="16"/>
  <c r="AI167" i="16" s="1"/>
  <c r="AA167" i="16"/>
  <c r="Y157" i="16"/>
  <c r="AG157" i="16" s="1"/>
  <c r="V157" i="16"/>
  <c r="Z157" i="16" s="1"/>
  <c r="Y165" i="16"/>
  <c r="AG165" i="16" s="1"/>
  <c r="Y230" i="16"/>
  <c r="AG230" i="16" s="1"/>
  <c r="V230" i="16"/>
  <c r="Z230" i="16" s="1"/>
  <c r="Q234" i="16"/>
  <c r="R234" i="16"/>
  <c r="S234" i="16" s="1"/>
  <c r="T105" i="16"/>
  <c r="U105" i="16" s="1"/>
  <c r="V105" i="16" s="1"/>
  <c r="T172" i="16"/>
  <c r="U172" i="16" s="1"/>
  <c r="K172" i="16"/>
  <c r="X172" i="16" s="1"/>
  <c r="L172" i="16"/>
  <c r="T100" i="16"/>
  <c r="U100" i="16" s="1"/>
  <c r="Y225" i="16"/>
  <c r="AG225" i="16" s="1"/>
  <c r="V225" i="16"/>
  <c r="Z225" i="16" s="1"/>
  <c r="AH187" i="16"/>
  <c r="AI187" i="16" s="1"/>
  <c r="AA187" i="16"/>
  <c r="V37" i="16"/>
  <c r="Q231" i="16"/>
  <c r="Y231" i="16" s="1"/>
  <c r="AG231" i="16" s="1"/>
  <c r="R231" i="16"/>
  <c r="S231" i="16" s="1"/>
  <c r="AA22" i="16"/>
  <c r="AH22" i="16"/>
  <c r="AI22" i="16" s="1"/>
  <c r="AA174" i="16"/>
  <c r="AH174" i="16"/>
  <c r="AI174" i="16" s="1"/>
  <c r="S229" i="16"/>
  <c r="Z229" i="16"/>
  <c r="G116" i="9" a="1"/>
  <c r="G116" i="9" s="1"/>
  <c r="AL116" i="16" s="1"/>
  <c r="T35" i="12"/>
  <c r="G123" i="9" a="1"/>
  <c r="G123" i="9" s="1"/>
  <c r="AL123" i="16" s="1"/>
  <c r="G123" i="16" s="1"/>
  <c r="G251" i="9" a="1"/>
  <c r="G251" i="9" s="1"/>
  <c r="AL251" i="16" s="1"/>
  <c r="G251" i="16" s="1"/>
  <c r="G129" i="9" a="1"/>
  <c r="G129" i="9" s="1"/>
  <c r="AL129" i="16" s="1"/>
  <c r="G257" i="9" a="1"/>
  <c r="G257" i="9" s="1"/>
  <c r="AL257" i="16" s="1"/>
  <c r="G250" i="9" a="1"/>
  <c r="G250" i="9" s="1"/>
  <c r="AL250" i="16" s="1"/>
  <c r="G250" i="16" s="1"/>
  <c r="G122" i="9" a="1"/>
  <c r="G122" i="9" s="1"/>
  <c r="AL122" i="16" s="1"/>
  <c r="G122" i="16" s="1"/>
  <c r="G255" i="9" a="1"/>
  <c r="G255" i="9" s="1"/>
  <c r="AL255" i="16" s="1"/>
  <c r="G127" i="9" a="1"/>
  <c r="G127" i="9" s="1"/>
  <c r="AL127" i="16" s="1"/>
  <c r="T17" i="11"/>
  <c r="G131" i="9" a="1"/>
  <c r="G131" i="9" s="1"/>
  <c r="AL131" i="16" s="1"/>
  <c r="G125" i="9" a="1"/>
  <c r="G125" i="9" s="1"/>
  <c r="AL125" i="16" s="1"/>
  <c r="G125" i="16" s="1"/>
  <c r="T35" i="13"/>
  <c r="G253" i="9" a="1"/>
  <c r="G253" i="9" s="1"/>
  <c r="AL253" i="16" s="1"/>
  <c r="G253" i="16" s="1"/>
  <c r="G246" i="9" a="1"/>
  <c r="G246" i="9" s="1"/>
  <c r="AL246" i="16" s="1"/>
  <c r="G118" i="9" a="1"/>
  <c r="G118" i="9" s="1"/>
  <c r="AL118" i="16" s="1"/>
  <c r="G258" i="9" a="1"/>
  <c r="G258" i="9" s="1"/>
  <c r="G130" i="9" a="1"/>
  <c r="G130" i="9" s="1"/>
  <c r="AL130" i="16" s="1"/>
  <c r="G248" i="9" a="1"/>
  <c r="G248" i="9" s="1"/>
  <c r="AL248" i="16" s="1"/>
  <c r="G120" i="9" a="1"/>
  <c r="G120" i="9" s="1"/>
  <c r="AL120" i="16" s="1"/>
  <c r="G120" i="16" s="1"/>
  <c r="T19" i="11"/>
  <c r="G254" i="9" a="1"/>
  <c r="G254" i="9" s="1"/>
  <c r="AL254" i="16" s="1"/>
  <c r="G126" i="9" a="1"/>
  <c r="G126" i="9" s="1"/>
  <c r="AL126" i="16" s="1"/>
  <c r="T24" i="11"/>
  <c r="T21" i="11"/>
  <c r="T22" i="11"/>
  <c r="G128" i="9" a="1"/>
  <c r="G128" i="9" s="1"/>
  <c r="AL128" i="16" s="1"/>
  <c r="G256" i="9" a="1"/>
  <c r="G256" i="9" s="1"/>
  <c r="AL256" i="16" s="1"/>
  <c r="G121" i="9" a="1"/>
  <c r="G121" i="9" s="1"/>
  <c r="AL121" i="16" s="1"/>
  <c r="G121" i="16" s="1"/>
  <c r="G249" i="9" a="1"/>
  <c r="G249" i="9" s="1"/>
  <c r="AL249" i="16" s="1"/>
  <c r="G257" i="16" s="1"/>
  <c r="G110" i="9" a="1"/>
  <c r="G110" i="9" s="1"/>
  <c r="AL110" i="16" s="1"/>
  <c r="G238" i="9" a="1"/>
  <c r="G238" i="9" s="1"/>
  <c r="AL238" i="16" s="1"/>
  <c r="S35" i="12"/>
  <c r="S8" i="13"/>
  <c r="S30" i="13" s="1"/>
  <c r="S35" i="13" s="1"/>
  <c r="T18" i="11"/>
  <c r="T20" i="11"/>
  <c r="T20" i="2"/>
  <c r="T19" i="4"/>
  <c r="T18" i="2"/>
  <c r="T20" i="6"/>
  <c r="T6" i="2"/>
  <c r="T6" i="7"/>
  <c r="T6" i="8"/>
  <c r="T6" i="5"/>
  <c r="T6" i="6"/>
  <c r="T6" i="4"/>
  <c r="S11" i="2"/>
  <c r="S11" i="8"/>
  <c r="S11" i="7"/>
  <c r="S33" i="7" s="1"/>
  <c r="S33" i="8" s="1"/>
  <c r="S11" i="6"/>
  <c r="S11" i="4"/>
  <c r="S11" i="5"/>
  <c r="S33" i="5" s="1"/>
  <c r="I250" i="9" s="1" a="1"/>
  <c r="I250" i="9" s="1"/>
  <c r="AN250" i="16" s="1"/>
  <c r="I250" i="16" s="1"/>
  <c r="J250" i="16" s="1"/>
  <c r="P250" i="16" s="1"/>
  <c r="S8" i="2"/>
  <c r="S8" i="8"/>
  <c r="S8" i="7"/>
  <c r="S30" i="7" s="1"/>
  <c r="S30" i="8" s="1"/>
  <c r="S8" i="5"/>
  <c r="S30" i="5" s="1"/>
  <c r="I247" i="9" s="1" a="1"/>
  <c r="I247" i="9" s="1"/>
  <c r="AN247" i="16" s="1"/>
  <c r="I247" i="16" s="1"/>
  <c r="J247" i="16" s="1"/>
  <c r="P247" i="16" s="1"/>
  <c r="S8" i="6"/>
  <c r="S8" i="4"/>
  <c r="T9" i="2"/>
  <c r="T9" i="8"/>
  <c r="T9" i="7"/>
  <c r="T9" i="5"/>
  <c r="T9" i="6"/>
  <c r="T9" i="4"/>
  <c r="S7" i="2"/>
  <c r="S7" i="8"/>
  <c r="S7" i="7"/>
  <c r="S29" i="7" s="1"/>
  <c r="S29" i="8" s="1"/>
  <c r="S7" i="6"/>
  <c r="S7" i="4"/>
  <c r="S7" i="5"/>
  <c r="S29" i="5" s="1"/>
  <c r="I246" i="9" s="1" a="1"/>
  <c r="I246" i="9" s="1"/>
  <c r="AN246" i="16" s="1"/>
  <c r="I246" i="16" s="1"/>
  <c r="J246" i="16" s="1"/>
  <c r="P246" i="16" s="1"/>
  <c r="T17" i="5"/>
  <c r="T24" i="7"/>
  <c r="S24" i="8"/>
  <c r="T20" i="4"/>
  <c r="T23" i="5"/>
  <c r="T18" i="4"/>
  <c r="T18" i="6"/>
  <c r="T21" i="7"/>
  <c r="S21" i="8"/>
  <c r="S12" i="2"/>
  <c r="S12" i="8"/>
  <c r="S12" i="7"/>
  <c r="S34" i="7" s="1"/>
  <c r="S34" i="8" s="1"/>
  <c r="S12" i="6"/>
  <c r="S12" i="5"/>
  <c r="S34" i="5" s="1"/>
  <c r="I251" i="9" s="1" a="1"/>
  <c r="I251" i="9" s="1"/>
  <c r="AN251" i="16" s="1"/>
  <c r="I251" i="16" s="1"/>
  <c r="J251" i="16" s="1"/>
  <c r="P251" i="16" s="1"/>
  <c r="S12" i="4"/>
  <c r="T11" i="2"/>
  <c r="T11" i="8"/>
  <c r="T11" i="7"/>
  <c r="T11" i="6"/>
  <c r="T11" i="5"/>
  <c r="T11" i="4"/>
  <c r="T8" i="2"/>
  <c r="T8" i="8"/>
  <c r="T8" i="7"/>
  <c r="T8" i="5"/>
  <c r="T8" i="6"/>
  <c r="T8" i="4"/>
  <c r="T7" i="2"/>
  <c r="T7" i="8"/>
  <c r="T7" i="7"/>
  <c r="T7" i="5"/>
  <c r="T7" i="6"/>
  <c r="T7" i="4"/>
  <c r="T24" i="6"/>
  <c r="T17" i="4"/>
  <c r="T17" i="7"/>
  <c r="S17" i="8"/>
  <c r="T22" i="7"/>
  <c r="S22" i="8"/>
  <c r="T20" i="5"/>
  <c r="T17" i="6"/>
  <c r="T24" i="5"/>
  <c r="T19" i="6"/>
  <c r="S13" i="2"/>
  <c r="S13" i="8"/>
  <c r="S13" i="7"/>
  <c r="S35" i="7" s="1"/>
  <c r="S35" i="8" s="1"/>
  <c r="S13" i="6"/>
  <c r="S13" i="4"/>
  <c r="S13" i="5"/>
  <c r="S35" i="5" s="1"/>
  <c r="I252" i="9" s="1" a="1"/>
  <c r="I252" i="9" s="1"/>
  <c r="AN252" i="16" s="1"/>
  <c r="I252" i="16" s="1"/>
  <c r="J252" i="16" s="1"/>
  <c r="P252" i="16" s="1"/>
  <c r="S10" i="2"/>
  <c r="S10" i="8"/>
  <c r="S10" i="7"/>
  <c r="S32" i="7" s="1"/>
  <c r="S32" i="8" s="1"/>
  <c r="S10" i="6"/>
  <c r="S10" i="5"/>
  <c r="S32" i="5" s="1"/>
  <c r="I249" i="9" s="1" a="1"/>
  <c r="I249" i="9" s="1"/>
  <c r="AN249" i="16" s="1"/>
  <c r="I249" i="16" s="1"/>
  <c r="J249" i="16" s="1"/>
  <c r="P249" i="16" s="1"/>
  <c r="S10" i="4"/>
  <c r="T23" i="7"/>
  <c r="S23" i="8"/>
  <c r="T23" i="4"/>
  <c r="T21" i="6"/>
  <c r="T22" i="5"/>
  <c r="T23" i="6"/>
  <c r="T24" i="4"/>
  <c r="T21" i="5"/>
  <c r="T19" i="7"/>
  <c r="S19" i="8"/>
  <c r="T18" i="7"/>
  <c r="S18" i="8"/>
  <c r="S6" i="2"/>
  <c r="S6" i="8"/>
  <c r="S6" i="7"/>
  <c r="S28" i="7" s="1"/>
  <c r="S28" i="8" s="1"/>
  <c r="S6" i="5"/>
  <c r="S28" i="5" s="1"/>
  <c r="I245" i="9" s="1" a="1"/>
  <c r="I245" i="9" s="1"/>
  <c r="AN245" i="16" s="1"/>
  <c r="I245" i="16" s="1"/>
  <c r="S6" i="6"/>
  <c r="S6" i="4"/>
  <c r="T13" i="2"/>
  <c r="T13" i="8"/>
  <c r="T13" i="7"/>
  <c r="T13" i="6"/>
  <c r="T13" i="5"/>
  <c r="T13" i="4"/>
  <c r="S9" i="2"/>
  <c r="S9" i="8"/>
  <c r="S9" i="7"/>
  <c r="S31" i="7" s="1"/>
  <c r="S31" i="8" s="1"/>
  <c r="S9" i="6"/>
  <c r="S9" i="4"/>
  <c r="S9" i="5"/>
  <c r="S31" i="5" s="1"/>
  <c r="I248" i="9" s="1" a="1"/>
  <c r="I248" i="9" s="1"/>
  <c r="AN248" i="16" s="1"/>
  <c r="I248" i="16" s="1"/>
  <c r="J248" i="16" s="1"/>
  <c r="P248" i="16" s="1"/>
  <c r="T10" i="2"/>
  <c r="T10" i="8"/>
  <c r="T10" i="7"/>
  <c r="T10" i="6"/>
  <c r="T10" i="5"/>
  <c r="T10" i="4"/>
  <c r="T20" i="7"/>
  <c r="S20" i="8"/>
  <c r="T21" i="4"/>
  <c r="T22" i="4"/>
  <c r="T19" i="5"/>
  <c r="T18" i="5"/>
  <c r="T22" i="6"/>
  <c r="L85" i="9"/>
  <c r="I85" i="9" s="1" a="1"/>
  <c r="I85" i="9" s="1"/>
  <c r="AN85" i="16" s="1"/>
  <c r="E86" i="9"/>
  <c r="L33" i="9"/>
  <c r="I33" i="9" s="1" a="1"/>
  <c r="I33" i="9" s="1"/>
  <c r="AN33" i="16" s="1"/>
  <c r="E34" i="9"/>
  <c r="T24" i="2"/>
  <c r="T21" i="2"/>
  <c r="T17" i="2"/>
  <c r="T19" i="2"/>
  <c r="T35" i="1"/>
  <c r="T12" i="11" s="1"/>
  <c r="T23" i="2"/>
  <c r="T22" i="2"/>
  <c r="K237" i="16" l="1"/>
  <c r="X237" i="16" s="1"/>
  <c r="Y234" i="16"/>
  <c r="AG234" i="16" s="1"/>
  <c r="G256" i="16"/>
  <c r="T256" i="16" s="1"/>
  <c r="U256" i="16" s="1"/>
  <c r="Y228" i="16"/>
  <c r="AG228" i="16" s="1"/>
  <c r="G128" i="16"/>
  <c r="T128" i="16" s="1"/>
  <c r="U128" i="16" s="1"/>
  <c r="G129" i="16"/>
  <c r="T129" i="16" s="1"/>
  <c r="U129" i="16" s="1"/>
  <c r="Q249" i="16"/>
  <c r="R249" i="16"/>
  <c r="S249" i="16" s="1"/>
  <c r="T122" i="16"/>
  <c r="U122" i="16" s="1"/>
  <c r="Q247" i="16"/>
  <c r="R247" i="16"/>
  <c r="J245" i="16"/>
  <c r="P245" i="16" s="1"/>
  <c r="K245" i="16"/>
  <c r="X245" i="16" s="1"/>
  <c r="L245" i="16"/>
  <c r="T121" i="16"/>
  <c r="U121" i="16" s="1"/>
  <c r="Q246" i="16"/>
  <c r="R246" i="16"/>
  <c r="S246" i="16" s="1"/>
  <c r="T251" i="16"/>
  <c r="U251" i="16" s="1"/>
  <c r="K251" i="16"/>
  <c r="X251" i="16" s="1"/>
  <c r="L251" i="16"/>
  <c r="AA230" i="16"/>
  <c r="AH230" i="16"/>
  <c r="AI230" i="16" s="1"/>
  <c r="Q248" i="16"/>
  <c r="R248" i="16"/>
  <c r="S248" i="16" s="1"/>
  <c r="T123" i="16"/>
  <c r="U123" i="16" s="1"/>
  <c r="V123" i="16" s="1"/>
  <c r="AH225" i="16"/>
  <c r="AI225" i="16" s="1"/>
  <c r="AA225" i="16"/>
  <c r="AA224" i="16"/>
  <c r="AH224" i="16"/>
  <c r="AI224" i="16" s="1"/>
  <c r="G246" i="16"/>
  <c r="G238" i="16"/>
  <c r="G254" i="16"/>
  <c r="G126" i="16"/>
  <c r="G118" i="16"/>
  <c r="G110" i="16"/>
  <c r="AA229" i="16"/>
  <c r="AH229" i="16"/>
  <c r="AI229" i="16" s="1"/>
  <c r="AA21" i="16"/>
  <c r="AH21" i="16"/>
  <c r="AI21" i="16" s="1"/>
  <c r="K250" i="16"/>
  <c r="X250" i="16" s="1"/>
  <c r="L250" i="16"/>
  <c r="T250" i="16"/>
  <c r="U250" i="16" s="1"/>
  <c r="V250" i="16" s="1"/>
  <c r="AH181" i="16"/>
  <c r="AI181" i="16" s="1"/>
  <c r="AA181" i="16"/>
  <c r="L237" i="16"/>
  <c r="AH205" i="16"/>
  <c r="AI205" i="16" s="1"/>
  <c r="AA205" i="16"/>
  <c r="G249" i="16"/>
  <c r="G130" i="16"/>
  <c r="V109" i="16"/>
  <c r="Q239" i="16"/>
  <c r="R239" i="16"/>
  <c r="AH221" i="16"/>
  <c r="AI221" i="16" s="1"/>
  <c r="AA221" i="16"/>
  <c r="L241" i="16"/>
  <c r="T120" i="16"/>
  <c r="U120" i="16" s="1"/>
  <c r="AH197" i="16"/>
  <c r="AI197" i="16" s="1"/>
  <c r="AA197" i="16"/>
  <c r="Q251" i="16"/>
  <c r="R251" i="16"/>
  <c r="I33" i="16"/>
  <c r="G116" i="16"/>
  <c r="K244" i="16"/>
  <c r="X244" i="16" s="1"/>
  <c r="L244" i="16"/>
  <c r="T244" i="16"/>
  <c r="U244" i="16" s="1"/>
  <c r="AH5" i="16"/>
  <c r="AI5" i="16" s="1"/>
  <c r="AA5" i="16"/>
  <c r="AH228" i="16"/>
  <c r="AI228" i="16" s="1"/>
  <c r="AA228" i="16"/>
  <c r="AH13" i="16"/>
  <c r="AI13" i="16" s="1"/>
  <c r="AA13" i="16"/>
  <c r="Y204" i="16"/>
  <c r="AG204" i="16" s="1"/>
  <c r="V204" i="16"/>
  <c r="Z204" i="16" s="1"/>
  <c r="AA227" i="16"/>
  <c r="AH227" i="16"/>
  <c r="AI227" i="16" s="1"/>
  <c r="V220" i="16"/>
  <c r="Z220" i="16" s="1"/>
  <c r="Y220" i="16"/>
  <c r="AG220" i="16" s="1"/>
  <c r="T114" i="16"/>
  <c r="U114" i="16" s="1"/>
  <c r="K236" i="16"/>
  <c r="X236" i="16" s="1"/>
  <c r="L236" i="16"/>
  <c r="T236" i="16"/>
  <c r="U236" i="16" s="1"/>
  <c r="K239" i="16"/>
  <c r="X239" i="16" s="1"/>
  <c r="T239" i="16"/>
  <c r="U239" i="16" s="1"/>
  <c r="V239" i="16" s="1"/>
  <c r="L239" i="16"/>
  <c r="V188" i="16"/>
  <c r="Z188" i="16" s="1"/>
  <c r="Y188" i="16"/>
  <c r="AG188" i="16" s="1"/>
  <c r="AH149" i="16"/>
  <c r="AI149" i="16" s="1"/>
  <c r="AA149" i="16"/>
  <c r="S232" i="16"/>
  <c r="Y233" i="16"/>
  <c r="AG233" i="16" s="1"/>
  <c r="V233" i="16"/>
  <c r="Z233" i="16" s="1"/>
  <c r="Y28" i="16"/>
  <c r="AG28" i="16" s="1"/>
  <c r="V28" i="16"/>
  <c r="Z28" i="16" s="1"/>
  <c r="K241" i="16"/>
  <c r="X241" i="16" s="1"/>
  <c r="Q240" i="16"/>
  <c r="R240" i="16"/>
  <c r="S240" i="16" s="1"/>
  <c r="V36" i="16"/>
  <c r="Z231" i="16"/>
  <c r="V52" i="16"/>
  <c r="T108" i="16"/>
  <c r="U108" i="16" s="1"/>
  <c r="V108" i="16" s="1"/>
  <c r="AH133" i="16"/>
  <c r="AI133" i="16" s="1"/>
  <c r="AA133" i="16"/>
  <c r="Z235" i="16"/>
  <c r="S235" i="16"/>
  <c r="Y20" i="16"/>
  <c r="AG20" i="16" s="1"/>
  <c r="V20" i="16"/>
  <c r="Z20" i="16" s="1"/>
  <c r="L243" i="16"/>
  <c r="K243" i="16"/>
  <c r="X243" i="16" s="1"/>
  <c r="T243" i="16"/>
  <c r="U243" i="16" s="1"/>
  <c r="V243" i="16" s="1"/>
  <c r="Z243" i="16" s="1"/>
  <c r="AH222" i="16"/>
  <c r="AI222" i="16" s="1"/>
  <c r="AA222" i="16"/>
  <c r="Q238" i="16"/>
  <c r="R238" i="16"/>
  <c r="L242" i="16"/>
  <c r="V241" i="16"/>
  <c r="Y172" i="16"/>
  <c r="AG172" i="16" s="1"/>
  <c r="V172" i="16"/>
  <c r="Z172" i="16" s="1"/>
  <c r="K240" i="16"/>
  <c r="X240" i="16" s="1"/>
  <c r="L240" i="16"/>
  <c r="T240" i="16"/>
  <c r="U240" i="16" s="1"/>
  <c r="T253" i="16"/>
  <c r="U253" i="16" s="1"/>
  <c r="AH213" i="16"/>
  <c r="AI213" i="16" s="1"/>
  <c r="AA213" i="16"/>
  <c r="V242" i="16"/>
  <c r="V117" i="16"/>
  <c r="V60" i="16"/>
  <c r="AL258" i="16"/>
  <c r="G258" i="16" s="1"/>
  <c r="AL259" i="16"/>
  <c r="G259" i="16" s="1"/>
  <c r="AA157" i="16"/>
  <c r="AH157" i="16"/>
  <c r="AI157" i="16" s="1"/>
  <c r="G131" i="16"/>
  <c r="Q242" i="16"/>
  <c r="Y242" i="16" s="1"/>
  <c r="AG242" i="16" s="1"/>
  <c r="R242" i="16"/>
  <c r="V164" i="16"/>
  <c r="Z164" i="16" s="1"/>
  <c r="Y164" i="16"/>
  <c r="AG164" i="16" s="1"/>
  <c r="Y232" i="16"/>
  <c r="AG232" i="16" s="1"/>
  <c r="V232" i="16"/>
  <c r="Z232" i="16" s="1"/>
  <c r="K242" i="16"/>
  <c r="X242" i="16" s="1"/>
  <c r="Y196" i="16"/>
  <c r="AG196" i="16" s="1"/>
  <c r="V196" i="16"/>
  <c r="Z196" i="16" s="1"/>
  <c r="V100" i="16"/>
  <c r="AH215" i="16"/>
  <c r="AI215" i="16" s="1"/>
  <c r="AA215" i="16"/>
  <c r="T115" i="16"/>
  <c r="U115" i="16" s="1"/>
  <c r="V115" i="16" s="1"/>
  <c r="AH141" i="16"/>
  <c r="AI141" i="16" s="1"/>
  <c r="AA141" i="16"/>
  <c r="AA30" i="16"/>
  <c r="AH30" i="16"/>
  <c r="AI30" i="16" s="1"/>
  <c r="Q250" i="16"/>
  <c r="R250" i="16"/>
  <c r="S250" i="16" s="1"/>
  <c r="T113" i="16"/>
  <c r="U113" i="16" s="1"/>
  <c r="V113" i="16" s="1"/>
  <c r="V156" i="16"/>
  <c r="Z156" i="16" s="1"/>
  <c r="Y156" i="16"/>
  <c r="AG156" i="16" s="1"/>
  <c r="V84" i="16"/>
  <c r="V148" i="16"/>
  <c r="Z148" i="16" s="1"/>
  <c r="Y148" i="16"/>
  <c r="AG148" i="16" s="1"/>
  <c r="T111" i="16"/>
  <c r="U111" i="16" s="1"/>
  <c r="Q252" i="16"/>
  <c r="R252" i="16"/>
  <c r="V180" i="16"/>
  <c r="Z180" i="16" s="1"/>
  <c r="Y180" i="16"/>
  <c r="AG180" i="16" s="1"/>
  <c r="V212" i="16"/>
  <c r="Z212" i="16" s="1"/>
  <c r="Y212" i="16"/>
  <c r="AG212" i="16" s="1"/>
  <c r="Q31" i="16"/>
  <c r="Y31" i="16" s="1"/>
  <c r="AG31" i="16" s="1"/>
  <c r="R31" i="16"/>
  <c r="J32" i="16"/>
  <c r="P32" i="16" s="1"/>
  <c r="L32" i="16"/>
  <c r="K32" i="16"/>
  <c r="X32" i="16" s="1"/>
  <c r="G248" i="16"/>
  <c r="Q241" i="16"/>
  <c r="Y241" i="16" s="1"/>
  <c r="AG241" i="16" s="1"/>
  <c r="R241" i="16"/>
  <c r="T257" i="16"/>
  <c r="U257" i="16" s="1"/>
  <c r="Z234" i="16"/>
  <c r="T125" i="16"/>
  <c r="U125" i="16" s="1"/>
  <c r="Q237" i="16"/>
  <c r="Y237" i="16" s="1"/>
  <c r="AG237" i="16" s="1"/>
  <c r="R237" i="16"/>
  <c r="Y140" i="16"/>
  <c r="AG140" i="16" s="1"/>
  <c r="V140" i="16"/>
  <c r="Z140" i="16" s="1"/>
  <c r="V12" i="16"/>
  <c r="Z12" i="16" s="1"/>
  <c r="Y12" i="16"/>
  <c r="AG12" i="16" s="1"/>
  <c r="V245" i="16"/>
  <c r="G132" i="9" a="1"/>
  <c r="G132" i="9" s="1"/>
  <c r="AL132" i="16" s="1"/>
  <c r="G260" i="9" a="1"/>
  <c r="G260" i="9" s="1"/>
  <c r="AL260" i="16" s="1"/>
  <c r="T29" i="5"/>
  <c r="I254" i="9" s="1" a="1"/>
  <c r="I254" i="9" s="1"/>
  <c r="AN254" i="16" s="1"/>
  <c r="I254" i="16" s="1"/>
  <c r="J254" i="16" s="1"/>
  <c r="P254" i="16" s="1"/>
  <c r="G252" i="9" a="1"/>
  <c r="G252" i="9" s="1"/>
  <c r="AL252" i="16" s="1"/>
  <c r="G124" i="9" a="1"/>
  <c r="G124" i="9" s="1"/>
  <c r="AL124" i="16" s="1"/>
  <c r="T31" i="5"/>
  <c r="I256" i="9" s="1" a="1"/>
  <c r="I256" i="9" s="1"/>
  <c r="AN256" i="16" s="1"/>
  <c r="I256" i="16" s="1"/>
  <c r="J256" i="16" s="1"/>
  <c r="P256" i="16" s="1"/>
  <c r="G247" i="9" a="1"/>
  <c r="G247" i="9" s="1"/>
  <c r="AL247" i="16" s="1"/>
  <c r="G119" i="9" a="1"/>
  <c r="G119" i="9" s="1"/>
  <c r="AL119" i="16" s="1"/>
  <c r="T30" i="5"/>
  <c r="I255" i="9" s="1" a="1"/>
  <c r="I255" i="9" s="1"/>
  <c r="AN255" i="16" s="1"/>
  <c r="I255" i="16" s="1"/>
  <c r="J255" i="16" s="1"/>
  <c r="P255" i="16" s="1"/>
  <c r="T18" i="8"/>
  <c r="U18" i="8" s="1"/>
  <c r="T29" i="7"/>
  <c r="T29" i="8" s="1"/>
  <c r="U29" i="8" s="1"/>
  <c r="T32" i="5"/>
  <c r="I257" i="9" s="1" a="1"/>
  <c r="I257" i="9" s="1"/>
  <c r="AN257" i="16" s="1"/>
  <c r="I257" i="16" s="1"/>
  <c r="J257" i="16" s="1"/>
  <c r="P257" i="16" s="1"/>
  <c r="T28" i="5"/>
  <c r="I253" i="9" s="1" a="1"/>
  <c r="I253" i="9" s="1"/>
  <c r="AN253" i="16" s="1"/>
  <c r="I253" i="16" s="1"/>
  <c r="J253" i="16" s="1"/>
  <c r="P253" i="16" s="1"/>
  <c r="T35" i="5"/>
  <c r="I260" i="9" s="1" a="1"/>
  <c r="I260" i="9" s="1"/>
  <c r="AN260" i="16" s="1"/>
  <c r="I260" i="16" s="1"/>
  <c r="J260" i="16" s="1"/>
  <c r="P260" i="16" s="1"/>
  <c r="T21" i="8"/>
  <c r="U21" i="8" s="1"/>
  <c r="T32" i="7"/>
  <c r="T32" i="8" s="1"/>
  <c r="U32" i="8" s="1"/>
  <c r="T12" i="2"/>
  <c r="T12" i="8"/>
  <c r="T12" i="7"/>
  <c r="T34" i="7" s="1"/>
  <c r="T34" i="8" s="1"/>
  <c r="U34" i="8" s="1"/>
  <c r="T12" i="6"/>
  <c r="T12" i="5"/>
  <c r="T34" i="5" s="1"/>
  <c r="I259" i="9" s="1" a="1"/>
  <c r="I259" i="9" s="1"/>
  <c r="T12" i="4"/>
  <c r="T23" i="8"/>
  <c r="U23" i="8" s="1"/>
  <c r="T22" i="8"/>
  <c r="U22" i="8" s="1"/>
  <c r="T33" i="7"/>
  <c r="T33" i="8" s="1"/>
  <c r="U33" i="8" s="1"/>
  <c r="T20" i="8"/>
  <c r="U20" i="8" s="1"/>
  <c r="T31" i="7"/>
  <c r="T31" i="8" s="1"/>
  <c r="U31" i="8" s="1"/>
  <c r="T19" i="8"/>
  <c r="U19" i="8" s="1"/>
  <c r="T30" i="7"/>
  <c r="T30" i="8" s="1"/>
  <c r="U30" i="8" s="1"/>
  <c r="T33" i="5"/>
  <c r="I258" i="9" s="1" a="1"/>
  <c r="I258" i="9" s="1"/>
  <c r="T17" i="8"/>
  <c r="U17" i="8" s="1"/>
  <c r="T28" i="7"/>
  <c r="T28" i="8" s="1"/>
  <c r="U28" i="8" s="1"/>
  <c r="T24" i="8"/>
  <c r="U24" i="8" s="1"/>
  <c r="T35" i="7"/>
  <c r="T35" i="8" s="1"/>
  <c r="U35" i="8" s="1"/>
  <c r="E87" i="9"/>
  <c r="L86" i="9"/>
  <c r="I86" i="9" s="1" a="1"/>
  <c r="I86" i="9" s="1"/>
  <c r="AN86" i="16" s="1"/>
  <c r="L34" i="9"/>
  <c r="I34" i="9" s="1" a="1"/>
  <c r="I34" i="9" s="1"/>
  <c r="AN34" i="16" s="1"/>
  <c r="E35" i="9"/>
  <c r="G132" i="16" l="1"/>
  <c r="T132" i="16" s="1"/>
  <c r="U132" i="16" s="1"/>
  <c r="Y243" i="16"/>
  <c r="AG243" i="16" s="1"/>
  <c r="Y250" i="16"/>
  <c r="AG250" i="16" s="1"/>
  <c r="AH232" i="16"/>
  <c r="AI232" i="16" s="1"/>
  <c r="AA232" i="16"/>
  <c r="Q260" i="16"/>
  <c r="R260" i="16"/>
  <c r="Q254" i="16"/>
  <c r="R254" i="16"/>
  <c r="K248" i="16"/>
  <c r="X248" i="16" s="1"/>
  <c r="L248" i="16"/>
  <c r="T248" i="16"/>
  <c r="U248" i="16" s="1"/>
  <c r="V248" i="16" s="1"/>
  <c r="Z248" i="16" s="1"/>
  <c r="AA212" i="16"/>
  <c r="AH212" i="16"/>
  <c r="AI212" i="16" s="1"/>
  <c r="G119" i="16"/>
  <c r="G127" i="16"/>
  <c r="L257" i="16"/>
  <c r="Q32" i="16"/>
  <c r="Y32" i="16" s="1"/>
  <c r="AG32" i="16" s="1"/>
  <c r="R32" i="16"/>
  <c r="S252" i="16"/>
  <c r="L256" i="16"/>
  <c r="AH172" i="16"/>
  <c r="AI172" i="16" s="1"/>
  <c r="AA172" i="16"/>
  <c r="AA20" i="16"/>
  <c r="AH20" i="16"/>
  <c r="AI20" i="16" s="1"/>
  <c r="AH204" i="16"/>
  <c r="AI204" i="16" s="1"/>
  <c r="AA204" i="16"/>
  <c r="Y244" i="16"/>
  <c r="AG244" i="16" s="1"/>
  <c r="V244" i="16"/>
  <c r="Z244" i="16" s="1"/>
  <c r="Z250" i="16"/>
  <c r="T118" i="16"/>
  <c r="U118" i="16" s="1"/>
  <c r="S247" i="16"/>
  <c r="G255" i="16"/>
  <c r="G247" i="16"/>
  <c r="S237" i="16"/>
  <c r="Z237" i="16"/>
  <c r="V257" i="16"/>
  <c r="H436" i="17" a="1"/>
  <c r="H436" i="17" s="1"/>
  <c r="H439" i="17" a="1"/>
  <c r="H439" i="17" s="1"/>
  <c r="H438" i="17" a="1"/>
  <c r="H438" i="17" s="1"/>
  <c r="H437" i="17" a="1"/>
  <c r="H437" i="17" s="1"/>
  <c r="S31" i="16"/>
  <c r="Z31" i="16"/>
  <c r="Q257" i="16"/>
  <c r="R257" i="16"/>
  <c r="S238" i="16"/>
  <c r="AH28" i="16"/>
  <c r="AI28" i="16" s="1"/>
  <c r="AA28" i="16"/>
  <c r="J33" i="16"/>
  <c r="P33" i="16" s="1"/>
  <c r="L33" i="16"/>
  <c r="K33" i="16"/>
  <c r="X33" i="16" s="1"/>
  <c r="S251" i="16"/>
  <c r="T130" i="16"/>
  <c r="U130" i="16" s="1"/>
  <c r="T126" i="16"/>
  <c r="U126" i="16" s="1"/>
  <c r="V121" i="16"/>
  <c r="L253" i="16"/>
  <c r="T249" i="16"/>
  <c r="U249" i="16" s="1"/>
  <c r="K249" i="16"/>
  <c r="X249" i="16" s="1"/>
  <c r="L249" i="16"/>
  <c r="T254" i="16"/>
  <c r="U254" i="16" s="1"/>
  <c r="L254" i="16"/>
  <c r="K254" i="16"/>
  <c r="X254" i="16" s="1"/>
  <c r="Y251" i="16"/>
  <c r="AG251" i="16" s="1"/>
  <c r="V251" i="16"/>
  <c r="Z251" i="16" s="1"/>
  <c r="V122" i="16"/>
  <c r="Q256" i="16"/>
  <c r="Y256" i="16" s="1"/>
  <c r="R256" i="16"/>
  <c r="S241" i="16"/>
  <c r="Z241" i="16"/>
  <c r="AH156" i="16"/>
  <c r="AI156" i="16" s="1"/>
  <c r="AA156" i="16"/>
  <c r="V253" i="16"/>
  <c r="H423" i="17" a="1"/>
  <c r="H423" i="17" s="1"/>
  <c r="V128" i="16"/>
  <c r="H412" i="17" a="1"/>
  <c r="H412" i="17" s="1"/>
  <c r="H413" i="17" a="1"/>
  <c r="H413" i="17" s="1"/>
  <c r="H409" i="17" a="1"/>
  <c r="H409" i="17" s="1"/>
  <c r="H410" i="17" a="1"/>
  <c r="H410" i="17" s="1"/>
  <c r="H411" i="17" a="1"/>
  <c r="H411" i="17" s="1"/>
  <c r="AA235" i="16"/>
  <c r="AH235" i="16"/>
  <c r="AI235" i="16" s="1"/>
  <c r="AH231" i="16"/>
  <c r="AI231" i="16" s="1"/>
  <c r="AA231" i="16"/>
  <c r="AH233" i="16"/>
  <c r="AI233" i="16" s="1"/>
  <c r="AA233" i="16"/>
  <c r="T116" i="16"/>
  <c r="U116" i="16" s="1"/>
  <c r="V116" i="16" s="1"/>
  <c r="T238" i="16"/>
  <c r="U238" i="16" s="1"/>
  <c r="K238" i="16"/>
  <c r="X238" i="16" s="1"/>
  <c r="L238" i="16"/>
  <c r="G124" i="16"/>
  <c r="Q253" i="16"/>
  <c r="H27" i="17" s="1" a="1"/>
  <c r="H27" i="17" s="1"/>
  <c r="R253" i="16"/>
  <c r="G260" i="16"/>
  <c r="G252" i="16"/>
  <c r="V125" i="16"/>
  <c r="H445" i="17" s="1" a="1"/>
  <c r="H445" i="17" s="1"/>
  <c r="V5" i="17" s="1"/>
  <c r="V27" i="17" s="1"/>
  <c r="H585" i="17" s="1" a="1"/>
  <c r="H585" i="17" s="1"/>
  <c r="H401" i="17" a="1"/>
  <c r="H401" i="17" s="1"/>
  <c r="V111" i="16"/>
  <c r="AA196" i="16"/>
  <c r="AH196" i="16"/>
  <c r="AI196" i="16" s="1"/>
  <c r="K253" i="16"/>
  <c r="X253" i="16" s="1"/>
  <c r="K246" i="16"/>
  <c r="X246" i="16" s="1"/>
  <c r="L246" i="16"/>
  <c r="T246" i="16"/>
  <c r="U246" i="16" s="1"/>
  <c r="V129" i="16"/>
  <c r="H415" i="17" a="1"/>
  <c r="H415" i="17" s="1"/>
  <c r="H416" i="17" a="1"/>
  <c r="H416" i="17" s="1"/>
  <c r="H417" i="17" a="1"/>
  <c r="H417" i="17" s="1"/>
  <c r="H414" i="17" a="1"/>
  <c r="H414" i="17" s="1"/>
  <c r="T131" i="16"/>
  <c r="U131" i="16" s="1"/>
  <c r="V114" i="16"/>
  <c r="Y240" i="16"/>
  <c r="AG240" i="16" s="1"/>
  <c r="V240" i="16"/>
  <c r="Z240" i="16" s="1"/>
  <c r="AH220" i="16"/>
  <c r="AI220" i="16" s="1"/>
  <c r="AA220" i="16"/>
  <c r="AN259" i="16"/>
  <c r="I259" i="16" s="1"/>
  <c r="J259" i="16" s="1"/>
  <c r="P259" i="16" s="1"/>
  <c r="AN258" i="16"/>
  <c r="I258" i="16" s="1"/>
  <c r="J258" i="16" s="1"/>
  <c r="P258" i="16" s="1"/>
  <c r="AA188" i="16"/>
  <c r="AH188" i="16"/>
  <c r="AI188" i="16" s="1"/>
  <c r="I34" i="16"/>
  <c r="AA12" i="16"/>
  <c r="AH12" i="16"/>
  <c r="AI12" i="16" s="1"/>
  <c r="T259" i="16"/>
  <c r="U259" i="16" s="1"/>
  <c r="AA243" i="16"/>
  <c r="AH243" i="16"/>
  <c r="AI243" i="16" s="1"/>
  <c r="S239" i="16"/>
  <c r="Z239" i="16"/>
  <c r="AA234" i="16"/>
  <c r="AH234" i="16"/>
  <c r="AI234" i="16" s="1"/>
  <c r="AA148" i="16"/>
  <c r="AH148" i="16"/>
  <c r="AI148" i="16" s="1"/>
  <c r="V256" i="16"/>
  <c r="H433" i="17" a="1"/>
  <c r="H433" i="17" s="1"/>
  <c r="H435" i="17" a="1"/>
  <c r="H435" i="17" s="1"/>
  <c r="H432" i="17" a="1"/>
  <c r="H432" i="17" s="1"/>
  <c r="H434" i="17" a="1"/>
  <c r="H434" i="17" s="1"/>
  <c r="H431" i="17" a="1"/>
  <c r="H431" i="17" s="1"/>
  <c r="AA164" i="16"/>
  <c r="AH164" i="16"/>
  <c r="AI164" i="16" s="1"/>
  <c r="Y236" i="16"/>
  <c r="AG236" i="16" s="1"/>
  <c r="V236" i="16"/>
  <c r="Z236" i="16" s="1"/>
  <c r="Y239" i="16"/>
  <c r="AG239" i="16" s="1"/>
  <c r="Q245" i="16"/>
  <c r="Y245" i="16" s="1"/>
  <c r="AG245" i="16" s="1"/>
  <c r="R245" i="16"/>
  <c r="Q255" i="16"/>
  <c r="R255" i="16"/>
  <c r="AA140" i="16"/>
  <c r="AH140" i="16"/>
  <c r="AI140" i="16" s="1"/>
  <c r="K257" i="16"/>
  <c r="X257" i="16" s="1"/>
  <c r="AA180" i="16"/>
  <c r="AH180" i="16"/>
  <c r="AI180" i="16" s="1"/>
  <c r="K256" i="16"/>
  <c r="X256" i="16" s="1"/>
  <c r="Z242" i="16"/>
  <c r="S242" i="16"/>
  <c r="V120" i="16"/>
  <c r="T110" i="16"/>
  <c r="U110" i="16" s="1"/>
  <c r="T258" i="16"/>
  <c r="U258" i="16" s="1"/>
  <c r="L87" i="9"/>
  <c r="I87" i="9" s="1" a="1"/>
  <c r="I87" i="9" s="1"/>
  <c r="AN87" i="16" s="1"/>
  <c r="E88" i="9"/>
  <c r="E36" i="9"/>
  <c r="L35" i="9"/>
  <c r="I35" i="9" s="1" a="1"/>
  <c r="I35" i="9" s="1"/>
  <c r="AN35" i="16" s="1"/>
  <c r="Y248" i="16" l="1"/>
  <c r="AG248" i="16" s="1"/>
  <c r="L258" i="16"/>
  <c r="K258" i="16"/>
  <c r="X258" i="16" s="1"/>
  <c r="AH251" i="16"/>
  <c r="AI251" i="16" s="1"/>
  <c r="AA251" i="16"/>
  <c r="V110" i="16"/>
  <c r="L260" i="16"/>
  <c r="T260" i="16"/>
  <c r="U260" i="16" s="1"/>
  <c r="Y260" i="16" s="1"/>
  <c r="K260" i="16"/>
  <c r="X260" i="16" s="1"/>
  <c r="Z253" i="16"/>
  <c r="H467" i="17" a="1"/>
  <c r="H467" i="17" s="1"/>
  <c r="AC5" i="17" s="1"/>
  <c r="AC27" i="17" s="1"/>
  <c r="H625" i="17" s="1" a="1"/>
  <c r="H625" i="17" s="1"/>
  <c r="I35" i="16"/>
  <c r="AA239" i="16"/>
  <c r="AH239" i="16"/>
  <c r="AI239" i="16" s="1"/>
  <c r="J34" i="16"/>
  <c r="P34" i="16" s="1"/>
  <c r="K34" i="16"/>
  <c r="X34" i="16" s="1"/>
  <c r="L34" i="16"/>
  <c r="Q258" i="16"/>
  <c r="R258" i="16"/>
  <c r="H461" i="17" a="1"/>
  <c r="H461" i="17" s="1"/>
  <c r="H458" i="17" a="1"/>
  <c r="H458" i="17" s="1"/>
  <c r="H460" i="17" a="1"/>
  <c r="H460" i="17" s="1"/>
  <c r="H459" i="17" a="1"/>
  <c r="H459" i="17" s="1"/>
  <c r="H71" i="17" a="1"/>
  <c r="H71" i="17" s="1"/>
  <c r="AB5" i="17" s="1"/>
  <c r="AB27" i="17" s="1"/>
  <c r="H617" i="17" s="1" a="1"/>
  <c r="H617" i="17" s="1"/>
  <c r="S253" i="16"/>
  <c r="H115" i="17" s="1" a="1"/>
  <c r="H115" i="17" s="1"/>
  <c r="AB16" i="17" s="1"/>
  <c r="Y253" i="16"/>
  <c r="H80" i="17" a="1"/>
  <c r="H80" i="17" s="1"/>
  <c r="H79" i="17" a="1"/>
  <c r="H79" i="17" s="1"/>
  <c r="S256" i="16"/>
  <c r="H81" i="17" a="1"/>
  <c r="H81" i="17" s="1"/>
  <c r="H83" i="17" a="1"/>
  <c r="H83" i="17" s="1"/>
  <c r="H82" i="17" a="1"/>
  <c r="H82" i="17" s="1"/>
  <c r="Y254" i="16"/>
  <c r="V254" i="16"/>
  <c r="H425" i="17" a="1"/>
  <c r="H425" i="17" s="1"/>
  <c r="H424" i="17" a="1"/>
  <c r="H424" i="17" s="1"/>
  <c r="H426" i="17" a="1"/>
  <c r="H426" i="17" s="1"/>
  <c r="V126" i="16"/>
  <c r="H402" i="17" a="1"/>
  <c r="H402" i="17" s="1"/>
  <c r="H403" i="17" a="1"/>
  <c r="H403" i="17" s="1"/>
  <c r="H404" i="17" a="1"/>
  <c r="H404" i="17" s="1"/>
  <c r="H85" i="17" a="1"/>
  <c r="H85" i="17" s="1"/>
  <c r="H86" i="17" a="1"/>
  <c r="H86" i="17" s="1"/>
  <c r="H84" i="17" a="1"/>
  <c r="H84" i="17" s="1"/>
  <c r="H87" i="17" a="1"/>
  <c r="H87" i="17" s="1"/>
  <c r="Z257" i="16"/>
  <c r="S257" i="16"/>
  <c r="H483" i="17" a="1"/>
  <c r="H483" i="17" s="1"/>
  <c r="H480" i="17" a="1"/>
  <c r="H480" i="17" s="1"/>
  <c r="AC9" i="17" s="1"/>
  <c r="AC31" i="17" s="1"/>
  <c r="H629" i="17" s="1" a="1"/>
  <c r="H629" i="17" s="1"/>
  <c r="H482" i="17" a="1"/>
  <c r="H482" i="17" s="1"/>
  <c r="H481" i="17" a="1"/>
  <c r="H481" i="17" s="1"/>
  <c r="Q259" i="16"/>
  <c r="R259" i="16"/>
  <c r="Y246" i="16"/>
  <c r="AG246" i="16" s="1"/>
  <c r="V246" i="16"/>
  <c r="Z246" i="16" s="1"/>
  <c r="H37" i="17" a="1"/>
  <c r="H37" i="17" s="1"/>
  <c r="H38" i="17" a="1"/>
  <c r="H38" i="17" s="1"/>
  <c r="H36" i="17" a="1"/>
  <c r="H36" i="17" s="1"/>
  <c r="H39" i="17" a="1"/>
  <c r="H39" i="17" s="1"/>
  <c r="H35" i="17" a="1"/>
  <c r="H35" i="17" s="1"/>
  <c r="H42" i="17" a="1"/>
  <c r="H42" i="17" s="1"/>
  <c r="H40" i="17" a="1"/>
  <c r="H40" i="17" s="1"/>
  <c r="H41" i="17" a="1"/>
  <c r="H41" i="17" s="1"/>
  <c r="H43" i="17" a="1"/>
  <c r="H43" i="17" s="1"/>
  <c r="Y257" i="16"/>
  <c r="AH237" i="16"/>
  <c r="AI237" i="16" s="1"/>
  <c r="AA237" i="16"/>
  <c r="V118" i="16"/>
  <c r="T127" i="16"/>
  <c r="U127" i="16" s="1"/>
  <c r="H74" i="17" a="1"/>
  <c r="H74" i="17" s="1"/>
  <c r="S254" i="16"/>
  <c r="H73" i="17" a="1"/>
  <c r="H73" i="17" s="1"/>
  <c r="H72" i="17" a="1"/>
  <c r="H72" i="17" s="1"/>
  <c r="Z256" i="16"/>
  <c r="H478" i="17" a="1"/>
  <c r="H478" i="17" s="1"/>
  <c r="H477" i="17" a="1"/>
  <c r="H477" i="17" s="1"/>
  <c r="H475" i="17" a="1"/>
  <c r="H475" i="17" s="1"/>
  <c r="H479" i="17" a="1"/>
  <c r="H479" i="17" s="1"/>
  <c r="H476" i="17" a="1"/>
  <c r="H476" i="17" s="1"/>
  <c r="T124" i="16"/>
  <c r="U124" i="16" s="1"/>
  <c r="V124" i="16" s="1"/>
  <c r="Q33" i="16"/>
  <c r="Y33" i="16" s="1"/>
  <c r="AG33" i="16" s="1"/>
  <c r="R33" i="16"/>
  <c r="AH31" i="16"/>
  <c r="AI31" i="16" s="1"/>
  <c r="AA31" i="16"/>
  <c r="AA250" i="16"/>
  <c r="AH250" i="16"/>
  <c r="AI250" i="16" s="1"/>
  <c r="T119" i="16"/>
  <c r="U119" i="16" s="1"/>
  <c r="V119" i="16" s="1"/>
  <c r="H28" i="17" a="1"/>
  <c r="H28" i="17" s="1"/>
  <c r="H29" i="17" a="1"/>
  <c r="H29" i="17" s="1"/>
  <c r="H30" i="17" a="1"/>
  <c r="H30" i="17" s="1"/>
  <c r="V131" i="16"/>
  <c r="H421" i="17" a="1"/>
  <c r="H421" i="17" s="1"/>
  <c r="AA241" i="16"/>
  <c r="AH241" i="16"/>
  <c r="AI241" i="16" s="1"/>
  <c r="Y249" i="16"/>
  <c r="AG249" i="16" s="1"/>
  <c r="V249" i="16"/>
  <c r="Z249" i="16" s="1"/>
  <c r="V130" i="16"/>
  <c r="H420" i="17" a="1"/>
  <c r="H420" i="17" s="1"/>
  <c r="H418" i="17" a="1"/>
  <c r="H418" i="17" s="1"/>
  <c r="H419" i="17" a="1"/>
  <c r="H419" i="17" s="1"/>
  <c r="K247" i="16"/>
  <c r="X247" i="16" s="1"/>
  <c r="T247" i="16"/>
  <c r="U247" i="16" s="1"/>
  <c r="L247" i="16"/>
  <c r="AA244" i="16"/>
  <c r="AH244" i="16"/>
  <c r="AI244" i="16" s="1"/>
  <c r="H92" i="17" a="1"/>
  <c r="H92" i="17" s="1"/>
  <c r="AB12" i="17" s="1"/>
  <c r="AB34" i="17" s="1"/>
  <c r="H624" i="17" s="1" a="1"/>
  <c r="H624" i="17" s="1"/>
  <c r="S260" i="16"/>
  <c r="H136" i="17" s="1" a="1"/>
  <c r="H136" i="17" s="1"/>
  <c r="AH236" i="16"/>
  <c r="AI236" i="16" s="1"/>
  <c r="AA236" i="16"/>
  <c r="AG256" i="16"/>
  <c r="H167" i="17" a="1"/>
  <c r="H167" i="17" s="1"/>
  <c r="H171" i="17" a="1"/>
  <c r="H171" i="17" s="1"/>
  <c r="H169" i="17" a="1"/>
  <c r="H169" i="17" s="1"/>
  <c r="H170" i="17" a="1"/>
  <c r="H170" i="17" s="1"/>
  <c r="H168" i="17" a="1"/>
  <c r="H168" i="17" s="1"/>
  <c r="H75" i="17" a="1"/>
  <c r="H75" i="17" s="1"/>
  <c r="S255" i="16"/>
  <c r="H76" i="17" a="1"/>
  <c r="H76" i="17" s="1"/>
  <c r="H77" i="17" a="1"/>
  <c r="H77" i="17" s="1"/>
  <c r="H78" i="17" a="1"/>
  <c r="H78" i="17" s="1"/>
  <c r="T255" i="16"/>
  <c r="U255" i="16" s="1"/>
  <c r="L255" i="16"/>
  <c r="K255" i="16"/>
  <c r="X255" i="16" s="1"/>
  <c r="H48" i="17" a="1"/>
  <c r="H48" i="17" s="1"/>
  <c r="V258" i="16"/>
  <c r="H441" i="17" a="1"/>
  <c r="H441" i="17" s="1"/>
  <c r="H442" i="17" a="1"/>
  <c r="H442" i="17" s="1"/>
  <c r="H440" i="17" a="1"/>
  <c r="H440" i="17" s="1"/>
  <c r="H31" i="17" a="1"/>
  <c r="H31" i="17" s="1"/>
  <c r="H32" i="17" a="1"/>
  <c r="H32" i="17" s="1"/>
  <c r="H34" i="17" a="1"/>
  <c r="H34" i="17" s="1"/>
  <c r="H33" i="17" a="1"/>
  <c r="H33" i="17" s="1"/>
  <c r="L259" i="16"/>
  <c r="AH240" i="16"/>
  <c r="AI240" i="16" s="1"/>
  <c r="AA240" i="16"/>
  <c r="H457" i="17" a="1"/>
  <c r="H457" i="17" s="1"/>
  <c r="H454" i="17" a="1"/>
  <c r="H454" i="17" s="1"/>
  <c r="H453" i="17" a="1"/>
  <c r="H453" i="17" s="1"/>
  <c r="V8" i="17" s="1"/>
  <c r="V30" i="17" s="1"/>
  <c r="H588" i="17" s="1" a="1"/>
  <c r="H588" i="17" s="1"/>
  <c r="H455" i="17" a="1"/>
  <c r="H455" i="17" s="1"/>
  <c r="H456" i="17" a="1"/>
  <c r="H456" i="17" s="1"/>
  <c r="V132" i="16"/>
  <c r="H422" i="17" a="1"/>
  <c r="H422" i="17" s="1"/>
  <c r="AH242" i="16"/>
  <c r="AI242" i="16" s="1"/>
  <c r="AA242" i="16"/>
  <c r="K259" i="16"/>
  <c r="X259" i="16" s="1"/>
  <c r="Z245" i="16"/>
  <c r="S245" i="16"/>
  <c r="V259" i="16"/>
  <c r="H443" i="17" a="1"/>
  <c r="H443" i="17" s="1"/>
  <c r="T252" i="16"/>
  <c r="U252" i="16" s="1"/>
  <c r="L252" i="16"/>
  <c r="K252" i="16"/>
  <c r="X252" i="16" s="1"/>
  <c r="Y238" i="16"/>
  <c r="AG238" i="16" s="1"/>
  <c r="V238" i="16"/>
  <c r="Z238" i="16" s="1"/>
  <c r="S32" i="16"/>
  <c r="Z32" i="16"/>
  <c r="AH248" i="16"/>
  <c r="AI248" i="16" s="1"/>
  <c r="AA248" i="16"/>
  <c r="E89" i="9"/>
  <c r="L88" i="9"/>
  <c r="I88" i="9" s="1" a="1"/>
  <c r="I88" i="9" s="1"/>
  <c r="AN88" i="16" s="1"/>
  <c r="L36" i="9"/>
  <c r="I36" i="9" s="1" a="1"/>
  <c r="I36" i="9" s="1"/>
  <c r="AN36" i="16" s="1"/>
  <c r="V9" i="17" l="1"/>
  <c r="V31" i="17" s="1"/>
  <c r="H589" i="17" s="1" a="1"/>
  <c r="H589" i="17" s="1"/>
  <c r="AC8" i="17"/>
  <c r="AC30" i="17" s="1"/>
  <c r="H628" i="17" s="1" a="1"/>
  <c r="H628" i="17" s="1"/>
  <c r="AB7" i="17"/>
  <c r="AB29" i="17" s="1"/>
  <c r="H619" i="17" s="1" a="1"/>
  <c r="H619" i="17" s="1"/>
  <c r="V247" i="16"/>
  <c r="Z247" i="16" s="1"/>
  <c r="Y247" i="16"/>
  <c r="AG247" i="16" s="1"/>
  <c r="Z33" i="16"/>
  <c r="S33" i="16"/>
  <c r="AH246" i="16"/>
  <c r="AI246" i="16" s="1"/>
  <c r="AA246" i="16"/>
  <c r="H128" i="17" a="1"/>
  <c r="H128" i="17" s="1"/>
  <c r="H131" i="17" a="1"/>
  <c r="H131" i="17" s="1"/>
  <c r="H130" i="17" a="1"/>
  <c r="H130" i="17" s="1"/>
  <c r="H129" i="17" a="1"/>
  <c r="H129" i="17" s="1"/>
  <c r="Q34" i="16"/>
  <c r="Y34" i="16" s="1"/>
  <c r="AG34" i="16" s="1"/>
  <c r="R34" i="16"/>
  <c r="I36" i="16"/>
  <c r="AH257" i="16"/>
  <c r="AA257" i="16"/>
  <c r="H217" i="17" a="1"/>
  <c r="H217" i="17" s="1"/>
  <c r="H219" i="17" a="1"/>
  <c r="H219" i="17" s="1"/>
  <c r="H216" i="17" a="1"/>
  <c r="H216" i="17" s="1"/>
  <c r="H218" i="17" a="1"/>
  <c r="H218" i="17" s="1"/>
  <c r="H446" i="17" a="1"/>
  <c r="H446" i="17" s="1"/>
  <c r="H448" i="17" a="1"/>
  <c r="H448" i="17" s="1"/>
  <c r="H447" i="17" a="1"/>
  <c r="H447" i="17" s="1"/>
  <c r="AH253" i="16"/>
  <c r="AA253" i="16"/>
  <c r="H247" i="17" s="1" a="1"/>
  <c r="H247" i="17" s="1"/>
  <c r="AD16" i="17" s="1"/>
  <c r="H203" i="17" a="1"/>
  <c r="H203" i="17" s="1"/>
  <c r="AD5" i="17" s="1"/>
  <c r="AD27" i="17" s="1"/>
  <c r="H633" i="17" s="1" a="1"/>
  <c r="H633" i="17" s="1"/>
  <c r="AG260" i="16"/>
  <c r="H312" i="17" s="1" a="1"/>
  <c r="H312" i="17" s="1"/>
  <c r="H180" i="17" a="1"/>
  <c r="H180" i="17" s="1"/>
  <c r="AA249" i="16"/>
  <c r="AH249" i="16"/>
  <c r="AI249" i="16" s="1"/>
  <c r="AB6" i="17"/>
  <c r="AB28" i="17" s="1"/>
  <c r="H618" i="17" s="1" a="1"/>
  <c r="H618" i="17" s="1"/>
  <c r="AB9" i="17"/>
  <c r="AB31" i="17" s="1"/>
  <c r="H621" i="17" s="1" a="1"/>
  <c r="H621" i="17" s="1"/>
  <c r="AB8" i="17"/>
  <c r="AB30" i="17" s="1"/>
  <c r="H620" i="17" s="1" a="1"/>
  <c r="H620" i="17" s="1"/>
  <c r="J35" i="16"/>
  <c r="P35" i="16" s="1"/>
  <c r="L35" i="16"/>
  <c r="K35" i="16"/>
  <c r="X35" i="16" s="1"/>
  <c r="V260" i="16"/>
  <c r="H444" i="17" a="1"/>
  <c r="H444" i="17" s="1"/>
  <c r="Y255" i="16"/>
  <c r="V255" i="16"/>
  <c r="H427" i="17" a="1"/>
  <c r="H427" i="17" s="1"/>
  <c r="H429" i="17" a="1"/>
  <c r="H429" i="17" s="1"/>
  <c r="H428" i="17" a="1"/>
  <c r="H428" i="17" s="1"/>
  <c r="H430" i="17" a="1"/>
  <c r="H430" i="17" s="1"/>
  <c r="H465" i="17" a="1"/>
  <c r="H465" i="17" s="1"/>
  <c r="V11" i="17" s="1"/>
  <c r="V33" i="17" s="1"/>
  <c r="H591" i="17" s="1" a="1"/>
  <c r="H591" i="17" s="1"/>
  <c r="H90" i="17" a="1"/>
  <c r="H90" i="17" s="1"/>
  <c r="S258" i="16"/>
  <c r="H89" i="17" a="1"/>
  <c r="H89" i="17" s="1"/>
  <c r="Z258" i="16"/>
  <c r="H88" i="17" a="1"/>
  <c r="H88" i="17" s="1"/>
  <c r="AH32" i="16"/>
  <c r="AI32" i="16" s="1"/>
  <c r="AA32" i="16"/>
  <c r="Z259" i="16"/>
  <c r="H487" i="17" a="1"/>
  <c r="H487" i="17" s="1"/>
  <c r="AC11" i="17" s="1"/>
  <c r="AC33" i="17" s="1"/>
  <c r="H631" i="17" s="1" a="1"/>
  <c r="H631" i="17" s="1"/>
  <c r="H486" i="17" a="1"/>
  <c r="H486" i="17" s="1"/>
  <c r="H485" i="17" a="1"/>
  <c r="H485" i="17" s="1"/>
  <c r="H484" i="17" a="1"/>
  <c r="H484" i="17" s="1"/>
  <c r="AA256" i="16"/>
  <c r="AH256" i="16"/>
  <c r="H213" i="17" a="1"/>
  <c r="H213" i="17" s="1"/>
  <c r="H212" i="17" a="1"/>
  <c r="H212" i="17" s="1"/>
  <c r="H214" i="17" a="1"/>
  <c r="H214" i="17" s="1"/>
  <c r="H215" i="17" a="1"/>
  <c r="H215" i="17" s="1"/>
  <c r="H211" i="17" a="1"/>
  <c r="H211" i="17" s="1"/>
  <c r="H91" i="17" a="1"/>
  <c r="H91" i="17" s="1"/>
  <c r="AB11" i="17" s="1"/>
  <c r="AB33" i="17" s="1"/>
  <c r="H623" i="17" s="1" a="1"/>
  <c r="H623" i="17" s="1"/>
  <c r="S259" i="16"/>
  <c r="H135" i="17" s="1" a="1"/>
  <c r="H135" i="17" s="1"/>
  <c r="AB22" i="17" s="1"/>
  <c r="H124" i="17" a="1"/>
  <c r="H124" i="17" s="1"/>
  <c r="H127" i="17" a="1"/>
  <c r="H127" i="17" s="1"/>
  <c r="H126" i="17" a="1"/>
  <c r="H126" i="17" s="1"/>
  <c r="H125" i="17" a="1"/>
  <c r="H125" i="17" s="1"/>
  <c r="H123" i="17" a="1"/>
  <c r="H123" i="17" s="1"/>
  <c r="H47" i="17" a="1"/>
  <c r="H47" i="17" s="1"/>
  <c r="Y259" i="16"/>
  <c r="Y252" i="16"/>
  <c r="AG252" i="16" s="1"/>
  <c r="V252" i="16"/>
  <c r="Z252" i="16" s="1"/>
  <c r="H466" i="17" a="1"/>
  <c r="H466" i="17" s="1"/>
  <c r="V12" i="17" s="1"/>
  <c r="V34" i="17" s="1"/>
  <c r="H592" i="17" s="1" a="1"/>
  <c r="H592" i="17" s="1"/>
  <c r="H462" i="17" a="1"/>
  <c r="H462" i="17" s="1"/>
  <c r="H463" i="17" a="1"/>
  <c r="H463" i="17" s="1"/>
  <c r="H464" i="17" a="1"/>
  <c r="H464" i="17" s="1"/>
  <c r="H118" i="17" a="1"/>
  <c r="H118" i="17" s="1"/>
  <c r="H117" i="17" a="1"/>
  <c r="H117" i="17" s="1"/>
  <c r="H116" i="17" a="1"/>
  <c r="H116" i="17" s="1"/>
  <c r="Z254" i="16"/>
  <c r="H468" i="17" a="1"/>
  <c r="H468" i="17" s="1"/>
  <c r="H470" i="17" a="1"/>
  <c r="H470" i="17" s="1"/>
  <c r="H469" i="17" a="1"/>
  <c r="H469" i="17" s="1"/>
  <c r="AG253" i="16"/>
  <c r="H291" i="17" s="1" a="1"/>
  <c r="H291" i="17" s="1"/>
  <c r="H159" i="17" a="1"/>
  <c r="H159" i="17" s="1"/>
  <c r="H44" i="17" a="1"/>
  <c r="H44" i="17" s="1"/>
  <c r="H45" i="17" a="1"/>
  <c r="H45" i="17" s="1"/>
  <c r="H46" i="17" a="1"/>
  <c r="H46" i="17" s="1"/>
  <c r="Y258" i="16"/>
  <c r="AG254" i="16"/>
  <c r="H160" i="17" a="1"/>
  <c r="H160" i="17" s="1"/>
  <c r="H161" i="17" a="1"/>
  <c r="H161" i="17" s="1"/>
  <c r="H162" i="17" a="1"/>
  <c r="H162" i="17" s="1"/>
  <c r="H299" i="17" a="1"/>
  <c r="H299" i="17" s="1"/>
  <c r="H302" i="17" a="1"/>
  <c r="H302" i="17" s="1"/>
  <c r="H301" i="17" a="1"/>
  <c r="H301" i="17" s="1"/>
  <c r="H303" i="17" a="1"/>
  <c r="H303" i="17" s="1"/>
  <c r="H300" i="17" a="1"/>
  <c r="H300" i="17" s="1"/>
  <c r="AG257" i="16"/>
  <c r="H173" i="17" a="1"/>
  <c r="H173" i="17" s="1"/>
  <c r="H175" i="17" a="1"/>
  <c r="H175" i="17" s="1"/>
  <c r="H172" i="17" a="1"/>
  <c r="H172" i="17" s="1"/>
  <c r="H174" i="17" a="1"/>
  <c r="H174" i="17" s="1"/>
  <c r="H121" i="17" a="1"/>
  <c r="H121" i="17" s="1"/>
  <c r="H122" i="17" a="1"/>
  <c r="H122" i="17" s="1"/>
  <c r="H120" i="17" a="1"/>
  <c r="H120" i="17" s="1"/>
  <c r="H119" i="17" a="1"/>
  <c r="H119" i="17" s="1"/>
  <c r="V127" i="16"/>
  <c r="H405" i="17" a="1"/>
  <c r="H405" i="17" s="1"/>
  <c r="H407" i="17" a="1"/>
  <c r="H407" i="17" s="1"/>
  <c r="H406" i="17" a="1"/>
  <c r="H406" i="17" s="1"/>
  <c r="H408" i="17" a="1"/>
  <c r="H408" i="17" s="1"/>
  <c r="AH238" i="16"/>
  <c r="AI238" i="16" s="1"/>
  <c r="AA238" i="16"/>
  <c r="AH245" i="16"/>
  <c r="AI245" i="16" s="1"/>
  <c r="AA245" i="16"/>
  <c r="L89" i="9"/>
  <c r="I89" i="9" s="1" a="1"/>
  <c r="I89" i="9" s="1"/>
  <c r="AN89" i="16" s="1"/>
  <c r="E90" i="9"/>
  <c r="L37" i="9"/>
  <c r="I37" i="9" s="1" a="1"/>
  <c r="I37" i="9" s="1"/>
  <c r="AN37" i="16" s="1"/>
  <c r="E38" i="9"/>
  <c r="AB17" i="17" l="1"/>
  <c r="AB19" i="17"/>
  <c r="AD8" i="17"/>
  <c r="AD30" i="17" s="1"/>
  <c r="H636" i="17" s="1" a="1"/>
  <c r="H636" i="17" s="1"/>
  <c r="V10" i="17"/>
  <c r="V32" i="17" s="1"/>
  <c r="H590" i="17" s="1" a="1"/>
  <c r="H590" i="17" s="1"/>
  <c r="V6" i="17"/>
  <c r="V28" i="17" s="1"/>
  <c r="H586" i="17" s="1" a="1"/>
  <c r="H586" i="17" s="1"/>
  <c r="AB20" i="17"/>
  <c r="AC6" i="17"/>
  <c r="AC28" i="17" s="1"/>
  <c r="H626" i="17" s="1" a="1"/>
  <c r="H626" i="17" s="1"/>
  <c r="AB18" i="17"/>
  <c r="H307" i="17" a="1"/>
  <c r="H307" i="17" s="1"/>
  <c r="H306" i="17" a="1"/>
  <c r="H306" i="17" s="1"/>
  <c r="H304" i="17" a="1"/>
  <c r="H304" i="17" s="1"/>
  <c r="H305" i="17" a="1"/>
  <c r="H305" i="17" s="1"/>
  <c r="AG259" i="16"/>
  <c r="H311" i="17" s="1" a="1"/>
  <c r="H311" i="17" s="1"/>
  <c r="H179" i="17" a="1"/>
  <c r="H179" i="17" s="1"/>
  <c r="H293" i="17" a="1"/>
  <c r="H293" i="17" s="1"/>
  <c r="H294" i="17" a="1"/>
  <c r="H294" i="17" s="1"/>
  <c r="H292" i="17" a="1"/>
  <c r="H292" i="17" s="1"/>
  <c r="AC10" i="17"/>
  <c r="AC32" i="17" s="1"/>
  <c r="H630" i="17" s="1" a="1"/>
  <c r="H630" i="17" s="1"/>
  <c r="AA258" i="16"/>
  <c r="AH258" i="16"/>
  <c r="H222" i="17" a="1"/>
  <c r="H222" i="17" s="1"/>
  <c r="H220" i="17" a="1"/>
  <c r="H220" i="17" s="1"/>
  <c r="H221" i="17" a="1"/>
  <c r="H221" i="17" s="1"/>
  <c r="AD9" i="17"/>
  <c r="AD31" i="17" s="1"/>
  <c r="H637" i="17" s="1" a="1"/>
  <c r="H637" i="17" s="1"/>
  <c r="AI253" i="16"/>
  <c r="H379" i="17" s="1" a="1"/>
  <c r="H379" i="17" s="1"/>
  <c r="AF16" i="17" s="1"/>
  <c r="H335" i="17" a="1"/>
  <c r="H335" i="17" s="1"/>
  <c r="AF5" i="17" s="1"/>
  <c r="S34" i="16"/>
  <c r="Z34" i="16"/>
  <c r="I37" i="16"/>
  <c r="AG258" i="16"/>
  <c r="H176" i="17" a="1"/>
  <c r="H176" i="17" s="1"/>
  <c r="H178" i="17" a="1"/>
  <c r="H178" i="17" s="1"/>
  <c r="H177" i="17" a="1"/>
  <c r="H177" i="17" s="1"/>
  <c r="Z255" i="16"/>
  <c r="H472" i="17" a="1"/>
  <c r="H472" i="17" s="1"/>
  <c r="H474" i="17" a="1"/>
  <c r="H474" i="17" s="1"/>
  <c r="H471" i="17" a="1"/>
  <c r="H471" i="17" s="1"/>
  <c r="H473" i="17" a="1"/>
  <c r="H473" i="17" s="1"/>
  <c r="H262" i="17" a="1"/>
  <c r="H262" i="17" s="1"/>
  <c r="H261" i="17" a="1"/>
  <c r="H261" i="17" s="1"/>
  <c r="H260" i="17" a="1"/>
  <c r="H260" i="17" s="1"/>
  <c r="H263" i="17" a="1"/>
  <c r="H263" i="17" s="1"/>
  <c r="AH33" i="16"/>
  <c r="AI33" i="16" s="1"/>
  <c r="AA33" i="16"/>
  <c r="H132" i="17" a="1"/>
  <c r="H132" i="17" s="1"/>
  <c r="H134" i="17" a="1"/>
  <c r="H134" i="17" s="1"/>
  <c r="H133" i="17" a="1"/>
  <c r="H133" i="17" s="1"/>
  <c r="AB21" i="17" s="1"/>
  <c r="AA254" i="16"/>
  <c r="AH254" i="16"/>
  <c r="H204" i="17" a="1"/>
  <c r="H204" i="17" s="1"/>
  <c r="H206" i="17" a="1"/>
  <c r="H206" i="17" s="1"/>
  <c r="H205" i="17" a="1"/>
  <c r="H205" i="17" s="1"/>
  <c r="AH259" i="16"/>
  <c r="AA259" i="16"/>
  <c r="H267" i="17" s="1" a="1"/>
  <c r="H267" i="17" s="1"/>
  <c r="AD22" i="17" s="1"/>
  <c r="H223" i="17" a="1"/>
  <c r="H223" i="17" s="1"/>
  <c r="AD11" i="17" s="1"/>
  <c r="AD33" i="17" s="1"/>
  <c r="H639" i="17" s="1" a="1"/>
  <c r="H639" i="17" s="1"/>
  <c r="AG255" i="16"/>
  <c r="H164" i="17" a="1"/>
  <c r="H164" i="17" s="1"/>
  <c r="H165" i="17" a="1"/>
  <c r="H165" i="17" s="1"/>
  <c r="H163" i="17" a="1"/>
  <c r="H163" i="17" s="1"/>
  <c r="H166" i="17" a="1"/>
  <c r="H166" i="17" s="1"/>
  <c r="H452" i="17" a="1"/>
  <c r="H452" i="17" s="1"/>
  <c r="H449" i="17" a="1"/>
  <c r="H449" i="17" s="1"/>
  <c r="H450" i="17" a="1"/>
  <c r="H450" i="17" s="1"/>
  <c r="H451" i="17" a="1"/>
  <c r="H451" i="17" s="1"/>
  <c r="AA252" i="16"/>
  <c r="AH252" i="16"/>
  <c r="AI252" i="16" s="1"/>
  <c r="AI256" i="16"/>
  <c r="H347" i="17" a="1"/>
  <c r="H347" i="17" s="1"/>
  <c r="H345" i="17" a="1"/>
  <c r="H345" i="17" s="1"/>
  <c r="H344" i="17" a="1"/>
  <c r="H344" i="17" s="1"/>
  <c r="H346" i="17" a="1"/>
  <c r="H346" i="17" s="1"/>
  <c r="H343" i="17" a="1"/>
  <c r="H343" i="17" s="1"/>
  <c r="H488" i="17" a="1"/>
  <c r="H488" i="17" s="1"/>
  <c r="AC12" i="17" s="1"/>
  <c r="AC34" i="17" s="1"/>
  <c r="H632" i="17" s="1" a="1"/>
  <c r="H632" i="17" s="1"/>
  <c r="Z260" i="16"/>
  <c r="AI257" i="16"/>
  <c r="H350" i="17" a="1"/>
  <c r="H350" i="17" s="1"/>
  <c r="H348" i="17" a="1"/>
  <c r="H348" i="17" s="1"/>
  <c r="H349" i="17" a="1"/>
  <c r="H349" i="17" s="1"/>
  <c r="H351" i="17" a="1"/>
  <c r="H351" i="17" s="1"/>
  <c r="Q35" i="16"/>
  <c r="Y35" i="16" s="1"/>
  <c r="AG35" i="16" s="1"/>
  <c r="R35" i="16"/>
  <c r="H256" i="17" a="1"/>
  <c r="H256" i="17" s="1"/>
  <c r="H258" i="17" a="1"/>
  <c r="H258" i="17" s="1"/>
  <c r="H259" i="17" a="1"/>
  <c r="H259" i="17" s="1"/>
  <c r="H257" i="17" a="1"/>
  <c r="H257" i="17" s="1"/>
  <c r="H255" i="17" a="1"/>
  <c r="H255" i="17" s="1"/>
  <c r="AB10" i="17"/>
  <c r="AB32" i="17" s="1"/>
  <c r="H622" i="17" s="1" a="1"/>
  <c r="H622" i="17" s="1"/>
  <c r="J36" i="16"/>
  <c r="P36" i="16" s="1"/>
  <c r="L36" i="16"/>
  <c r="K36" i="16"/>
  <c r="X36" i="16" s="1"/>
  <c r="AH247" i="16"/>
  <c r="AI247" i="16" s="1"/>
  <c r="AA247" i="16"/>
  <c r="E91" i="9"/>
  <c r="L90" i="9"/>
  <c r="I90" i="9" s="1" a="1"/>
  <c r="I90" i="9" s="1"/>
  <c r="AN90" i="16" s="1"/>
  <c r="L38" i="9"/>
  <c r="I38" i="9" s="1" a="1"/>
  <c r="I38" i="9" s="1"/>
  <c r="AN38" i="16" s="1"/>
  <c r="E39" i="9"/>
  <c r="AD19" i="17" l="1"/>
  <c r="AC7" i="17"/>
  <c r="AC29" i="17" s="1"/>
  <c r="H627" i="17" s="1" a="1"/>
  <c r="H627" i="17" s="1"/>
  <c r="V7" i="17"/>
  <c r="V29" i="17" s="1"/>
  <c r="H587" i="17" s="1" a="1"/>
  <c r="H587" i="17" s="1"/>
  <c r="AF9" i="17"/>
  <c r="AF31" i="17" s="1"/>
  <c r="H653" i="17" s="1" a="1"/>
  <c r="H653" i="17" s="1"/>
  <c r="AD10" i="17"/>
  <c r="AD32" i="17" s="1"/>
  <c r="H638" i="17" s="1" a="1"/>
  <c r="H638" i="17" s="1"/>
  <c r="H394" i="17" a="1"/>
  <c r="H394" i="17" s="1"/>
  <c r="H393" i="17" a="1"/>
  <c r="H393" i="17" s="1"/>
  <c r="H392" i="17" a="1"/>
  <c r="H392" i="17" s="1"/>
  <c r="H395" i="17" a="1"/>
  <c r="H395" i="17" s="1"/>
  <c r="H390" i="17" a="1"/>
  <c r="H390" i="17" s="1"/>
  <c r="H389" i="17" a="1"/>
  <c r="H389" i="17" s="1"/>
  <c r="H391" i="17" a="1"/>
  <c r="H391" i="17" s="1"/>
  <c r="H387" i="17" a="1"/>
  <c r="H387" i="17" s="1"/>
  <c r="H388" i="17" a="1"/>
  <c r="H388" i="17" s="1"/>
  <c r="AD6" i="17"/>
  <c r="AD28" i="17" s="1"/>
  <c r="H634" i="17" s="1" a="1"/>
  <c r="H634" i="17" s="1"/>
  <c r="AH255" i="16"/>
  <c r="AA255" i="16"/>
  <c r="H210" i="17" a="1"/>
  <c r="H210" i="17" s="1"/>
  <c r="H208" i="17" a="1"/>
  <c r="H208" i="17" s="1"/>
  <c r="H209" i="17" a="1"/>
  <c r="H209" i="17" s="1"/>
  <c r="H207" i="17" a="1"/>
  <c r="H207" i="17" s="1"/>
  <c r="AD7" i="17" s="1"/>
  <c r="AD29" i="17" s="1"/>
  <c r="H635" i="17" s="1" a="1"/>
  <c r="H635" i="17" s="1"/>
  <c r="AI254" i="16"/>
  <c r="H338" i="17" a="1"/>
  <c r="H338" i="17" s="1"/>
  <c r="H336" i="17" a="1"/>
  <c r="H336" i="17" s="1"/>
  <c r="H337" i="17" a="1"/>
  <c r="H337" i="17" s="1"/>
  <c r="AD20" i="17"/>
  <c r="AA34" i="16"/>
  <c r="AH34" i="16"/>
  <c r="AI34" i="16" s="1"/>
  <c r="AI258" i="16"/>
  <c r="H353" i="17" a="1"/>
  <c r="H353" i="17" s="1"/>
  <c r="H352" i="17" a="1"/>
  <c r="H352" i="17" s="1"/>
  <c r="H354" i="17" a="1"/>
  <c r="H354" i="17" s="1"/>
  <c r="AA260" i="16"/>
  <c r="H268" i="17" s="1" a="1"/>
  <c r="H268" i="17" s="1"/>
  <c r="AH260" i="16"/>
  <c r="H224" i="17" a="1"/>
  <c r="H224" i="17" s="1"/>
  <c r="AD12" i="17" s="1"/>
  <c r="AD34" i="17" s="1"/>
  <c r="H640" i="17" s="1" a="1"/>
  <c r="H640" i="17" s="1"/>
  <c r="S35" i="16"/>
  <c r="Z35" i="16"/>
  <c r="Q36" i="16"/>
  <c r="Y36" i="16" s="1"/>
  <c r="AG36" i="16" s="1"/>
  <c r="R36" i="16"/>
  <c r="AF8" i="17"/>
  <c r="AF30" i="17" s="1"/>
  <c r="H652" i="17" s="1" a="1"/>
  <c r="H652" i="17" s="1"/>
  <c r="H296" i="17" a="1"/>
  <c r="H296" i="17" s="1"/>
  <c r="H298" i="17" a="1"/>
  <c r="H298" i="17" s="1"/>
  <c r="H297" i="17" a="1"/>
  <c r="H297" i="17" s="1"/>
  <c r="H295" i="17" a="1"/>
  <c r="H295" i="17" s="1"/>
  <c r="H250" i="17" a="1"/>
  <c r="H250" i="17" s="1"/>
  <c r="H249" i="17" a="1"/>
  <c r="H249" i="17" s="1"/>
  <c r="H248" i="17" a="1"/>
  <c r="H248" i="17" s="1"/>
  <c r="H266" i="17" a="1"/>
  <c r="H266" i="17" s="1"/>
  <c r="H264" i="17" a="1"/>
  <c r="H264" i="17" s="1"/>
  <c r="H265" i="17" a="1"/>
  <c r="H265" i="17" s="1"/>
  <c r="AF27" i="17"/>
  <c r="H649" i="17" s="1" a="1"/>
  <c r="H649" i="17" s="1"/>
  <c r="I38" i="16"/>
  <c r="H308" i="17" a="1"/>
  <c r="H308" i="17" s="1"/>
  <c r="H309" i="17" a="1"/>
  <c r="H309" i="17" s="1"/>
  <c r="H310" i="17" a="1"/>
  <c r="H310" i="17" s="1"/>
  <c r="J37" i="16"/>
  <c r="P37" i="16" s="1"/>
  <c r="L37" i="16"/>
  <c r="K37" i="16"/>
  <c r="X37" i="16" s="1"/>
  <c r="AI259" i="16"/>
  <c r="H399" i="17" s="1" a="1"/>
  <c r="H399" i="17" s="1"/>
  <c r="AF22" i="17" s="1"/>
  <c r="H355" i="17" a="1"/>
  <c r="H355" i="17" s="1"/>
  <c r="AF11" i="17" s="1"/>
  <c r="AF33" i="17" s="1"/>
  <c r="H655" i="17" s="1" a="1"/>
  <c r="H655" i="17" s="1"/>
  <c r="L91" i="9"/>
  <c r="I91" i="9" s="1" a="1"/>
  <c r="I91" i="9" s="1"/>
  <c r="AN91" i="16" s="1"/>
  <c r="E92" i="9"/>
  <c r="E40" i="9"/>
  <c r="L39" i="9"/>
  <c r="I39" i="9" s="1" a="1"/>
  <c r="I39" i="9" s="1"/>
  <c r="AN39" i="16" s="1"/>
  <c r="AF6" i="17" l="1"/>
  <c r="AF28" i="17" s="1"/>
  <c r="H650" i="17" s="1" a="1"/>
  <c r="H650" i="17" s="1"/>
  <c r="AF20" i="17"/>
  <c r="AF19" i="17"/>
  <c r="AD17" i="17"/>
  <c r="I39" i="16"/>
  <c r="Q37" i="16"/>
  <c r="Y37" i="16" s="1"/>
  <c r="AG37" i="16" s="1"/>
  <c r="R37" i="16"/>
  <c r="AA35" i="16"/>
  <c r="AH35" i="16"/>
  <c r="AI35" i="16" s="1"/>
  <c r="H398" i="17" a="1"/>
  <c r="H398" i="17" s="1"/>
  <c r="H396" i="17" a="1"/>
  <c r="H396" i="17" s="1"/>
  <c r="H397" i="17" a="1"/>
  <c r="H397" i="17" s="1"/>
  <c r="AI260" i="16"/>
  <c r="H400" i="17" s="1" a="1"/>
  <c r="H400" i="17" s="1"/>
  <c r="H356" i="17" a="1"/>
  <c r="H356" i="17" s="1"/>
  <c r="AF12" i="17" s="1"/>
  <c r="AF34" i="17" s="1"/>
  <c r="H656" i="17" s="1" a="1"/>
  <c r="H656" i="17" s="1"/>
  <c r="J38" i="16"/>
  <c r="P38" i="16" s="1"/>
  <c r="K38" i="16"/>
  <c r="X38" i="16" s="1"/>
  <c r="L38" i="16"/>
  <c r="AD21" i="17"/>
  <c r="H251" i="17" a="1"/>
  <c r="H251" i="17" s="1"/>
  <c r="AD18" i="17" s="1"/>
  <c r="H253" i="17" a="1"/>
  <c r="H253" i="17" s="1"/>
  <c r="H254" i="17" a="1"/>
  <c r="H254" i="17" s="1"/>
  <c r="H252" i="17" a="1"/>
  <c r="H252" i="17" s="1"/>
  <c r="AI255" i="16"/>
  <c r="H341" i="17" a="1"/>
  <c r="H341" i="17" s="1"/>
  <c r="H339" i="17" a="1"/>
  <c r="H339" i="17" s="1"/>
  <c r="H342" i="17" a="1"/>
  <c r="H342" i="17" s="1"/>
  <c r="H340" i="17" a="1"/>
  <c r="H340" i="17" s="1"/>
  <c r="S36" i="16"/>
  <c r="Z36" i="16"/>
  <c r="AF10" i="17"/>
  <c r="AF32" i="17" s="1"/>
  <c r="H654" i="17" s="1" a="1"/>
  <c r="H654" i="17" s="1"/>
  <c r="H381" i="17" a="1"/>
  <c r="H381" i="17" s="1"/>
  <c r="H380" i="17" a="1"/>
  <c r="H380" i="17" s="1"/>
  <c r="H382" i="17" a="1"/>
  <c r="H382" i="17" s="1"/>
  <c r="L92" i="9"/>
  <c r="I92" i="9" s="1" a="1"/>
  <c r="I92" i="9" s="1"/>
  <c r="AN92" i="16" s="1"/>
  <c r="E41" i="9"/>
  <c r="L40" i="9"/>
  <c r="I40" i="9" s="1" a="1"/>
  <c r="I40" i="9" s="1"/>
  <c r="AN40" i="16" s="1"/>
  <c r="AF7" i="17" l="1"/>
  <c r="AF29" i="17" s="1"/>
  <c r="H651" i="17" s="1" a="1"/>
  <c r="H651" i="17" s="1"/>
  <c r="AF17" i="17"/>
  <c r="AF21" i="17"/>
  <c r="S37" i="16"/>
  <c r="Z37" i="16"/>
  <c r="AH36" i="16"/>
  <c r="AI36" i="16" s="1"/>
  <c r="AA36" i="16"/>
  <c r="H383" i="17" a="1"/>
  <c r="H383" i="17" s="1"/>
  <c r="AF18" i="17" s="1"/>
  <c r="H385" i="17" a="1"/>
  <c r="H385" i="17" s="1"/>
  <c r="H386" i="17" a="1"/>
  <c r="H386" i="17" s="1"/>
  <c r="H384" i="17" a="1"/>
  <c r="H384" i="17" s="1"/>
  <c r="Q38" i="16"/>
  <c r="Y38" i="16" s="1"/>
  <c r="AG38" i="16" s="1"/>
  <c r="R38" i="16"/>
  <c r="I40" i="16"/>
  <c r="J39" i="16"/>
  <c r="P39" i="16" s="1"/>
  <c r="L39" i="16"/>
  <c r="K39" i="16"/>
  <c r="X39" i="16" s="1"/>
  <c r="L93" i="9"/>
  <c r="I93" i="9" s="1" a="1"/>
  <c r="I93" i="9" s="1"/>
  <c r="AN93" i="16" s="1"/>
  <c r="E94" i="9"/>
  <c r="L41" i="9"/>
  <c r="I41" i="9" s="1" a="1"/>
  <c r="I41" i="9" s="1"/>
  <c r="AN41" i="16" s="1"/>
  <c r="E42" i="9"/>
  <c r="AF2" i="17" l="1"/>
  <c r="Q39" i="16"/>
  <c r="Y39" i="16" s="1"/>
  <c r="AG39" i="16" s="1"/>
  <c r="R39" i="16"/>
  <c r="J40" i="16"/>
  <c r="P40" i="16" s="1"/>
  <c r="L40" i="16"/>
  <c r="K40" i="16"/>
  <c r="X40" i="16" s="1"/>
  <c r="I41" i="16"/>
  <c r="S38" i="16"/>
  <c r="Z38" i="16"/>
  <c r="AA37" i="16"/>
  <c r="AH37" i="16"/>
  <c r="AI37" i="16" s="1"/>
  <c r="E95" i="9"/>
  <c r="L94" i="9"/>
  <c r="I94" i="9" s="1" a="1"/>
  <c r="I94" i="9" s="1"/>
  <c r="AN94" i="16" s="1"/>
  <c r="L42" i="9"/>
  <c r="I42" i="9" s="1" a="1"/>
  <c r="I42" i="9" s="1"/>
  <c r="AN42" i="16" s="1"/>
  <c r="E43" i="9"/>
  <c r="I42" i="16" l="1"/>
  <c r="AH38" i="16"/>
  <c r="AI38" i="16" s="1"/>
  <c r="AA38" i="16"/>
  <c r="Q40" i="16"/>
  <c r="Y40" i="16" s="1"/>
  <c r="AG40" i="16" s="1"/>
  <c r="R40" i="16"/>
  <c r="S39" i="16"/>
  <c r="Z39" i="16"/>
  <c r="J41" i="16"/>
  <c r="P41" i="16" s="1"/>
  <c r="L41" i="16"/>
  <c r="K41" i="16"/>
  <c r="X41" i="16" s="1"/>
  <c r="L95" i="9"/>
  <c r="I95" i="9" s="1" a="1"/>
  <c r="I95" i="9" s="1"/>
  <c r="AN95" i="16" s="1"/>
  <c r="E96" i="9"/>
  <c r="E44" i="9"/>
  <c r="L43" i="9"/>
  <c r="I43" i="9" s="1" a="1"/>
  <c r="I43" i="9" s="1"/>
  <c r="AN43" i="16" s="1"/>
  <c r="AA39" i="16" l="1"/>
  <c r="AH39" i="16"/>
  <c r="AI39" i="16" s="1"/>
  <c r="S40" i="16"/>
  <c r="Z40" i="16"/>
  <c r="I43" i="16"/>
  <c r="Q41" i="16"/>
  <c r="Y41" i="16" s="1"/>
  <c r="AG41" i="16" s="1"/>
  <c r="R41" i="16"/>
  <c r="J42" i="16"/>
  <c r="P42" i="16" s="1"/>
  <c r="K42" i="16"/>
  <c r="X42" i="16" s="1"/>
  <c r="L42" i="16"/>
  <c r="E97" i="9"/>
  <c r="L96" i="9"/>
  <c r="I96" i="9" s="1" a="1"/>
  <c r="I96" i="9" s="1"/>
  <c r="AN96" i="16" s="1"/>
  <c r="L44" i="9"/>
  <c r="I44" i="9" s="1" a="1"/>
  <c r="I44" i="9" s="1"/>
  <c r="AN44" i="16" s="1"/>
  <c r="J43" i="16" l="1"/>
  <c r="P43" i="16" s="1"/>
  <c r="K43" i="16"/>
  <c r="X43" i="16" s="1"/>
  <c r="L43" i="16"/>
  <c r="AA40" i="16"/>
  <c r="AH40" i="16"/>
  <c r="AI40" i="16" s="1"/>
  <c r="Q42" i="16"/>
  <c r="Y42" i="16" s="1"/>
  <c r="AG42" i="16" s="1"/>
  <c r="R42" i="16"/>
  <c r="I44" i="16"/>
  <c r="S41" i="16"/>
  <c r="Z41" i="16"/>
  <c r="L97" i="9"/>
  <c r="I97" i="9" s="1" a="1"/>
  <c r="I97" i="9" s="1"/>
  <c r="AN97" i="16" s="1"/>
  <c r="E98" i="9"/>
  <c r="L45" i="9"/>
  <c r="I45" i="9" s="1" a="1"/>
  <c r="I45" i="9" s="1"/>
  <c r="AN45" i="16" s="1"/>
  <c r="E46" i="9"/>
  <c r="I45" i="16" l="1"/>
  <c r="S42" i="16"/>
  <c r="Z42" i="16"/>
  <c r="AA41" i="16"/>
  <c r="AH41" i="16"/>
  <c r="AI41" i="16" s="1"/>
  <c r="J44" i="16"/>
  <c r="P44" i="16" s="1"/>
  <c r="L44" i="16"/>
  <c r="K44" i="16"/>
  <c r="X44" i="16" s="1"/>
  <c r="Q43" i="16"/>
  <c r="Y43" i="16" s="1"/>
  <c r="AG43" i="16" s="1"/>
  <c r="R43" i="16"/>
  <c r="E99" i="9"/>
  <c r="L98" i="9"/>
  <c r="I98" i="9" s="1" a="1"/>
  <c r="I98" i="9" s="1"/>
  <c r="AN98" i="16" s="1"/>
  <c r="L46" i="9"/>
  <c r="I46" i="9" s="1" a="1"/>
  <c r="I46" i="9" s="1"/>
  <c r="AN46" i="16" s="1"/>
  <c r="E47" i="9"/>
  <c r="Q44" i="16" l="1"/>
  <c r="Y44" i="16" s="1"/>
  <c r="AG44" i="16" s="1"/>
  <c r="R44" i="16"/>
  <c r="AH42" i="16"/>
  <c r="AI42" i="16" s="1"/>
  <c r="AA42" i="16"/>
  <c r="I46" i="16"/>
  <c r="S43" i="16"/>
  <c r="Z43" i="16"/>
  <c r="J45" i="16"/>
  <c r="P45" i="16" s="1"/>
  <c r="K45" i="16"/>
  <c r="X45" i="16" s="1"/>
  <c r="L45" i="16"/>
  <c r="E100" i="9"/>
  <c r="L99" i="9"/>
  <c r="I99" i="9" s="1" a="1"/>
  <c r="I99" i="9" s="1"/>
  <c r="AN99" i="16" s="1"/>
  <c r="E48" i="9"/>
  <c r="L47" i="9"/>
  <c r="I47" i="9" s="1" a="1"/>
  <c r="I47" i="9" s="1"/>
  <c r="AN47" i="16" s="1"/>
  <c r="I47" i="16" l="1"/>
  <c r="J46" i="16"/>
  <c r="P46" i="16" s="1"/>
  <c r="L46" i="16"/>
  <c r="K46" i="16"/>
  <c r="X46" i="16" s="1"/>
  <c r="AA43" i="16"/>
  <c r="AH43" i="16"/>
  <c r="AI43" i="16" s="1"/>
  <c r="Q45" i="16"/>
  <c r="Y45" i="16" s="1"/>
  <c r="AG45" i="16" s="1"/>
  <c r="R45" i="16"/>
  <c r="S44" i="16"/>
  <c r="Z44" i="16"/>
  <c r="L100" i="9"/>
  <c r="I100" i="9" s="1" a="1"/>
  <c r="I100" i="9" s="1"/>
  <c r="AN100" i="16" s="1"/>
  <c r="E49" i="9"/>
  <c r="L48" i="9"/>
  <c r="I48" i="9" s="1" a="1"/>
  <c r="I48" i="9" s="1"/>
  <c r="AN48" i="16" s="1"/>
  <c r="S45" i="16" l="1"/>
  <c r="Z45" i="16"/>
  <c r="I48" i="16"/>
  <c r="AH44" i="16"/>
  <c r="AI44" i="16" s="1"/>
  <c r="AA44" i="16"/>
  <c r="Q46" i="16"/>
  <c r="Y46" i="16" s="1"/>
  <c r="AG46" i="16" s="1"/>
  <c r="R46" i="16"/>
  <c r="J47" i="16"/>
  <c r="P47" i="16" s="1"/>
  <c r="L47" i="16"/>
  <c r="K47" i="16"/>
  <c r="X47" i="16" s="1"/>
  <c r="L101" i="9"/>
  <c r="I101" i="9" s="1" a="1"/>
  <c r="I101" i="9" s="1"/>
  <c r="AN101" i="16" s="1"/>
  <c r="E102" i="9"/>
  <c r="L49" i="9"/>
  <c r="I49" i="9" s="1" a="1"/>
  <c r="I49" i="9" s="1"/>
  <c r="AN49" i="16" s="1"/>
  <c r="E50" i="9"/>
  <c r="I49" i="16" l="1"/>
  <c r="J48" i="16"/>
  <c r="P48" i="16" s="1"/>
  <c r="L48" i="16"/>
  <c r="K48" i="16"/>
  <c r="X48" i="16" s="1"/>
  <c r="Q47" i="16"/>
  <c r="Y47" i="16" s="1"/>
  <c r="AG47" i="16" s="1"/>
  <c r="R47" i="16"/>
  <c r="AA45" i="16"/>
  <c r="AH45" i="16"/>
  <c r="AI45" i="16" s="1"/>
  <c r="S46" i="16"/>
  <c r="Z46" i="16"/>
  <c r="E103" i="9"/>
  <c r="L102" i="9"/>
  <c r="I102" i="9" s="1" a="1"/>
  <c r="I102" i="9" s="1"/>
  <c r="AN102" i="16" s="1"/>
  <c r="L50" i="9"/>
  <c r="I50" i="9" s="1" a="1"/>
  <c r="I50" i="9" s="1"/>
  <c r="AN50" i="16" s="1"/>
  <c r="E51" i="9"/>
  <c r="S47" i="16" l="1"/>
  <c r="Z47" i="16"/>
  <c r="I50" i="16"/>
  <c r="AA46" i="16"/>
  <c r="AH46" i="16"/>
  <c r="AI46" i="16" s="1"/>
  <c r="Q48" i="16"/>
  <c r="Y48" i="16" s="1"/>
  <c r="AG48" i="16" s="1"/>
  <c r="R48" i="16"/>
  <c r="J49" i="16"/>
  <c r="P49" i="16" s="1"/>
  <c r="L49" i="16"/>
  <c r="K49" i="16"/>
  <c r="X49" i="16" s="1"/>
  <c r="E104" i="9"/>
  <c r="L103" i="9"/>
  <c r="I103" i="9" s="1" a="1"/>
  <c r="I103" i="9" s="1"/>
  <c r="AN103" i="16" s="1"/>
  <c r="E52" i="9"/>
  <c r="L51" i="9"/>
  <c r="I51" i="9" s="1" a="1"/>
  <c r="I51" i="9" s="1"/>
  <c r="AN51" i="16" s="1"/>
  <c r="I51" i="16" l="1"/>
  <c r="J50" i="16"/>
  <c r="P50" i="16" s="1"/>
  <c r="L50" i="16"/>
  <c r="K50" i="16"/>
  <c r="X50" i="16" s="1"/>
  <c r="AH47" i="16"/>
  <c r="AI47" i="16" s="1"/>
  <c r="AA47" i="16"/>
  <c r="Q49" i="16"/>
  <c r="Y49" i="16" s="1"/>
  <c r="AG49" i="16" s="1"/>
  <c r="R49" i="16"/>
  <c r="S48" i="16"/>
  <c r="Z48" i="16"/>
  <c r="E105" i="9"/>
  <c r="L104" i="9"/>
  <c r="I104" i="9" s="1" a="1"/>
  <c r="I104" i="9" s="1"/>
  <c r="AN104" i="16" s="1"/>
  <c r="L52" i="9"/>
  <c r="I52" i="9" s="1" a="1"/>
  <c r="I52" i="9" s="1"/>
  <c r="AN52" i="16" s="1"/>
  <c r="Z49" i="16" l="1"/>
  <c r="S49" i="16"/>
  <c r="I52" i="16"/>
  <c r="AA48" i="16"/>
  <c r="AH48" i="16"/>
  <c r="AI48" i="16" s="1"/>
  <c r="Q50" i="16"/>
  <c r="Y50" i="16" s="1"/>
  <c r="AG50" i="16" s="1"/>
  <c r="R50" i="16"/>
  <c r="J51" i="16"/>
  <c r="P51" i="16" s="1"/>
  <c r="K51" i="16"/>
  <c r="X51" i="16" s="1"/>
  <c r="L51" i="16"/>
  <c r="L105" i="9"/>
  <c r="I105" i="9" s="1" a="1"/>
  <c r="I105" i="9" s="1"/>
  <c r="AN105" i="16" s="1"/>
  <c r="E106" i="9"/>
  <c r="L53" i="9"/>
  <c r="I53" i="9" s="1" a="1"/>
  <c r="I53" i="9" s="1"/>
  <c r="AN53" i="16" s="1"/>
  <c r="E54" i="9"/>
  <c r="J52" i="16" l="1"/>
  <c r="P52" i="16" s="1"/>
  <c r="L52" i="16"/>
  <c r="K52" i="16"/>
  <c r="X52" i="16" s="1"/>
  <c r="I53" i="16"/>
  <c r="Q51" i="16"/>
  <c r="Y51" i="16" s="1"/>
  <c r="AG51" i="16" s="1"/>
  <c r="R51" i="16"/>
  <c r="S50" i="16"/>
  <c r="Z50" i="16"/>
  <c r="AA49" i="16"/>
  <c r="AH49" i="16"/>
  <c r="AI49" i="16" s="1"/>
  <c r="E107" i="9"/>
  <c r="L106" i="9"/>
  <c r="I106" i="9" s="1" a="1"/>
  <c r="I106" i="9" s="1"/>
  <c r="AN106" i="16" s="1"/>
  <c r="L54" i="9"/>
  <c r="I54" i="9" s="1" a="1"/>
  <c r="I54" i="9" s="1"/>
  <c r="AN54" i="16" s="1"/>
  <c r="E55" i="9"/>
  <c r="S51" i="16" l="1"/>
  <c r="Z51" i="16"/>
  <c r="J53" i="16"/>
  <c r="P53" i="16" s="1"/>
  <c r="L53" i="16"/>
  <c r="K53" i="16"/>
  <c r="X53" i="16" s="1"/>
  <c r="I54" i="16"/>
  <c r="AA50" i="16"/>
  <c r="AH50" i="16"/>
  <c r="AI50" i="16" s="1"/>
  <c r="Q52" i="16"/>
  <c r="Y52" i="16" s="1"/>
  <c r="AG52" i="16" s="1"/>
  <c r="R52" i="16"/>
  <c r="E108" i="9"/>
  <c r="L107" i="9"/>
  <c r="I107" i="9" s="1" a="1"/>
  <c r="I107" i="9" s="1"/>
  <c r="AN107" i="16" s="1"/>
  <c r="E56" i="9"/>
  <c r="L55" i="9"/>
  <c r="I55" i="9" s="1" a="1"/>
  <c r="I55" i="9" s="1"/>
  <c r="AN55" i="16" s="1"/>
  <c r="I55" i="16" l="1"/>
  <c r="Q53" i="16"/>
  <c r="Y53" i="16" s="1"/>
  <c r="AG53" i="16" s="1"/>
  <c r="R53" i="16"/>
  <c r="Z52" i="16"/>
  <c r="S52" i="16"/>
  <c r="J54" i="16"/>
  <c r="P54" i="16" s="1"/>
  <c r="L54" i="16"/>
  <c r="K54" i="16"/>
  <c r="X54" i="16" s="1"/>
  <c r="AH51" i="16"/>
  <c r="AI51" i="16" s="1"/>
  <c r="AA51" i="16"/>
  <c r="L108" i="9"/>
  <c r="I108" i="9" s="1" a="1"/>
  <c r="I108" i="9" s="1"/>
  <c r="AN108" i="16" s="1"/>
  <c r="E57" i="9"/>
  <c r="L56" i="9"/>
  <c r="I56" i="9" s="1" a="1"/>
  <c r="I56" i="9" s="1"/>
  <c r="AN56" i="16" s="1"/>
  <c r="Q54" i="16" l="1"/>
  <c r="Y54" i="16" s="1"/>
  <c r="AG54" i="16" s="1"/>
  <c r="R54" i="16"/>
  <c r="I56" i="16"/>
  <c r="AH52" i="16"/>
  <c r="AI52" i="16" s="1"/>
  <c r="AA52" i="16"/>
  <c r="S53" i="16"/>
  <c r="Z53" i="16"/>
  <c r="J55" i="16"/>
  <c r="P55" i="16" s="1"/>
  <c r="L55" i="16"/>
  <c r="K55" i="16"/>
  <c r="X55" i="16" s="1"/>
  <c r="L109" i="9"/>
  <c r="I109" i="9" s="1" a="1"/>
  <c r="I109" i="9" s="1"/>
  <c r="AN109" i="16" s="1"/>
  <c r="E110" i="9"/>
  <c r="L57" i="9"/>
  <c r="I57" i="9" s="1" a="1"/>
  <c r="I57" i="9" s="1"/>
  <c r="AN57" i="16" s="1"/>
  <c r="E58" i="9"/>
  <c r="Q55" i="16" l="1"/>
  <c r="Y55" i="16" s="1"/>
  <c r="AG55" i="16" s="1"/>
  <c r="R55" i="16"/>
  <c r="AA53" i="16"/>
  <c r="AH53" i="16"/>
  <c r="AI53" i="16" s="1"/>
  <c r="I57" i="16"/>
  <c r="J56" i="16"/>
  <c r="P56" i="16" s="1"/>
  <c r="L56" i="16"/>
  <c r="K56" i="16"/>
  <c r="X56" i="16" s="1"/>
  <c r="S54" i="16"/>
  <c r="Z54" i="16"/>
  <c r="E111" i="9"/>
  <c r="L110" i="9"/>
  <c r="I110" i="9" s="1" a="1"/>
  <c r="I110" i="9" s="1"/>
  <c r="AN110" i="16" s="1"/>
  <c r="L58" i="9"/>
  <c r="I58" i="9" s="1" a="1"/>
  <c r="I58" i="9" s="1"/>
  <c r="AN58" i="16" s="1"/>
  <c r="E59" i="9"/>
  <c r="Q56" i="16" l="1"/>
  <c r="Y56" i="16" s="1"/>
  <c r="AG56" i="16" s="1"/>
  <c r="R56" i="16"/>
  <c r="J57" i="16"/>
  <c r="P57" i="16" s="1"/>
  <c r="K57" i="16"/>
  <c r="X57" i="16" s="1"/>
  <c r="L57" i="16"/>
  <c r="I58" i="16"/>
  <c r="AA54" i="16"/>
  <c r="AH54" i="16"/>
  <c r="AI54" i="16" s="1"/>
  <c r="S55" i="16"/>
  <c r="Z55" i="16"/>
  <c r="E112" i="9"/>
  <c r="L111" i="9"/>
  <c r="I111" i="9" s="1" a="1"/>
  <c r="I111" i="9" s="1"/>
  <c r="AN111" i="16" s="1"/>
  <c r="E60" i="9"/>
  <c r="L59" i="9"/>
  <c r="I59" i="9" s="1" a="1"/>
  <c r="I59" i="9" s="1"/>
  <c r="AN59" i="16" s="1"/>
  <c r="AA55" i="16" l="1"/>
  <c r="AH55" i="16"/>
  <c r="AI55" i="16" s="1"/>
  <c r="J58" i="16"/>
  <c r="P58" i="16" s="1"/>
  <c r="L58" i="16"/>
  <c r="K58" i="16"/>
  <c r="X58" i="16" s="1"/>
  <c r="I59" i="16"/>
  <c r="Q57" i="16"/>
  <c r="Y57" i="16" s="1"/>
  <c r="AG57" i="16" s="1"/>
  <c r="R57" i="16"/>
  <c r="S56" i="16"/>
  <c r="Z56" i="16"/>
  <c r="E113" i="9"/>
  <c r="L112" i="9"/>
  <c r="I112" i="9" s="1" a="1"/>
  <c r="I112" i="9" s="1"/>
  <c r="AN112" i="16" s="1"/>
  <c r="L60" i="9"/>
  <c r="I60" i="9" s="1" a="1"/>
  <c r="I60" i="9" s="1"/>
  <c r="AN60" i="16" s="1"/>
  <c r="I60" i="16" l="1"/>
  <c r="AH56" i="16"/>
  <c r="AI56" i="16" s="1"/>
  <c r="AA56" i="16"/>
  <c r="Q58" i="16"/>
  <c r="Y58" i="16" s="1"/>
  <c r="AG58" i="16" s="1"/>
  <c r="R58" i="16"/>
  <c r="J59" i="16"/>
  <c r="P59" i="16" s="1"/>
  <c r="K59" i="16"/>
  <c r="X59" i="16" s="1"/>
  <c r="L59" i="16"/>
  <c r="S57" i="16"/>
  <c r="Z57" i="16"/>
  <c r="L113" i="9"/>
  <c r="I113" i="9" s="1" a="1"/>
  <c r="I113" i="9" s="1"/>
  <c r="AN113" i="16" s="1"/>
  <c r="E114" i="9"/>
  <c r="L61" i="9"/>
  <c r="I61" i="9" s="1" a="1"/>
  <c r="I61" i="9" s="1"/>
  <c r="AN61" i="16" s="1"/>
  <c r="E62" i="9"/>
  <c r="Q59" i="16" l="1"/>
  <c r="Y59" i="16" s="1"/>
  <c r="AG59" i="16" s="1"/>
  <c r="R59" i="16"/>
  <c r="I61" i="16"/>
  <c r="I109" i="16"/>
  <c r="S58" i="16"/>
  <c r="Z58" i="16"/>
  <c r="AA57" i="16"/>
  <c r="AH57" i="16"/>
  <c r="AI57" i="16" s="1"/>
  <c r="J60" i="16"/>
  <c r="P60" i="16" s="1"/>
  <c r="K60" i="16"/>
  <c r="X60" i="16" s="1"/>
  <c r="L60" i="16"/>
  <c r="E115" i="9"/>
  <c r="L114" i="9"/>
  <c r="I114" i="9" s="1" a="1"/>
  <c r="I114" i="9" s="1"/>
  <c r="AN114" i="16" s="1"/>
  <c r="L62" i="9"/>
  <c r="I62" i="9" s="1" a="1"/>
  <c r="I62" i="9" s="1"/>
  <c r="AN62" i="16" s="1"/>
  <c r="E63" i="9"/>
  <c r="AH58" i="16" l="1"/>
  <c r="AI58" i="16" s="1"/>
  <c r="AA58" i="16"/>
  <c r="I62" i="16"/>
  <c r="I110" i="16"/>
  <c r="J109" i="16"/>
  <c r="P109" i="16" s="1"/>
  <c r="K109" i="16"/>
  <c r="X109" i="16" s="1"/>
  <c r="L109" i="16"/>
  <c r="J61" i="16"/>
  <c r="P61" i="16" s="1"/>
  <c r="K61" i="16"/>
  <c r="X61" i="16" s="1"/>
  <c r="L61" i="16"/>
  <c r="Q60" i="16"/>
  <c r="Y60" i="16" s="1"/>
  <c r="AG60" i="16" s="1"/>
  <c r="R60" i="16"/>
  <c r="S59" i="16"/>
  <c r="Z59" i="16"/>
  <c r="E116" i="9"/>
  <c r="L115" i="9"/>
  <c r="I115" i="9" s="1" a="1"/>
  <c r="I115" i="9" s="1"/>
  <c r="AN115" i="16" s="1"/>
  <c r="E64" i="9"/>
  <c r="L63" i="9"/>
  <c r="I63" i="9" s="1" a="1"/>
  <c r="I63" i="9" s="1"/>
  <c r="AN63" i="16" s="1"/>
  <c r="S60" i="16" l="1"/>
  <c r="Z60" i="16"/>
  <c r="AA59" i="16"/>
  <c r="AH59" i="16"/>
  <c r="AI59" i="16" s="1"/>
  <c r="Q61" i="16"/>
  <c r="Y61" i="16" s="1"/>
  <c r="AG61" i="16" s="1"/>
  <c r="R61" i="16"/>
  <c r="Q109" i="16"/>
  <c r="Y109" i="16" s="1"/>
  <c r="AG109" i="16" s="1"/>
  <c r="R109" i="16"/>
  <c r="J110" i="16"/>
  <c r="P110" i="16" s="1"/>
  <c r="L110" i="16"/>
  <c r="K110" i="16"/>
  <c r="X110" i="16" s="1"/>
  <c r="J62" i="16"/>
  <c r="P62" i="16" s="1"/>
  <c r="L62" i="16"/>
  <c r="K62" i="16"/>
  <c r="X62" i="16" s="1"/>
  <c r="I63" i="16"/>
  <c r="I111" i="16"/>
  <c r="L116" i="9"/>
  <c r="I116" i="9" s="1" a="1"/>
  <c r="I116" i="9" s="1"/>
  <c r="AN116" i="16" s="1"/>
  <c r="E65" i="9"/>
  <c r="L64" i="9"/>
  <c r="I64" i="9" s="1" a="1"/>
  <c r="I64" i="9" s="1"/>
  <c r="AN64" i="16" s="1"/>
  <c r="S61" i="16" l="1"/>
  <c r="Z61" i="16"/>
  <c r="J63" i="16"/>
  <c r="P63" i="16" s="1"/>
  <c r="K63" i="16"/>
  <c r="X63" i="16" s="1"/>
  <c r="L63" i="16"/>
  <c r="Q62" i="16"/>
  <c r="Y62" i="16" s="1"/>
  <c r="AG62" i="16" s="1"/>
  <c r="R62" i="16"/>
  <c r="I64" i="16"/>
  <c r="I112" i="16"/>
  <c r="Q110" i="16"/>
  <c r="Y110" i="16" s="1"/>
  <c r="AG110" i="16" s="1"/>
  <c r="R110" i="16"/>
  <c r="AH60" i="16"/>
  <c r="AI60" i="16" s="1"/>
  <c r="AA60" i="16"/>
  <c r="J111" i="16"/>
  <c r="P111" i="16" s="1"/>
  <c r="L111" i="16"/>
  <c r="K111" i="16"/>
  <c r="X111" i="16" s="1"/>
  <c r="S109" i="16"/>
  <c r="Z109" i="16"/>
  <c r="L117" i="9"/>
  <c r="I117" i="9" s="1" a="1"/>
  <c r="I117" i="9" s="1"/>
  <c r="AN117" i="16" s="1"/>
  <c r="I117" i="16" s="1"/>
  <c r="E118" i="9"/>
  <c r="L65" i="9"/>
  <c r="I65" i="9" s="1" a="1"/>
  <c r="I65" i="9" s="1"/>
  <c r="AN65" i="16" s="1"/>
  <c r="E66" i="9"/>
  <c r="J64" i="16" l="1"/>
  <c r="P64" i="16" s="1"/>
  <c r="L64" i="16"/>
  <c r="K64" i="16"/>
  <c r="X64" i="16" s="1"/>
  <c r="AH109" i="16"/>
  <c r="AI109" i="16" s="1"/>
  <c r="AA109" i="16"/>
  <c r="Q111" i="16"/>
  <c r="Y111" i="16" s="1"/>
  <c r="AG111" i="16" s="1"/>
  <c r="R111" i="16"/>
  <c r="S62" i="16"/>
  <c r="Z62" i="16"/>
  <c r="I65" i="16"/>
  <c r="I113" i="16"/>
  <c r="J117" i="16"/>
  <c r="P117" i="16" s="1"/>
  <c r="K117" i="16"/>
  <c r="X117" i="16" s="1"/>
  <c r="L117" i="16"/>
  <c r="S110" i="16"/>
  <c r="Z110" i="16"/>
  <c r="Q63" i="16"/>
  <c r="Y63" i="16" s="1"/>
  <c r="AG63" i="16" s="1"/>
  <c r="R63" i="16"/>
  <c r="AH61" i="16"/>
  <c r="AI61" i="16" s="1"/>
  <c r="AA61" i="16"/>
  <c r="J112" i="16"/>
  <c r="P112" i="16" s="1"/>
  <c r="L112" i="16"/>
  <c r="K112" i="16"/>
  <c r="X112" i="16" s="1"/>
  <c r="L66" i="9"/>
  <c r="I66" i="9" s="1" a="1"/>
  <c r="I66" i="9" s="1"/>
  <c r="AN66" i="16" s="1"/>
  <c r="E67" i="9"/>
  <c r="E119" i="9"/>
  <c r="L118" i="9"/>
  <c r="I118" i="9" s="1" a="1"/>
  <c r="I118" i="9" s="1"/>
  <c r="AN118" i="16" s="1"/>
  <c r="I118" i="16" s="1"/>
  <c r="I66" i="16" l="1"/>
  <c r="I114" i="16"/>
  <c r="AH110" i="16"/>
  <c r="AI110" i="16" s="1"/>
  <c r="AA110" i="16"/>
  <c r="S111" i="16"/>
  <c r="Z111" i="16"/>
  <c r="J118" i="16"/>
  <c r="P118" i="16" s="1"/>
  <c r="K118" i="16"/>
  <c r="X118" i="16" s="1"/>
  <c r="L118" i="16"/>
  <c r="S63" i="16"/>
  <c r="Z63" i="16"/>
  <c r="Q112" i="16"/>
  <c r="Y112" i="16" s="1"/>
  <c r="AG112" i="16" s="1"/>
  <c r="R112" i="16"/>
  <c r="Q117" i="16"/>
  <c r="Y117" i="16" s="1"/>
  <c r="AG117" i="16" s="1"/>
  <c r="R117" i="16"/>
  <c r="J113" i="16"/>
  <c r="P113" i="16" s="1"/>
  <c r="L113" i="16"/>
  <c r="K113" i="16"/>
  <c r="X113" i="16" s="1"/>
  <c r="J65" i="16"/>
  <c r="P65" i="16" s="1"/>
  <c r="K65" i="16"/>
  <c r="X65" i="16" s="1"/>
  <c r="L65" i="16"/>
  <c r="AA62" i="16"/>
  <c r="AH62" i="16"/>
  <c r="AI62" i="16" s="1"/>
  <c r="Q64" i="16"/>
  <c r="Y64" i="16" s="1"/>
  <c r="AG64" i="16" s="1"/>
  <c r="R64" i="16"/>
  <c r="L119" i="9"/>
  <c r="I119" i="9" s="1" a="1"/>
  <c r="I119" i="9" s="1"/>
  <c r="AN119" i="16" s="1"/>
  <c r="I119" i="16" s="1"/>
  <c r="E120" i="9"/>
  <c r="E68" i="9"/>
  <c r="L68" i="9" s="1"/>
  <c r="I68" i="9" s="1" a="1"/>
  <c r="I68" i="9" s="1"/>
  <c r="AN68" i="16" s="1"/>
  <c r="L67" i="9"/>
  <c r="I67" i="9" s="1" a="1"/>
  <c r="I67" i="9" s="1"/>
  <c r="AN67" i="16" s="1"/>
  <c r="J119" i="16" l="1"/>
  <c r="P119" i="16" s="1"/>
  <c r="K119" i="16"/>
  <c r="X119" i="16" s="1"/>
  <c r="L119" i="16"/>
  <c r="S64" i="16"/>
  <c r="Z64" i="16"/>
  <c r="Q113" i="16"/>
  <c r="Y113" i="16" s="1"/>
  <c r="AG113" i="16" s="1"/>
  <c r="R113" i="16"/>
  <c r="S117" i="16"/>
  <c r="Z117" i="16"/>
  <c r="Q118" i="16"/>
  <c r="Y118" i="16" s="1"/>
  <c r="AG118" i="16" s="1"/>
  <c r="R118" i="16"/>
  <c r="AA111" i="16"/>
  <c r="AH111" i="16"/>
  <c r="AI111" i="16" s="1"/>
  <c r="I67" i="16"/>
  <c r="I115" i="16"/>
  <c r="S112" i="16"/>
  <c r="Z112" i="16"/>
  <c r="I77" i="16"/>
  <c r="I85" i="16"/>
  <c r="I69" i="16"/>
  <c r="I101" i="16"/>
  <c r="I93" i="16"/>
  <c r="I94" i="16"/>
  <c r="I70" i="16"/>
  <c r="I102" i="16"/>
  <c r="I78" i="16"/>
  <c r="I86" i="16"/>
  <c r="I79" i="16"/>
  <c r="I71" i="16"/>
  <c r="I95" i="16"/>
  <c r="I103" i="16"/>
  <c r="I87" i="16"/>
  <c r="I72" i="16"/>
  <c r="I80" i="16"/>
  <c r="I96" i="16"/>
  <c r="I104" i="16"/>
  <c r="I88" i="16"/>
  <c r="I81" i="16"/>
  <c r="I105" i="16"/>
  <c r="I97" i="16"/>
  <c r="I89" i="16"/>
  <c r="I73" i="16"/>
  <c r="I82" i="16"/>
  <c r="I106" i="16"/>
  <c r="I74" i="16"/>
  <c r="I98" i="16"/>
  <c r="I90" i="16"/>
  <c r="I83" i="16"/>
  <c r="I75" i="16"/>
  <c r="I91" i="16"/>
  <c r="I99" i="16"/>
  <c r="I107" i="16"/>
  <c r="I68" i="16"/>
  <c r="I108" i="16"/>
  <c r="I92" i="16"/>
  <c r="I84" i="16"/>
  <c r="I76" i="16"/>
  <c r="I100" i="16"/>
  <c r="I116" i="16"/>
  <c r="Q65" i="16"/>
  <c r="Y65" i="16" s="1"/>
  <c r="AG65" i="16" s="1"/>
  <c r="R65" i="16"/>
  <c r="AH63" i="16"/>
  <c r="AI63" i="16" s="1"/>
  <c r="AA63" i="16"/>
  <c r="J114" i="16"/>
  <c r="P114" i="16" s="1"/>
  <c r="K114" i="16"/>
  <c r="X114" i="16" s="1"/>
  <c r="L114" i="16"/>
  <c r="J66" i="16"/>
  <c r="P66" i="16" s="1"/>
  <c r="K66" i="16"/>
  <c r="X66" i="16" s="1"/>
  <c r="L66" i="16"/>
  <c r="E121" i="9"/>
  <c r="L120" i="9"/>
  <c r="I120" i="9" s="1" a="1"/>
  <c r="I120" i="9" s="1"/>
  <c r="AN120" i="16" s="1"/>
  <c r="I120" i="16" s="1"/>
  <c r="J116" i="16" l="1"/>
  <c r="P116" i="16" s="1"/>
  <c r="L116" i="16"/>
  <c r="K116" i="16"/>
  <c r="X116" i="16" s="1"/>
  <c r="Q114" i="16"/>
  <c r="Y114" i="16" s="1"/>
  <c r="AG114" i="16" s="1"/>
  <c r="R114" i="16"/>
  <c r="J84" i="16"/>
  <c r="P84" i="16" s="1"/>
  <c r="K84" i="16"/>
  <c r="X84" i="16" s="1"/>
  <c r="L84" i="16"/>
  <c r="J83" i="16"/>
  <c r="P83" i="16" s="1"/>
  <c r="L83" i="16"/>
  <c r="K83" i="16"/>
  <c r="X83" i="16" s="1"/>
  <c r="J97" i="16"/>
  <c r="P97" i="16" s="1"/>
  <c r="L97" i="16"/>
  <c r="K97" i="16"/>
  <c r="X97" i="16" s="1"/>
  <c r="J87" i="16"/>
  <c r="P87" i="16" s="1"/>
  <c r="L87" i="16"/>
  <c r="K87" i="16"/>
  <c r="X87" i="16" s="1"/>
  <c r="J70" i="16"/>
  <c r="P70" i="16" s="1"/>
  <c r="K70" i="16"/>
  <c r="X70" i="16" s="1"/>
  <c r="L70" i="16"/>
  <c r="J90" i="16"/>
  <c r="P90" i="16" s="1"/>
  <c r="K90" i="16"/>
  <c r="X90" i="16" s="1"/>
  <c r="L90" i="16"/>
  <c r="J105" i="16"/>
  <c r="P105" i="16" s="1"/>
  <c r="L105" i="16"/>
  <c r="K105" i="16"/>
  <c r="X105" i="16" s="1"/>
  <c r="J103" i="16"/>
  <c r="P103" i="16" s="1"/>
  <c r="K103" i="16"/>
  <c r="X103" i="16" s="1"/>
  <c r="L103" i="16"/>
  <c r="J94" i="16"/>
  <c r="P94" i="16" s="1"/>
  <c r="K94" i="16"/>
  <c r="X94" i="16" s="1"/>
  <c r="L94" i="16"/>
  <c r="J115" i="16"/>
  <c r="P115" i="16" s="1"/>
  <c r="L115" i="16"/>
  <c r="K115" i="16"/>
  <c r="X115" i="16" s="1"/>
  <c r="S113" i="16"/>
  <c r="Z113" i="16"/>
  <c r="J98" i="16"/>
  <c r="P98" i="16" s="1"/>
  <c r="L98" i="16"/>
  <c r="K98" i="16"/>
  <c r="X98" i="16" s="1"/>
  <c r="J81" i="16"/>
  <c r="P81" i="16" s="1"/>
  <c r="K81" i="16"/>
  <c r="X81" i="16" s="1"/>
  <c r="L81" i="16"/>
  <c r="J95" i="16"/>
  <c r="P95" i="16" s="1"/>
  <c r="L95" i="16"/>
  <c r="K95" i="16"/>
  <c r="X95" i="16" s="1"/>
  <c r="J93" i="16"/>
  <c r="P93" i="16" s="1"/>
  <c r="K93" i="16"/>
  <c r="X93" i="16" s="1"/>
  <c r="L93" i="16"/>
  <c r="J67" i="16"/>
  <c r="P67" i="16" s="1"/>
  <c r="L67" i="16"/>
  <c r="K67" i="16"/>
  <c r="X67" i="16" s="1"/>
  <c r="J108" i="16"/>
  <c r="P108" i="16" s="1"/>
  <c r="L108" i="16"/>
  <c r="K108" i="16"/>
  <c r="X108" i="16" s="1"/>
  <c r="Z65" i="16"/>
  <c r="S65" i="16"/>
  <c r="J68" i="16"/>
  <c r="P68" i="16" s="1"/>
  <c r="L68" i="16"/>
  <c r="K68" i="16"/>
  <c r="X68" i="16" s="1"/>
  <c r="J74" i="16"/>
  <c r="P74" i="16" s="1"/>
  <c r="K74" i="16"/>
  <c r="X74" i="16" s="1"/>
  <c r="L74" i="16"/>
  <c r="J88" i="16"/>
  <c r="P88" i="16" s="1"/>
  <c r="K88" i="16"/>
  <c r="X88" i="16" s="1"/>
  <c r="L88" i="16"/>
  <c r="J71" i="16"/>
  <c r="P71" i="16" s="1"/>
  <c r="L71" i="16"/>
  <c r="K71" i="16"/>
  <c r="X71" i="16" s="1"/>
  <c r="J101" i="16"/>
  <c r="P101" i="16" s="1"/>
  <c r="K101" i="16"/>
  <c r="X101" i="16" s="1"/>
  <c r="L101" i="16"/>
  <c r="AA64" i="16"/>
  <c r="AH64" i="16"/>
  <c r="AI64" i="16" s="1"/>
  <c r="J120" i="16"/>
  <c r="P120" i="16" s="1"/>
  <c r="L120" i="16"/>
  <c r="K120" i="16"/>
  <c r="X120" i="16" s="1"/>
  <c r="J107" i="16"/>
  <c r="P107" i="16" s="1"/>
  <c r="L107" i="16"/>
  <c r="K107" i="16"/>
  <c r="X107" i="16" s="1"/>
  <c r="J106" i="16"/>
  <c r="P106" i="16" s="1"/>
  <c r="K106" i="16"/>
  <c r="X106" i="16" s="1"/>
  <c r="L106" i="16"/>
  <c r="J104" i="16"/>
  <c r="P104" i="16" s="1"/>
  <c r="K104" i="16"/>
  <c r="X104" i="16" s="1"/>
  <c r="L104" i="16"/>
  <c r="J79" i="16"/>
  <c r="P79" i="16" s="1"/>
  <c r="K79" i="16"/>
  <c r="X79" i="16" s="1"/>
  <c r="L79" i="16"/>
  <c r="J69" i="16"/>
  <c r="P69" i="16" s="1"/>
  <c r="K69" i="16"/>
  <c r="X69" i="16" s="1"/>
  <c r="L69" i="16"/>
  <c r="J92" i="16"/>
  <c r="P92" i="16" s="1"/>
  <c r="K92" i="16"/>
  <c r="X92" i="16" s="1"/>
  <c r="L92" i="16"/>
  <c r="J99" i="16"/>
  <c r="P99" i="16" s="1"/>
  <c r="L99" i="16"/>
  <c r="K99" i="16"/>
  <c r="X99" i="16" s="1"/>
  <c r="J82" i="16"/>
  <c r="P82" i="16" s="1"/>
  <c r="K82" i="16"/>
  <c r="X82" i="16" s="1"/>
  <c r="L82" i="16"/>
  <c r="J96" i="16"/>
  <c r="P96" i="16" s="1"/>
  <c r="K96" i="16"/>
  <c r="X96" i="16" s="1"/>
  <c r="L96" i="16"/>
  <c r="J86" i="16"/>
  <c r="P86" i="16" s="1"/>
  <c r="K86" i="16"/>
  <c r="X86" i="16" s="1"/>
  <c r="L86" i="16"/>
  <c r="J85" i="16"/>
  <c r="P85" i="16" s="1"/>
  <c r="K85" i="16"/>
  <c r="X85" i="16" s="1"/>
  <c r="L85" i="16"/>
  <c r="S118" i="16"/>
  <c r="Z118" i="16"/>
  <c r="Q66" i="16"/>
  <c r="Y66" i="16" s="1"/>
  <c r="AG66" i="16" s="1"/>
  <c r="R66" i="16"/>
  <c r="J91" i="16"/>
  <c r="P91" i="16" s="1"/>
  <c r="L91" i="16"/>
  <c r="K91" i="16"/>
  <c r="X91" i="16" s="1"/>
  <c r="J73" i="16"/>
  <c r="P73" i="16" s="1"/>
  <c r="K73" i="16"/>
  <c r="X73" i="16" s="1"/>
  <c r="L73" i="16"/>
  <c r="J80" i="16"/>
  <c r="P80" i="16" s="1"/>
  <c r="K80" i="16"/>
  <c r="X80" i="16" s="1"/>
  <c r="L80" i="16"/>
  <c r="J78" i="16"/>
  <c r="P78" i="16" s="1"/>
  <c r="K78" i="16"/>
  <c r="X78" i="16" s="1"/>
  <c r="L78" i="16"/>
  <c r="J77" i="16"/>
  <c r="P77" i="16" s="1"/>
  <c r="L77" i="16"/>
  <c r="K77" i="16"/>
  <c r="X77" i="16" s="1"/>
  <c r="J100" i="16"/>
  <c r="P100" i="16" s="1"/>
  <c r="K100" i="16"/>
  <c r="X100" i="16" s="1"/>
  <c r="L100" i="16"/>
  <c r="J76" i="16"/>
  <c r="P76" i="16" s="1"/>
  <c r="K76" i="16"/>
  <c r="X76" i="16" s="1"/>
  <c r="L76" i="16"/>
  <c r="J75" i="16"/>
  <c r="P75" i="16" s="1"/>
  <c r="L75" i="16"/>
  <c r="K75" i="16"/>
  <c r="X75" i="16" s="1"/>
  <c r="J89" i="16"/>
  <c r="P89" i="16" s="1"/>
  <c r="L89" i="16"/>
  <c r="K89" i="16"/>
  <c r="X89" i="16" s="1"/>
  <c r="J72" i="16"/>
  <c r="P72" i="16" s="1"/>
  <c r="L72" i="16"/>
  <c r="K72" i="16"/>
  <c r="X72" i="16" s="1"/>
  <c r="J102" i="16"/>
  <c r="P102" i="16" s="1"/>
  <c r="L102" i="16"/>
  <c r="K102" i="16"/>
  <c r="X102" i="16" s="1"/>
  <c r="AA112" i="16"/>
  <c r="AH112" i="16"/>
  <c r="AI112" i="16" s="1"/>
  <c r="AH117" i="16"/>
  <c r="AI117" i="16" s="1"/>
  <c r="AA117" i="16"/>
  <c r="Q119" i="16"/>
  <c r="Y119" i="16" s="1"/>
  <c r="AG119" i="16" s="1"/>
  <c r="R119" i="16"/>
  <c r="L121" i="9"/>
  <c r="I121" i="9" s="1" a="1"/>
  <c r="I121" i="9" s="1"/>
  <c r="AN121" i="16" s="1"/>
  <c r="I121" i="16" s="1"/>
  <c r="E122" i="9"/>
  <c r="Q88" i="16" l="1"/>
  <c r="Y88" i="16" s="1"/>
  <c r="AG88" i="16" s="1"/>
  <c r="R88" i="16"/>
  <c r="Q77" i="16"/>
  <c r="Y77" i="16" s="1"/>
  <c r="AG77" i="16" s="1"/>
  <c r="R77" i="16"/>
  <c r="Q79" i="16"/>
  <c r="Y79" i="16" s="1"/>
  <c r="AG79" i="16" s="1"/>
  <c r="R79" i="16"/>
  <c r="Q93" i="16"/>
  <c r="Y93" i="16" s="1"/>
  <c r="AG93" i="16" s="1"/>
  <c r="R93" i="16"/>
  <c r="Q87" i="16"/>
  <c r="Y87" i="16" s="1"/>
  <c r="AG87" i="16" s="1"/>
  <c r="R87" i="16"/>
  <c r="S119" i="16"/>
  <c r="Z119" i="16"/>
  <c r="R105" i="16"/>
  <c r="Q105" i="16"/>
  <c r="Y105" i="16" s="1"/>
  <c r="AG105" i="16" s="1"/>
  <c r="Q72" i="16"/>
  <c r="Y72" i="16" s="1"/>
  <c r="AG72" i="16" s="1"/>
  <c r="R72" i="16"/>
  <c r="Q73" i="16"/>
  <c r="Y73" i="16" s="1"/>
  <c r="AG73" i="16" s="1"/>
  <c r="R73" i="16"/>
  <c r="Q96" i="16"/>
  <c r="Y96" i="16" s="1"/>
  <c r="AG96" i="16" s="1"/>
  <c r="R96" i="16"/>
  <c r="Q107" i="16"/>
  <c r="Y107" i="16" s="1"/>
  <c r="AG107" i="16" s="1"/>
  <c r="R107" i="16"/>
  <c r="Q101" i="16"/>
  <c r="Y101" i="16" s="1"/>
  <c r="AG101" i="16" s="1"/>
  <c r="R101" i="16"/>
  <c r="Q98" i="16"/>
  <c r="Y98" i="16" s="1"/>
  <c r="AG98" i="16" s="1"/>
  <c r="R98" i="16"/>
  <c r="Q94" i="16"/>
  <c r="Y94" i="16" s="1"/>
  <c r="AG94" i="16" s="1"/>
  <c r="R94" i="16"/>
  <c r="Q84" i="16"/>
  <c r="Y84" i="16" s="1"/>
  <c r="AG84" i="16" s="1"/>
  <c r="R84" i="16"/>
  <c r="AA65" i="16"/>
  <c r="AH65" i="16"/>
  <c r="AI65" i="16" s="1"/>
  <c r="Q76" i="16"/>
  <c r="Y76" i="16" s="1"/>
  <c r="AG76" i="16" s="1"/>
  <c r="R76" i="16"/>
  <c r="Q92" i="16"/>
  <c r="Y92" i="16" s="1"/>
  <c r="AG92" i="16" s="1"/>
  <c r="R92" i="16"/>
  <c r="Q74" i="16"/>
  <c r="Y74" i="16" s="1"/>
  <c r="AG74" i="16" s="1"/>
  <c r="R74" i="16"/>
  <c r="Q108" i="16"/>
  <c r="Y108" i="16" s="1"/>
  <c r="AG108" i="16" s="1"/>
  <c r="R108" i="16"/>
  <c r="AA113" i="16"/>
  <c r="AH113" i="16"/>
  <c r="AI113" i="16" s="1"/>
  <c r="Q90" i="16"/>
  <c r="Y90" i="16" s="1"/>
  <c r="AG90" i="16" s="1"/>
  <c r="R90" i="16"/>
  <c r="S114" i="16"/>
  <c r="Z114" i="16"/>
  <c r="Q102" i="16"/>
  <c r="Y102" i="16" s="1"/>
  <c r="AG102" i="16" s="1"/>
  <c r="R102" i="16"/>
  <c r="Q75" i="16"/>
  <c r="Y75" i="16" s="1"/>
  <c r="AG75" i="16" s="1"/>
  <c r="R75" i="16"/>
  <c r="Q99" i="16"/>
  <c r="Y99" i="16" s="1"/>
  <c r="AG99" i="16" s="1"/>
  <c r="R99" i="16"/>
  <c r="Q95" i="16"/>
  <c r="Y95" i="16" s="1"/>
  <c r="AG95" i="16" s="1"/>
  <c r="R95" i="16"/>
  <c r="Q97" i="16"/>
  <c r="Y97" i="16" s="1"/>
  <c r="AG97" i="16" s="1"/>
  <c r="R97" i="16"/>
  <c r="AH118" i="16"/>
  <c r="AI118" i="16" s="1"/>
  <c r="AA118" i="16"/>
  <c r="Q78" i="16"/>
  <c r="Y78" i="16" s="1"/>
  <c r="AG78" i="16" s="1"/>
  <c r="R78" i="16"/>
  <c r="Q85" i="16"/>
  <c r="Y85" i="16" s="1"/>
  <c r="AG85" i="16" s="1"/>
  <c r="R85" i="16"/>
  <c r="Q104" i="16"/>
  <c r="Y104" i="16" s="1"/>
  <c r="AG104" i="16" s="1"/>
  <c r="R104" i="16"/>
  <c r="Q89" i="16"/>
  <c r="Y89" i="16" s="1"/>
  <c r="AG89" i="16" s="1"/>
  <c r="R89" i="16"/>
  <c r="Q91" i="16"/>
  <c r="Y91" i="16" s="1"/>
  <c r="AG91" i="16" s="1"/>
  <c r="R91" i="16"/>
  <c r="Q82" i="16"/>
  <c r="Y82" i="16" s="1"/>
  <c r="AG82" i="16" s="1"/>
  <c r="R82" i="16"/>
  <c r="Q120" i="16"/>
  <c r="Y120" i="16" s="1"/>
  <c r="AG120" i="16" s="1"/>
  <c r="R120" i="16"/>
  <c r="Q71" i="16"/>
  <c r="Y71" i="16" s="1"/>
  <c r="AG71" i="16" s="1"/>
  <c r="R71" i="16"/>
  <c r="Q103" i="16"/>
  <c r="Y103" i="16" s="1"/>
  <c r="AG103" i="16" s="1"/>
  <c r="R103" i="16"/>
  <c r="J121" i="16"/>
  <c r="P121" i="16" s="1"/>
  <c r="K121" i="16"/>
  <c r="X121" i="16" s="1"/>
  <c r="L121" i="16"/>
  <c r="Q100" i="16"/>
  <c r="Y100" i="16" s="1"/>
  <c r="AG100" i="16" s="1"/>
  <c r="R100" i="16"/>
  <c r="Z66" i="16"/>
  <c r="S66" i="16"/>
  <c r="Q69" i="16"/>
  <c r="Y69" i="16" s="1"/>
  <c r="AG69" i="16" s="1"/>
  <c r="R69" i="16"/>
  <c r="Q68" i="16"/>
  <c r="Y68" i="16" s="1"/>
  <c r="AG68" i="16" s="1"/>
  <c r="R68" i="16"/>
  <c r="Q67" i="16"/>
  <c r="Y67" i="16" s="1"/>
  <c r="AG67" i="16" s="1"/>
  <c r="R67" i="16"/>
  <c r="Q70" i="16"/>
  <c r="Y70" i="16" s="1"/>
  <c r="AG70" i="16" s="1"/>
  <c r="R70" i="16"/>
  <c r="Q80" i="16"/>
  <c r="Y80" i="16" s="1"/>
  <c r="AG80" i="16" s="1"/>
  <c r="R80" i="16"/>
  <c r="Q86" i="16"/>
  <c r="Y86" i="16" s="1"/>
  <c r="AG86" i="16" s="1"/>
  <c r="R86" i="16"/>
  <c r="Q106" i="16"/>
  <c r="Y106" i="16" s="1"/>
  <c r="AG106" i="16" s="1"/>
  <c r="R106" i="16"/>
  <c r="Q81" i="16"/>
  <c r="Y81" i="16" s="1"/>
  <c r="AG81" i="16" s="1"/>
  <c r="R81" i="16"/>
  <c r="Q115" i="16"/>
  <c r="Y115" i="16" s="1"/>
  <c r="AG115" i="16" s="1"/>
  <c r="R115" i="16"/>
  <c r="Q83" i="16"/>
  <c r="Y83" i="16" s="1"/>
  <c r="AG83" i="16" s="1"/>
  <c r="R83" i="16"/>
  <c r="Q116" i="16"/>
  <c r="Y116" i="16" s="1"/>
  <c r="AG116" i="16" s="1"/>
  <c r="R116" i="16"/>
  <c r="L122" i="9"/>
  <c r="I122" i="9" s="1" a="1"/>
  <c r="I122" i="9" s="1"/>
  <c r="AN122" i="16" s="1"/>
  <c r="I122" i="16" s="1"/>
  <c r="E123" i="9"/>
  <c r="S70" i="16" l="1"/>
  <c r="Z70" i="16"/>
  <c r="S116" i="16"/>
  <c r="Z116" i="16"/>
  <c r="S67" i="16"/>
  <c r="Z67" i="16"/>
  <c r="S120" i="16"/>
  <c r="Z120" i="16"/>
  <c r="S97" i="16"/>
  <c r="Z97" i="16"/>
  <c r="S102" i="16"/>
  <c r="Z102" i="16"/>
  <c r="S101" i="16"/>
  <c r="Z101" i="16"/>
  <c r="S72" i="16"/>
  <c r="Z72" i="16"/>
  <c r="S93" i="16"/>
  <c r="Z93" i="16"/>
  <c r="S83" i="16"/>
  <c r="Z83" i="16"/>
  <c r="S86" i="16"/>
  <c r="Z86" i="16"/>
  <c r="S68" i="16"/>
  <c r="Z68" i="16"/>
  <c r="S100" i="16"/>
  <c r="Z100" i="16"/>
  <c r="S104" i="16"/>
  <c r="Z104" i="16"/>
  <c r="S108" i="16"/>
  <c r="Z108" i="16"/>
  <c r="Z82" i="16"/>
  <c r="S82" i="16"/>
  <c r="S85" i="16"/>
  <c r="Z85" i="16"/>
  <c r="S95" i="16"/>
  <c r="Z95" i="16"/>
  <c r="AA114" i="16"/>
  <c r="AH114" i="16"/>
  <c r="AI114" i="16" s="1"/>
  <c r="S74" i="16"/>
  <c r="Z74" i="16"/>
  <c r="S84" i="16"/>
  <c r="Z84" i="16"/>
  <c r="S107" i="16"/>
  <c r="Z107" i="16"/>
  <c r="Z79" i="16"/>
  <c r="S79" i="16"/>
  <c r="S115" i="16"/>
  <c r="Z115" i="16"/>
  <c r="S80" i="16"/>
  <c r="Z80" i="16"/>
  <c r="S69" i="16"/>
  <c r="Z69" i="16"/>
  <c r="Q121" i="16"/>
  <c r="Y121" i="16" s="1"/>
  <c r="AG121" i="16" s="1"/>
  <c r="R121" i="16"/>
  <c r="S105" i="16"/>
  <c r="Z105" i="16"/>
  <c r="S81" i="16"/>
  <c r="Z81" i="16"/>
  <c r="S106" i="16"/>
  <c r="Z106" i="16"/>
  <c r="S103" i="16"/>
  <c r="Z103" i="16"/>
  <c r="S91" i="16"/>
  <c r="Z91" i="16"/>
  <c r="S78" i="16"/>
  <c r="Z78" i="16"/>
  <c r="S99" i="16"/>
  <c r="Z99" i="16"/>
  <c r="Z90" i="16"/>
  <c r="S90" i="16"/>
  <c r="S92" i="16"/>
  <c r="Z92" i="16"/>
  <c r="S94" i="16"/>
  <c r="Z94" i="16"/>
  <c r="S96" i="16"/>
  <c r="Z96" i="16"/>
  <c r="AH119" i="16"/>
  <c r="AI119" i="16" s="1"/>
  <c r="AA119" i="16"/>
  <c r="S77" i="16"/>
  <c r="Z77" i="16"/>
  <c r="J122" i="16"/>
  <c r="P122" i="16" s="1"/>
  <c r="L122" i="16"/>
  <c r="K122" i="16"/>
  <c r="X122" i="16" s="1"/>
  <c r="AH66" i="16"/>
  <c r="AI66" i="16" s="1"/>
  <c r="AA66" i="16"/>
  <c r="S71" i="16"/>
  <c r="Z71" i="16"/>
  <c r="S89" i="16"/>
  <c r="Z89" i="16"/>
  <c r="S75" i="16"/>
  <c r="Z75" i="16"/>
  <c r="S76" i="16"/>
  <c r="Z76" i="16"/>
  <c r="S98" i="16"/>
  <c r="Z98" i="16"/>
  <c r="S73" i="16"/>
  <c r="Z73" i="16"/>
  <c r="S87" i="16"/>
  <c r="Z87" i="16"/>
  <c r="S88" i="16"/>
  <c r="Z88" i="16"/>
  <c r="L123" i="9"/>
  <c r="I123" i="9" s="1" a="1"/>
  <c r="I123" i="9" s="1"/>
  <c r="AN123" i="16" s="1"/>
  <c r="I123" i="16" s="1"/>
  <c r="E124" i="9"/>
  <c r="L124" i="9" s="1"/>
  <c r="I124" i="9" s="1" a="1"/>
  <c r="I124" i="9" s="1"/>
  <c r="AN124" i="16" s="1"/>
  <c r="AH77" i="16" l="1"/>
  <c r="AI77" i="16" s="1"/>
  <c r="AA77" i="16"/>
  <c r="AA92" i="16"/>
  <c r="AH92" i="16"/>
  <c r="AI92" i="16" s="1"/>
  <c r="AH91" i="16"/>
  <c r="AI91" i="16" s="1"/>
  <c r="AA91" i="16"/>
  <c r="AA105" i="16"/>
  <c r="AH105" i="16"/>
  <c r="AI105" i="16" s="1"/>
  <c r="AA115" i="16"/>
  <c r="AH115" i="16"/>
  <c r="AI115" i="16" s="1"/>
  <c r="AH74" i="16"/>
  <c r="AI74" i="16" s="1"/>
  <c r="AA74" i="16"/>
  <c r="AH68" i="16"/>
  <c r="AI68" i="16" s="1"/>
  <c r="AA68" i="16"/>
  <c r="AA72" i="16"/>
  <c r="AH72" i="16"/>
  <c r="AI72" i="16" s="1"/>
  <c r="AA120" i="16"/>
  <c r="AH120" i="16"/>
  <c r="AI120" i="16" s="1"/>
  <c r="AA98" i="16"/>
  <c r="AH98" i="16"/>
  <c r="AI98" i="16" s="1"/>
  <c r="AA71" i="16"/>
  <c r="AH71" i="16"/>
  <c r="AI71" i="16" s="1"/>
  <c r="AA82" i="16"/>
  <c r="AH82" i="16"/>
  <c r="AI82" i="16" s="1"/>
  <c r="J123" i="16"/>
  <c r="P123" i="16" s="1"/>
  <c r="L123" i="16"/>
  <c r="K123" i="16"/>
  <c r="X123" i="16" s="1"/>
  <c r="AH103" i="16"/>
  <c r="AI103" i="16" s="1"/>
  <c r="AA103" i="16"/>
  <c r="S121" i="16"/>
  <c r="Z121" i="16"/>
  <c r="AH108" i="16"/>
  <c r="AI108" i="16" s="1"/>
  <c r="AA108" i="16"/>
  <c r="AH86" i="16"/>
  <c r="AI86" i="16" s="1"/>
  <c r="AA86" i="16"/>
  <c r="AA101" i="16"/>
  <c r="AH101" i="16"/>
  <c r="AI101" i="16" s="1"/>
  <c r="AH67" i="16"/>
  <c r="AI67" i="16" s="1"/>
  <c r="AA67" i="16"/>
  <c r="AA79" i="16"/>
  <c r="AH79" i="16"/>
  <c r="AI79" i="16" s="1"/>
  <c r="AA88" i="16"/>
  <c r="AH88" i="16"/>
  <c r="AI88" i="16" s="1"/>
  <c r="AH90" i="16"/>
  <c r="AI90" i="16" s="1"/>
  <c r="AA90" i="16"/>
  <c r="AH96" i="16"/>
  <c r="AI96" i="16" s="1"/>
  <c r="AA96" i="16"/>
  <c r="AA99" i="16"/>
  <c r="AH99" i="16"/>
  <c r="AI99" i="16" s="1"/>
  <c r="AH106" i="16"/>
  <c r="AI106" i="16" s="1"/>
  <c r="AA106" i="16"/>
  <c r="AH69" i="16"/>
  <c r="AI69" i="16" s="1"/>
  <c r="AA69" i="16"/>
  <c r="AH107" i="16"/>
  <c r="AI107" i="16" s="1"/>
  <c r="AA107" i="16"/>
  <c r="AA95" i="16"/>
  <c r="AH95" i="16"/>
  <c r="AI95" i="16" s="1"/>
  <c r="AA104" i="16"/>
  <c r="AH104" i="16"/>
  <c r="AI104" i="16" s="1"/>
  <c r="AA83" i="16"/>
  <c r="AH83" i="16"/>
  <c r="AI83" i="16" s="1"/>
  <c r="AH102" i="16"/>
  <c r="AI102" i="16" s="1"/>
  <c r="AA102" i="16"/>
  <c r="AA116" i="16"/>
  <c r="AH116" i="16"/>
  <c r="AI116" i="16" s="1"/>
  <c r="I125" i="16"/>
  <c r="I126" i="16"/>
  <c r="I127" i="16"/>
  <c r="I128" i="16"/>
  <c r="I129" i="16"/>
  <c r="I130" i="16"/>
  <c r="I131" i="16"/>
  <c r="I132" i="16"/>
  <c r="I124" i="16"/>
  <c r="AH87" i="16"/>
  <c r="AI87" i="16" s="1"/>
  <c r="AA87" i="16"/>
  <c r="AA75" i="16"/>
  <c r="AH75" i="16"/>
  <c r="AI75" i="16" s="1"/>
  <c r="AA94" i="16"/>
  <c r="AH94" i="16"/>
  <c r="AI94" i="16" s="1"/>
  <c r="AH78" i="16"/>
  <c r="AI78" i="16" s="1"/>
  <c r="AA78" i="16"/>
  <c r="AA81" i="16"/>
  <c r="AH81" i="16"/>
  <c r="AI81" i="16" s="1"/>
  <c r="AA80" i="16"/>
  <c r="AH80" i="16"/>
  <c r="AI80" i="16" s="1"/>
  <c r="AH84" i="16"/>
  <c r="AI84" i="16" s="1"/>
  <c r="AA84" i="16"/>
  <c r="AH85" i="16"/>
  <c r="AI85" i="16" s="1"/>
  <c r="AA85" i="16"/>
  <c r="AH100" i="16"/>
  <c r="AI100" i="16" s="1"/>
  <c r="AA100" i="16"/>
  <c r="AH93" i="16"/>
  <c r="AI93" i="16" s="1"/>
  <c r="AA93" i="16"/>
  <c r="AH97" i="16"/>
  <c r="AI97" i="16" s="1"/>
  <c r="AA97" i="16"/>
  <c r="AA70" i="16"/>
  <c r="AH70" i="16"/>
  <c r="AI70" i="16" s="1"/>
  <c r="AA76" i="16"/>
  <c r="AH76" i="16"/>
  <c r="AI76" i="16" s="1"/>
  <c r="AA73" i="16"/>
  <c r="AH73" i="16"/>
  <c r="AI73" i="16" s="1"/>
  <c r="AA89" i="16"/>
  <c r="AH89" i="16"/>
  <c r="AI89" i="16" s="1"/>
  <c r="Q122" i="16"/>
  <c r="Y122" i="16" s="1"/>
  <c r="AG122" i="16" s="1"/>
  <c r="R122" i="16"/>
  <c r="J131" i="16" l="1"/>
  <c r="P131" i="16" s="1"/>
  <c r="K131" i="16"/>
  <c r="X131" i="16" s="1"/>
  <c r="L131" i="16"/>
  <c r="Z122" i="16"/>
  <c r="S122" i="16"/>
  <c r="J130" i="16"/>
  <c r="P130" i="16" s="1"/>
  <c r="K130" i="16"/>
  <c r="X130" i="16" s="1"/>
  <c r="L130" i="16"/>
  <c r="AA121" i="16"/>
  <c r="AH121" i="16"/>
  <c r="AI121" i="16" s="1"/>
  <c r="J129" i="16"/>
  <c r="P129" i="16" s="1"/>
  <c r="K129" i="16"/>
  <c r="X129" i="16" s="1"/>
  <c r="L129" i="16"/>
  <c r="J128" i="16"/>
  <c r="P128" i="16" s="1"/>
  <c r="K128" i="16"/>
  <c r="X128" i="16" s="1"/>
  <c r="L128" i="16"/>
  <c r="J127" i="16"/>
  <c r="P127" i="16" s="1"/>
  <c r="K127" i="16"/>
  <c r="X127" i="16" s="1"/>
  <c r="L127" i="16"/>
  <c r="J126" i="16"/>
  <c r="P126" i="16" s="1"/>
  <c r="K126" i="16"/>
  <c r="X126" i="16" s="1"/>
  <c r="L126" i="16"/>
  <c r="J125" i="16"/>
  <c r="P125" i="16" s="1"/>
  <c r="K125" i="16"/>
  <c r="X125" i="16" s="1"/>
  <c r="L125" i="16"/>
  <c r="J124" i="16"/>
  <c r="P124" i="16" s="1"/>
  <c r="K124" i="16"/>
  <c r="X124" i="16" s="1"/>
  <c r="L124" i="16"/>
  <c r="J132" i="16"/>
  <c r="P132" i="16" s="1"/>
  <c r="K132" i="16"/>
  <c r="X132" i="16" s="1"/>
  <c r="L132" i="16"/>
  <c r="Q123" i="16"/>
  <c r="Y123" i="16" s="1"/>
  <c r="AG123" i="16" s="1"/>
  <c r="R123" i="16"/>
  <c r="Q125" i="16" l="1"/>
  <c r="R125" i="16"/>
  <c r="Q128" i="16"/>
  <c r="R128" i="16"/>
  <c r="Q130" i="16"/>
  <c r="R130" i="16"/>
  <c r="Q132" i="16"/>
  <c r="R132" i="16"/>
  <c r="Q126" i="16"/>
  <c r="R126" i="16"/>
  <c r="AA122" i="16"/>
  <c r="AH122" i="16"/>
  <c r="AI122" i="16" s="1"/>
  <c r="Q129" i="16"/>
  <c r="R129" i="16"/>
  <c r="Q124" i="16"/>
  <c r="Y124" i="16" s="1"/>
  <c r="AG124" i="16" s="1"/>
  <c r="R124" i="16"/>
  <c r="S123" i="16"/>
  <c r="Z123" i="16"/>
  <c r="Q127" i="16"/>
  <c r="R127" i="16"/>
  <c r="Q131" i="16"/>
  <c r="R131" i="16"/>
  <c r="H26" i="17" l="1" a="1"/>
  <c r="H26" i="17" s="1"/>
  <c r="Y132" i="16"/>
  <c r="S124" i="16"/>
  <c r="Z124" i="16"/>
  <c r="H70" i="17" a="1"/>
  <c r="H70" i="17" s="1"/>
  <c r="U12" i="17" s="1"/>
  <c r="U34" i="17" s="1"/>
  <c r="H584" i="17" s="1" a="1"/>
  <c r="H584" i="17" s="1"/>
  <c r="S132" i="16"/>
  <c r="H114" i="17" s="1" a="1"/>
  <c r="H114" i="17" s="1"/>
  <c r="Z132" i="16"/>
  <c r="S131" i="16"/>
  <c r="H113" i="17" s="1" a="1"/>
  <c r="H113" i="17" s="1"/>
  <c r="U22" i="17" s="1"/>
  <c r="H69" i="17" a="1"/>
  <c r="H69" i="17" s="1"/>
  <c r="U11" i="17" s="1"/>
  <c r="U33" i="17" s="1"/>
  <c r="H583" i="17" s="1" a="1"/>
  <c r="H583" i="17" s="1"/>
  <c r="Z131" i="16"/>
  <c r="H64" i="17" a="1"/>
  <c r="H64" i="17" s="1"/>
  <c r="H65" i="17" a="1"/>
  <c r="H65" i="17" s="1"/>
  <c r="S129" i="16"/>
  <c r="Z129" i="16"/>
  <c r="H63" i="17" a="1"/>
  <c r="H63" i="17" s="1"/>
  <c r="H62" i="17" a="1"/>
  <c r="H62" i="17" s="1"/>
  <c r="U9" i="17" s="1"/>
  <c r="U31" i="17" s="1"/>
  <c r="H581" i="17" s="1" a="1"/>
  <c r="H581" i="17" s="1"/>
  <c r="H66" i="17" a="1"/>
  <c r="H66" i="17" s="1"/>
  <c r="U10" i="17" s="1"/>
  <c r="U32" i="17" s="1"/>
  <c r="H582" i="17" s="1" a="1"/>
  <c r="H582" i="17" s="1"/>
  <c r="H67" i="17" a="1"/>
  <c r="H67" i="17" s="1"/>
  <c r="S130" i="16"/>
  <c r="H68" i="17" a="1"/>
  <c r="H68" i="17" s="1"/>
  <c r="Z130" i="16"/>
  <c r="H25" i="17" a="1"/>
  <c r="H25" i="17" s="1"/>
  <c r="Y131" i="16"/>
  <c r="H23" i="17" a="1"/>
  <c r="H23" i="17" s="1"/>
  <c r="H22" i="17" a="1"/>
  <c r="H22" i="17" s="1"/>
  <c r="H24" i="17" a="1"/>
  <c r="H24" i="17" s="1"/>
  <c r="Y130" i="16"/>
  <c r="H19" i="17" a="1"/>
  <c r="H19" i="17" s="1"/>
  <c r="H21" i="17" a="1"/>
  <c r="H21" i="17" s="1"/>
  <c r="H18" i="17" a="1"/>
  <c r="H18" i="17" s="1"/>
  <c r="H20" i="17" a="1"/>
  <c r="H20" i="17" s="1"/>
  <c r="Y129" i="16"/>
  <c r="H55" i="17" a="1"/>
  <c r="H55" i="17" s="1"/>
  <c r="H53" i="17" a="1"/>
  <c r="H53" i="17" s="1"/>
  <c r="H56" i="17" a="1"/>
  <c r="H56" i="17" s="1"/>
  <c r="H54" i="17" a="1"/>
  <c r="H54" i="17" s="1"/>
  <c r="S127" i="16"/>
  <c r="Z127" i="16"/>
  <c r="H59" i="17" a="1"/>
  <c r="H59" i="17" s="1"/>
  <c r="H58" i="17" a="1"/>
  <c r="H58" i="17" s="1"/>
  <c r="H61" i="17" a="1"/>
  <c r="H61" i="17" s="1"/>
  <c r="S128" i="16"/>
  <c r="H60" i="17" a="1"/>
  <c r="H60" i="17" s="1"/>
  <c r="H57" i="17" a="1"/>
  <c r="H57" i="17" s="1"/>
  <c r="Z128" i="16"/>
  <c r="H9" i="17" a="1"/>
  <c r="H9" i="17" s="1"/>
  <c r="H10" i="17" a="1"/>
  <c r="H10" i="17" s="1"/>
  <c r="H11" i="17" a="1"/>
  <c r="H11" i="17" s="1"/>
  <c r="H12" i="17" a="1"/>
  <c r="H12" i="17" s="1"/>
  <c r="Y127" i="16"/>
  <c r="H15" i="17" a="1"/>
  <c r="H15" i="17" s="1"/>
  <c r="H13" i="17" a="1"/>
  <c r="H13" i="17" s="1"/>
  <c r="H16" i="17" a="1"/>
  <c r="H16" i="17" s="1"/>
  <c r="H14" i="17" a="1"/>
  <c r="H14" i="17" s="1"/>
  <c r="H17" i="17" a="1"/>
  <c r="H17" i="17" s="1"/>
  <c r="Y128" i="16"/>
  <c r="AH123" i="16"/>
  <c r="AI123" i="16" s="1"/>
  <c r="AA123" i="16"/>
  <c r="H51" i="17" a="1"/>
  <c r="H51" i="17" s="1"/>
  <c r="H52" i="17" a="1"/>
  <c r="H52" i="17" s="1"/>
  <c r="H50" i="17" a="1"/>
  <c r="H50" i="17" s="1"/>
  <c r="U6" i="17" s="1"/>
  <c r="U28" i="17" s="1"/>
  <c r="H578" i="17" s="1" a="1"/>
  <c r="H578" i="17" s="1"/>
  <c r="S126" i="16"/>
  <c r="Z126" i="16"/>
  <c r="H49" i="17" a="1"/>
  <c r="H49" i="17" s="1"/>
  <c r="U5" i="17" s="1"/>
  <c r="U27" i="17" s="1"/>
  <c r="H577" i="17" s="1" a="1"/>
  <c r="H577" i="17" s="1"/>
  <c r="S125" i="16"/>
  <c r="H93" i="17" s="1" a="1"/>
  <c r="H93" i="17" s="1"/>
  <c r="U16" i="17" s="1"/>
  <c r="Z125" i="16"/>
  <c r="H8" i="17" a="1"/>
  <c r="H8" i="17" s="1"/>
  <c r="H6" i="17" a="1"/>
  <c r="H6" i="17" s="1"/>
  <c r="H7" i="17" a="1"/>
  <c r="H7" i="17" s="1"/>
  <c r="Y126" i="16"/>
  <c r="H5" i="17" a="1"/>
  <c r="H5" i="17" s="1"/>
  <c r="Y125" i="16"/>
  <c r="AA126" i="16" l="1"/>
  <c r="AH126" i="16"/>
  <c r="H184" i="17" a="1"/>
  <c r="H184" i="17" s="1"/>
  <c r="H183" i="17" a="1"/>
  <c r="H183" i="17" s="1"/>
  <c r="H182" i="17" a="1"/>
  <c r="H182" i="17" s="1"/>
  <c r="W6" i="17" s="1"/>
  <c r="W28" i="17" s="1"/>
  <c r="H594" i="17" s="1" a="1"/>
  <c r="H594" i="17" s="1"/>
  <c r="AG131" i="16"/>
  <c r="H289" i="17" s="1" a="1"/>
  <c r="H289" i="17" s="1"/>
  <c r="H157" i="17" a="1"/>
  <c r="H157" i="17" s="1"/>
  <c r="AA132" i="16"/>
  <c r="H246" i="17" s="1" a="1"/>
  <c r="H246" i="17" s="1"/>
  <c r="AH132" i="16"/>
  <c r="H202" i="17" a="1"/>
  <c r="H202" i="17" s="1"/>
  <c r="W12" i="17" s="1"/>
  <c r="W34" i="17" s="1"/>
  <c r="H600" i="17" s="1" a="1"/>
  <c r="H600" i="17" s="1"/>
  <c r="AG128" i="16"/>
  <c r="H148" i="17" a="1"/>
  <c r="H148" i="17" s="1"/>
  <c r="H145" i="17" a="1"/>
  <c r="H145" i="17" s="1"/>
  <c r="H146" i="17" a="1"/>
  <c r="H146" i="17" s="1"/>
  <c r="H149" i="17" a="1"/>
  <c r="H149" i="17" s="1"/>
  <c r="H147" i="17" a="1"/>
  <c r="H147" i="17" s="1"/>
  <c r="AG129" i="16"/>
  <c r="H150" i="17" a="1"/>
  <c r="H150" i="17" s="1"/>
  <c r="H151" i="17" a="1"/>
  <c r="H151" i="17" s="1"/>
  <c r="H152" i="17" a="1"/>
  <c r="H152" i="17" s="1"/>
  <c r="H153" i="17" a="1"/>
  <c r="H153" i="17" s="1"/>
  <c r="AG126" i="16"/>
  <c r="H139" i="17" a="1"/>
  <c r="H139" i="17" s="1"/>
  <c r="H138" i="17" a="1"/>
  <c r="H138" i="17" s="1"/>
  <c r="H140" i="17" a="1"/>
  <c r="H140" i="17" s="1"/>
  <c r="H96" i="17" a="1"/>
  <c r="H96" i="17" s="1"/>
  <c r="H94" i="17" a="1"/>
  <c r="H94" i="17" s="1"/>
  <c r="H95" i="17" a="1"/>
  <c r="H95" i="17" s="1"/>
  <c r="AA127" i="16"/>
  <c r="AH127" i="16"/>
  <c r="H187" i="17" a="1"/>
  <c r="H187" i="17" s="1"/>
  <c r="H186" i="17" a="1"/>
  <c r="H186" i="17" s="1"/>
  <c r="H188" i="17" a="1"/>
  <c r="H188" i="17" s="1"/>
  <c r="H185" i="17" a="1"/>
  <c r="H185" i="17" s="1"/>
  <c r="W7" i="17" s="1"/>
  <c r="W29" i="17" s="1"/>
  <c r="H595" i="17" s="1" a="1"/>
  <c r="H595" i="17" s="1"/>
  <c r="AA129" i="16"/>
  <c r="AH129" i="16"/>
  <c r="H194" i="17" a="1"/>
  <c r="H194" i="17" s="1"/>
  <c r="H196" i="17" a="1"/>
  <c r="H196" i="17" s="1"/>
  <c r="H195" i="17" a="1"/>
  <c r="H195" i="17" s="1"/>
  <c r="H197" i="17" a="1"/>
  <c r="H197" i="17" s="1"/>
  <c r="AG125" i="16"/>
  <c r="H269" i="17" s="1" a="1"/>
  <c r="H269" i="17" s="1"/>
  <c r="H137" i="17" a="1"/>
  <c r="H137" i="17" s="1"/>
  <c r="U7" i="17"/>
  <c r="U29" i="17" s="1"/>
  <c r="H579" i="17" s="1" a="1"/>
  <c r="H579" i="17" s="1"/>
  <c r="AA124" i="16"/>
  <c r="AH124" i="16"/>
  <c r="AI124" i="16" s="1"/>
  <c r="AA128" i="16"/>
  <c r="AH128" i="16"/>
  <c r="H193" i="17" a="1"/>
  <c r="H193" i="17" s="1"/>
  <c r="H192" i="17" a="1"/>
  <c r="H192" i="17" s="1"/>
  <c r="H189" i="17" a="1"/>
  <c r="H189" i="17" s="1"/>
  <c r="W8" i="17" s="1"/>
  <c r="W30" i="17" s="1"/>
  <c r="H596" i="17" s="1" a="1"/>
  <c r="H596" i="17" s="1"/>
  <c r="H190" i="17" a="1"/>
  <c r="H190" i="17" s="1"/>
  <c r="H191" i="17" a="1"/>
  <c r="H191" i="17" s="1"/>
  <c r="H100" i="17" a="1"/>
  <c r="H100" i="17" s="1"/>
  <c r="H97" i="17" a="1"/>
  <c r="H97" i="17" s="1"/>
  <c r="H99" i="17" a="1"/>
  <c r="H99" i="17" s="1"/>
  <c r="H98" i="17" a="1"/>
  <c r="H98" i="17" s="1"/>
  <c r="AH130" i="16"/>
  <c r="AA130" i="16"/>
  <c r="H199" i="17" a="1"/>
  <c r="H199" i="17" s="1"/>
  <c r="H200" i="17" a="1"/>
  <c r="H200" i="17" s="1"/>
  <c r="H198" i="17" a="1"/>
  <c r="H198" i="17" s="1"/>
  <c r="W10" i="17" s="1"/>
  <c r="W32" i="17" s="1"/>
  <c r="H598" i="17" s="1" a="1"/>
  <c r="H598" i="17" s="1"/>
  <c r="H108" i="17" a="1"/>
  <c r="H108" i="17" s="1"/>
  <c r="H106" i="17" a="1"/>
  <c r="H106" i="17" s="1"/>
  <c r="H109" i="17" a="1"/>
  <c r="H109" i="17" s="1"/>
  <c r="H107" i="17" a="1"/>
  <c r="H107" i="17" s="1"/>
  <c r="AG130" i="16"/>
  <c r="H156" i="17" a="1"/>
  <c r="H156" i="17" s="1"/>
  <c r="H154" i="17" a="1"/>
  <c r="H154" i="17" s="1"/>
  <c r="H155" i="17" a="1"/>
  <c r="H155" i="17" s="1"/>
  <c r="H110" i="17" a="1"/>
  <c r="H110" i="17" s="1"/>
  <c r="H112" i="17" a="1"/>
  <c r="H112" i="17" s="1"/>
  <c r="H111" i="17" a="1"/>
  <c r="H111" i="17" s="1"/>
  <c r="U8" i="17"/>
  <c r="U30" i="17" s="1"/>
  <c r="H580" i="17" s="1" a="1"/>
  <c r="H580" i="17" s="1"/>
  <c r="AH125" i="16"/>
  <c r="AA125" i="16"/>
  <c r="H225" i="17" s="1" a="1"/>
  <c r="H225" i="17" s="1"/>
  <c r="W16" i="17" s="1"/>
  <c r="H181" i="17" a="1"/>
  <c r="H181" i="17" s="1"/>
  <c r="W5" i="17" s="1"/>
  <c r="W27" i="17" s="1"/>
  <c r="H593" i="17" s="1" a="1"/>
  <c r="H593" i="17" s="1"/>
  <c r="AG127" i="16"/>
  <c r="H141" i="17" a="1"/>
  <c r="H141" i="17" s="1"/>
  <c r="H143" i="17" a="1"/>
  <c r="H143" i="17" s="1"/>
  <c r="H144" i="17" a="1"/>
  <c r="H144" i="17" s="1"/>
  <c r="H142" i="17" a="1"/>
  <c r="H142" i="17" s="1"/>
  <c r="H104" i="17" a="1"/>
  <c r="H104" i="17" s="1"/>
  <c r="H102" i="17" a="1"/>
  <c r="H102" i="17" s="1"/>
  <c r="H101" i="17" a="1"/>
  <c r="H101" i="17" s="1"/>
  <c r="H103" i="17" a="1"/>
  <c r="H103" i="17" s="1"/>
  <c r="H105" i="17" a="1"/>
  <c r="H105" i="17" s="1"/>
  <c r="AH131" i="16"/>
  <c r="AA131" i="16"/>
  <c r="H245" i="17" s="1" a="1"/>
  <c r="H245" i="17" s="1"/>
  <c r="W22" i="17" s="1"/>
  <c r="H201" i="17" a="1"/>
  <c r="H201" i="17" s="1"/>
  <c r="W11" i="17" s="1"/>
  <c r="W33" i="17" s="1"/>
  <c r="H599" i="17" s="1" a="1"/>
  <c r="H599" i="17" s="1"/>
  <c r="AG132" i="16"/>
  <c r="H290" i="17" s="1" a="1"/>
  <c r="H290" i="17" s="1"/>
  <c r="H158" i="17" a="1"/>
  <c r="H158" i="17" s="1"/>
  <c r="U20" i="17" l="1"/>
  <c r="W9" i="17"/>
  <c r="W31" i="17" s="1"/>
  <c r="H597" i="17" s="1" a="1"/>
  <c r="H597" i="17" s="1"/>
  <c r="AI125" i="16"/>
  <c r="H357" i="17" s="1" a="1"/>
  <c r="H357" i="17" s="1"/>
  <c r="Y16" i="17" s="1"/>
  <c r="H313" i="17" a="1"/>
  <c r="H313" i="17" s="1"/>
  <c r="Y5" i="17" s="1"/>
  <c r="H287" i="17" a="1"/>
  <c r="H287" i="17" s="1"/>
  <c r="H288" i="17" a="1"/>
  <c r="H288" i="17" s="1"/>
  <c r="H286" i="17" a="1"/>
  <c r="H286" i="17" s="1"/>
  <c r="H243" i="17" a="1"/>
  <c r="H243" i="17" s="1"/>
  <c r="H244" i="17" a="1"/>
  <c r="H244" i="17" s="1"/>
  <c r="H242" i="17" a="1"/>
  <c r="H242" i="17" s="1"/>
  <c r="W21" i="17" s="1"/>
  <c r="AI128" i="16"/>
  <c r="H324" i="17" a="1"/>
  <c r="H324" i="17" s="1"/>
  <c r="H323" i="17" a="1"/>
  <c r="H323" i="17" s="1"/>
  <c r="H322" i="17" a="1"/>
  <c r="H322" i="17" s="1"/>
  <c r="H325" i="17" a="1"/>
  <c r="H325" i="17" s="1"/>
  <c r="H321" i="17" a="1"/>
  <c r="H321" i="17" s="1"/>
  <c r="U21" i="17"/>
  <c r="U18" i="17"/>
  <c r="H234" i="17" a="1"/>
  <c r="H234" i="17" s="1"/>
  <c r="H235" i="17" a="1"/>
  <c r="H235" i="17" s="1"/>
  <c r="H236" i="17" a="1"/>
  <c r="H236" i="17" s="1"/>
  <c r="H233" i="17" a="1"/>
  <c r="H233" i="17" s="1"/>
  <c r="H237" i="17" a="1"/>
  <c r="H237" i="17" s="1"/>
  <c r="AI127" i="16"/>
  <c r="H320" i="17" a="1"/>
  <c r="H320" i="17" s="1"/>
  <c r="H317" i="17" a="1"/>
  <c r="H317" i="17" s="1"/>
  <c r="H318" i="17" a="1"/>
  <c r="H318" i="17" s="1"/>
  <c r="H319" i="17" a="1"/>
  <c r="H319" i="17" s="1"/>
  <c r="H270" i="17" a="1"/>
  <c r="H270" i="17" s="1"/>
  <c r="H272" i="17" a="1"/>
  <c r="H272" i="17" s="1"/>
  <c r="H271" i="17" a="1"/>
  <c r="H271" i="17" s="1"/>
  <c r="H232" i="17" a="1"/>
  <c r="H232" i="17" s="1"/>
  <c r="H229" i="17" a="1"/>
  <c r="H229" i="17" s="1"/>
  <c r="H230" i="17" a="1"/>
  <c r="H230" i="17" s="1"/>
  <c r="H231" i="17" a="1"/>
  <c r="H231" i="17" s="1"/>
  <c r="U19" i="17"/>
  <c r="AI129" i="16"/>
  <c r="H326" i="17" a="1"/>
  <c r="H326" i="17" s="1"/>
  <c r="H327" i="17" a="1"/>
  <c r="H327" i="17" s="1"/>
  <c r="H329" i="17" a="1"/>
  <c r="H329" i="17" s="1"/>
  <c r="H328" i="17" a="1"/>
  <c r="H328" i="17" s="1"/>
  <c r="AI131" i="16"/>
  <c r="H377" i="17" s="1" a="1"/>
  <c r="H377" i="17" s="1"/>
  <c r="Y22" i="17" s="1"/>
  <c r="H333" i="17" a="1"/>
  <c r="H333" i="17" s="1"/>
  <c r="Y11" i="17" s="1"/>
  <c r="Y33" i="17" s="1"/>
  <c r="H615" i="17" s="1" a="1"/>
  <c r="H615" i="17" s="1"/>
  <c r="H275" i="17" a="1"/>
  <c r="H275" i="17" s="1"/>
  <c r="H276" i="17" a="1"/>
  <c r="H276" i="17" s="1"/>
  <c r="H274" i="17" a="1"/>
  <c r="H274" i="17" s="1"/>
  <c r="H273" i="17" a="1"/>
  <c r="H273" i="17" s="1"/>
  <c r="H238" i="17" a="1"/>
  <c r="H238" i="17" s="1"/>
  <c r="H240" i="17" a="1"/>
  <c r="H240" i="17" s="1"/>
  <c r="H239" i="17" a="1"/>
  <c r="H239" i="17" s="1"/>
  <c r="H241" i="17" a="1"/>
  <c r="H241" i="17" s="1"/>
  <c r="U17" i="17"/>
  <c r="H280" i="17" a="1"/>
  <c r="H280" i="17" s="1"/>
  <c r="H278" i="17" a="1"/>
  <c r="H278" i="17" s="1"/>
  <c r="H279" i="17" a="1"/>
  <c r="H279" i="17" s="1"/>
  <c r="H277" i="17" a="1"/>
  <c r="H277" i="17" s="1"/>
  <c r="H281" i="17" a="1"/>
  <c r="H281" i="17" s="1"/>
  <c r="AI126" i="16"/>
  <c r="H315" i="17" a="1"/>
  <c r="H315" i="17" s="1"/>
  <c r="H316" i="17" a="1"/>
  <c r="H316" i="17" s="1"/>
  <c r="H314" i="17" a="1"/>
  <c r="H314" i="17" s="1"/>
  <c r="AI130" i="16"/>
  <c r="H332" i="17" a="1"/>
  <c r="H332" i="17" s="1"/>
  <c r="H331" i="17" a="1"/>
  <c r="H331" i="17" s="1"/>
  <c r="H330" i="17" a="1"/>
  <c r="H330" i="17" s="1"/>
  <c r="Y10" i="17" s="1"/>
  <c r="Y32" i="17" s="1"/>
  <c r="H614" i="17" s="1" a="1"/>
  <c r="H614" i="17" s="1"/>
  <c r="H282" i="17" a="1"/>
  <c r="H282" i="17" s="1"/>
  <c r="H283" i="17" a="1"/>
  <c r="H283" i="17" s="1"/>
  <c r="H285" i="17" a="1"/>
  <c r="H285" i="17" s="1"/>
  <c r="H284" i="17" a="1"/>
  <c r="H284" i="17" s="1"/>
  <c r="AI132" i="16"/>
  <c r="H378" i="17" s="1" a="1"/>
  <c r="H378" i="17" s="1"/>
  <c r="H334" i="17" a="1"/>
  <c r="H334" i="17" s="1"/>
  <c r="Y12" i="17" s="1"/>
  <c r="Y34" i="17" s="1"/>
  <c r="H616" i="17" s="1" a="1"/>
  <c r="H616" i="17" s="1"/>
  <c r="H228" i="17" a="1"/>
  <c r="H228" i="17" s="1"/>
  <c r="H226" i="17" a="1"/>
  <c r="H226" i="17" s="1"/>
  <c r="H227" i="17" a="1"/>
  <c r="H227" i="17" s="1"/>
  <c r="Y7" i="17" l="1"/>
  <c r="Y29" i="17" s="1"/>
  <c r="H611" i="17" s="1" a="1"/>
  <c r="H611" i="17" s="1"/>
  <c r="Y9" i="17"/>
  <c r="Y31" i="17" s="1"/>
  <c r="H613" i="17" s="1" a="1"/>
  <c r="H613" i="17" s="1"/>
  <c r="W18" i="17"/>
  <c r="W20" i="17"/>
  <c r="Y8" i="17"/>
  <c r="Y30" i="17" s="1"/>
  <c r="H612" i="17" s="1" a="1"/>
  <c r="H612" i="17" s="1"/>
  <c r="H361" i="17" a="1"/>
  <c r="H361" i="17" s="1"/>
  <c r="H362" i="17" a="1"/>
  <c r="H362" i="17" s="1"/>
  <c r="H363" i="17" a="1"/>
  <c r="H363" i="17" s="1"/>
  <c r="H364" i="17" a="1"/>
  <c r="H364" i="17" s="1"/>
  <c r="W19" i="17"/>
  <c r="H358" i="17" a="1"/>
  <c r="H358" i="17" s="1"/>
  <c r="H359" i="17" a="1"/>
  <c r="H359" i="17" s="1"/>
  <c r="H360" i="17" a="1"/>
  <c r="H360" i="17" s="1"/>
  <c r="W17" i="17"/>
  <c r="H375" i="17" a="1"/>
  <c r="H375" i="17" s="1"/>
  <c r="H374" i="17" a="1"/>
  <c r="H374" i="17" s="1"/>
  <c r="H376" i="17" a="1"/>
  <c r="H376" i="17" s="1"/>
  <c r="Y6" i="17"/>
  <c r="Y28" i="17" s="1"/>
  <c r="H610" i="17" s="1" a="1"/>
  <c r="H610" i="17" s="1"/>
  <c r="H371" i="17" a="1"/>
  <c r="H371" i="17" s="1"/>
  <c r="H372" i="17" a="1"/>
  <c r="H372" i="17" s="1"/>
  <c r="H373" i="17" a="1"/>
  <c r="H373" i="17" s="1"/>
  <c r="H370" i="17" a="1"/>
  <c r="H370" i="17" s="1"/>
  <c r="Y20" i="17" s="1"/>
  <c r="Y27" i="17"/>
  <c r="H609" i="17" s="1" a="1"/>
  <c r="H609" i="17" s="1"/>
  <c r="H368" i="17" a="1"/>
  <c r="H368" i="17" s="1"/>
  <c r="H365" i="17" a="1"/>
  <c r="H365" i="17" s="1"/>
  <c r="H369" i="17" a="1"/>
  <c r="H369" i="17" s="1"/>
  <c r="H366" i="17" a="1"/>
  <c r="H366" i="17" s="1"/>
  <c r="H367" i="17" a="1"/>
  <c r="H367" i="17" s="1"/>
  <c r="Y18" i="17" l="1"/>
  <c r="Y19" i="17"/>
  <c r="Y17" i="17"/>
  <c r="Y21" i="17"/>
  <c r="Y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<sst xmlns="http://schemas.openxmlformats.org/spreadsheetml/2006/main" count="58545" uniqueCount="147">
  <si>
    <t>Percentile</t>
  </si>
  <si>
    <t>Cal-20</t>
  </si>
  <si>
    <t>Cal-21</t>
  </si>
  <si>
    <t>Cal-22</t>
  </si>
  <si>
    <t>Cal-23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</si>
  <si>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</si>
  <si>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</si>
  <si>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</si>
  <si>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</si>
  <si>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</si>
  <si>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</si>
  <si>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</si>
  <si>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</si>
  <si>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</si>
  <si>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Cal-33</t>
  </si>
  <si>
    <t>Cal-34</t>
  </si>
  <si>
    <t>Cal-35</t>
  </si>
  <si>
    <t>Cal-36</t>
  </si>
  <si>
    <t>Cal-37</t>
  </si>
  <si>
    <t>Average</t>
  </si>
  <si>
    <t>Period</t>
  </si>
  <si>
    <t>Variable</t>
  </si>
  <si>
    <t>Value</t>
  </si>
  <si>
    <t>Spot Price</t>
  </si>
  <si>
    <t>avg</t>
  </si>
  <si>
    <t>Golden Plains Generation (MWh)</t>
  </si>
  <si>
    <t>Golden Plains Revenue</t>
  </si>
  <si>
    <t>Golden Plains Average Price</t>
  </si>
  <si>
    <t>Golden Plains Price Discount</t>
  </si>
  <si>
    <t>Avg</t>
  </si>
  <si>
    <t>Adjustment</t>
  </si>
  <si>
    <t>MWh</t>
  </si>
  <si>
    <t>Tech</t>
  </si>
  <si>
    <t>Year</t>
  </si>
  <si>
    <t>Wartsila dual fuel</t>
  </si>
  <si>
    <t>Dispatched Energy</t>
  </si>
  <si>
    <t>Pool Revenue</t>
  </si>
  <si>
    <t>Cost</t>
  </si>
  <si>
    <t>Contribution Margin</t>
  </si>
  <si>
    <t>Average Cost</t>
  </si>
  <si>
    <t>Average Cont Margin Rate</t>
  </si>
  <si>
    <t>Average Price</t>
  </si>
  <si>
    <t>5Min Adj Contribution Margin</t>
  </si>
  <si>
    <t>5Min Adj Contr Margin Rate</t>
  </si>
  <si>
    <t>2 Hour Battery</t>
  </si>
  <si>
    <t>Charged Energy</t>
  </si>
  <si>
    <t>Cycles</t>
  </si>
  <si>
    <t>Total</t>
  </si>
  <si>
    <t>Mean Absolute Percentage Error (half-hourly)</t>
  </si>
  <si>
    <t>QLD</t>
  </si>
  <si>
    <t>NSW</t>
  </si>
  <si>
    <t>VIC</t>
  </si>
  <si>
    <t>SA</t>
  </si>
  <si>
    <t>TAS</t>
  </si>
  <si>
    <t>PreDispatch versus Actual</t>
  </si>
  <si>
    <t>2017 to 2019</t>
  </si>
  <si>
    <t>Revenue Loss</t>
  </si>
  <si>
    <t>Predispatch</t>
  </si>
  <si>
    <t>Scenario</t>
  </si>
  <si>
    <t>Firming Technology</t>
  </si>
  <si>
    <t>Technology</t>
  </si>
  <si>
    <t>PPA CFD</t>
  </si>
  <si>
    <t>MW Sold CFD</t>
  </si>
  <si>
    <t>Non-Firming Contribution Margin</t>
  </si>
  <si>
    <t>Wind</t>
  </si>
  <si>
    <t>Column</t>
  </si>
  <si>
    <t>Row</t>
  </si>
  <si>
    <t>Fwd LGCs</t>
  </si>
  <si>
    <t>LGC Revenue</t>
  </si>
  <si>
    <t>RANDBETWEEN(MIN($E17:$O17),MAX($E17:$O17))</t>
  </si>
  <si>
    <t>LGC</t>
  </si>
  <si>
    <t>Correlated LGC Price</t>
  </si>
  <si>
    <t>Bundled Price</t>
  </si>
  <si>
    <t>cfd</t>
  </si>
  <si>
    <t>Strike Price</t>
  </si>
  <si>
    <t>Bundled Price ($/MWh)</t>
  </si>
  <si>
    <t>Energy (MWh)</t>
  </si>
  <si>
    <t>Swap Gain ($/MWh)</t>
  </si>
  <si>
    <t>Sold MWh</t>
  </si>
  <si>
    <t>MarinusPortland</t>
  </si>
  <si>
    <t>Static Data - Calculations ($)</t>
  </si>
  <si>
    <t>Static Data - Calculations ($/MWh)</t>
  </si>
  <si>
    <t>WACC</t>
  </si>
  <si>
    <t>Capital Expenditure</t>
  </si>
  <si>
    <t>Operating Costs</t>
  </si>
  <si>
    <t>Corporate Costs</t>
  </si>
  <si>
    <t>Residual Value and Cummulative Depreciation</t>
  </si>
  <si>
    <t>Discount Rate</t>
  </si>
  <si>
    <t>Rate</t>
  </si>
  <si>
    <t>Wartsilla Dual Fuel</t>
  </si>
  <si>
    <t>Escalator</t>
  </si>
  <si>
    <t>Residual</t>
  </si>
  <si>
    <t>Life (years)</t>
  </si>
  <si>
    <t>Fixed O&amp;M (Annual)</t>
  </si>
  <si>
    <t>Fixed O&amp;M (Cumulative)</t>
  </si>
  <si>
    <t>Terminal Value (Discounted)</t>
  </si>
  <si>
    <t>Hours*</t>
  </si>
  <si>
    <t>Cumulative Hours*</t>
  </si>
  <si>
    <t>Capacity MW*</t>
  </si>
  <si>
    <t>PPA Energy*</t>
  </si>
  <si>
    <t>PPA Energy (Cumulative)</t>
  </si>
  <si>
    <t>PPA Capacity MW*</t>
  </si>
  <si>
    <t>MW Sold Quantity*</t>
  </si>
  <si>
    <t>Discount Factor</t>
  </si>
  <si>
    <t>CapEx</t>
  </si>
  <si>
    <t>Plant O&amp;M</t>
  </si>
  <si>
    <t>Refurbishment Costs</t>
  </si>
  <si>
    <t>Fixed O&amp;M</t>
  </si>
  <si>
    <t>Fin Year (YE 30 Jun)</t>
  </si>
  <si>
    <t>SetUp</t>
  </si>
  <si>
    <t>Asset</t>
  </si>
  <si>
    <t>Cumulative</t>
  </si>
  <si>
    <t>Annual</t>
  </si>
  <si>
    <t>Correlated MW Sold CFD</t>
  </si>
  <si>
    <t>Merchant Contribution Margin</t>
  </si>
  <si>
    <t>Merchant plus PPA Contribution Margin</t>
  </si>
  <si>
    <t>Merchant plus PPA plus Sold Swap Contribution Margin</t>
  </si>
  <si>
    <t>Terminal Value</t>
  </si>
  <si>
    <t>Merchant EBIT</t>
  </si>
  <si>
    <t>Merchant EBIT Discounted</t>
  </si>
  <si>
    <t>Merchant NPV</t>
  </si>
  <si>
    <t>Merchant IRR</t>
  </si>
  <si>
    <t>Merchant with PPA EBIT</t>
  </si>
  <si>
    <t>Merchant with PPA EBIT Discounted</t>
  </si>
  <si>
    <t>Merchant with PPA NPV</t>
  </si>
  <si>
    <t>Merchant with PPA and Sold Swap EBIT</t>
  </si>
  <si>
    <t>Merchant with PPA and Sold Swap EBIT Discounted</t>
  </si>
  <si>
    <t>Merchant with PPA and Sold Swap NPV</t>
  </si>
  <si>
    <t>PPA CFD (Annual)</t>
  </si>
  <si>
    <t>Correlated MW Sold CFD (Annual)</t>
  </si>
  <si>
    <t>Non-Firming Contribution Margin (Annual)</t>
  </si>
  <si>
    <t>cfd Discount Rate</t>
  </si>
  <si>
    <t>PPA EBIT</t>
  </si>
  <si>
    <t>PPA EBIT Discounted</t>
  </si>
  <si>
    <t>PPA NPV</t>
  </si>
  <si>
    <t>PPA ROI</t>
  </si>
  <si>
    <t>Merchant with PPA ROI</t>
  </si>
  <si>
    <t>Sold Swap EBIT</t>
  </si>
  <si>
    <t>Sold Swap Discounted</t>
  </si>
  <si>
    <t>Sold Swap NPV</t>
  </si>
  <si>
    <t>Sold Swap ROI</t>
  </si>
  <si>
    <t>Merchant with PPA and Sold Swap ROI</t>
  </si>
  <si>
    <t>Merchant ROI</t>
  </si>
  <si>
    <t>Average per MWh</t>
  </si>
  <si>
    <t>Sold Swap EBIT adjustment</t>
  </si>
  <si>
    <t>Wartsila dual fuel adjustment</t>
  </si>
  <si>
    <t>2 Hour Battery adjustment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</si>
</sst>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0.0%"/>
    <numFmt numFmtId="166" formatCode="_-* #,##0_-;\-* #,##0_-;_-* &quot;-&quot;??_-;_-@_-"/>
    <numFmt numFmtId="167" formatCode="&quot;$&quot;#,##0"/>
    <numFmt numFmtId="168" formatCode="_-* #,##0.0_-;\-* #,##0.0_-;_-* &quot;-&quot;??_-;_-@_-"/>
    <numFmt numFmtId="169" formatCode="_-* #,##0.0000000_-;\-* #,##0.0000000_-;_-* &quot;-&quot;??_-;_-@_-"/>
    <numFmt numFmtId="170" formatCode="_-* #,##0.000_-;\-* #,##0.000_-;_-* &quot;-&quot;??_-;_-@_-"/>
    <numFmt numFmtId="171" formatCode="#,##0\ &quot;MW&quot;"/>
    <numFmt numFmtId="172" formatCode="_-&quot;$&quot;* #,##0_-;\-&quot;$&quot;* #,##0_-;_-&quot;$&quot;* &quot;-&quot;??_-;_-@_-"/>
    <numFmt numFmtId="173" formatCode="#,##0\ &quot; MWh&quot;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4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5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5" tint="-0.249977111117893"/>
      <name val="Calibri"/>
      <family val="2"/>
    </font>
    <font>
      <b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48979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E8E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/>
      </right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/>
    <xf numFmtId="9" fontId="0" fillId="3" borderId="0" xfId="0" applyNumberFormat="1" applyFill="1"/>
    <xf numFmtId="164" fontId="0" fillId="3" borderId="0" xfId="0" applyNumberFormat="1" applyFill="1"/>
    <xf numFmtId="9" fontId="5" fillId="4" borderId="0" xfId="0" applyNumberFormat="1" applyFont="1" applyFill="1"/>
    <xf numFmtId="164" fontId="5" fillId="4" borderId="0" xfId="0" applyNumberFormat="1" applyFont="1" applyFill="1"/>
    <xf numFmtId="0" fontId="0" fillId="3" borderId="0" xfId="0" applyFill="1"/>
    <xf numFmtId="43" fontId="0" fillId="0" borderId="0" xfId="1" applyFont="1"/>
    <xf numFmtId="0" fontId="4" fillId="2" borderId="2" xfId="0" applyFont="1" applyFill="1" applyBorder="1" applyAlignment="1">
      <alignment horizontal="center" vertical="center" wrapText="1"/>
    </xf>
    <xf numFmtId="9" fontId="0" fillId="0" borderId="0" xfId="2" applyFont="1"/>
    <xf numFmtId="165" fontId="0" fillId="0" borderId="0" xfId="2" applyNumberFormat="1" applyFont="1"/>
    <xf numFmtId="10" fontId="0" fillId="0" borderId="0" xfId="2" applyNumberFormat="1" applyFont="1"/>
    <xf numFmtId="166" fontId="0" fillId="0" borderId="0" xfId="1" applyNumberFormat="1" applyFont="1"/>
    <xf numFmtId="164" fontId="0" fillId="0" borderId="0" xfId="2" applyNumberFormat="1" applyFont="1"/>
    <xf numFmtId="167" fontId="0" fillId="0" borderId="0" xfId="2" applyNumberFormat="1" applyFont="1"/>
    <xf numFmtId="164" fontId="6" fillId="0" borderId="0" xfId="0" applyNumberFormat="1" applyFont="1"/>
    <xf numFmtId="167" fontId="6" fillId="0" borderId="0" xfId="2" applyNumberFormat="1" applyFont="1"/>
    <xf numFmtId="167" fontId="0" fillId="0" borderId="0" xfId="0" applyNumberFormat="1"/>
    <xf numFmtId="167" fontId="6" fillId="0" borderId="0" xfId="0" applyNumberFormat="1" applyFont="1"/>
    <xf numFmtId="0" fontId="2" fillId="5" borderId="3" xfId="0" applyFont="1" applyFill="1" applyBorder="1"/>
    <xf numFmtId="0" fontId="2" fillId="5" borderId="4" xfId="0" applyFont="1" applyFill="1" applyBorder="1"/>
    <xf numFmtId="166" fontId="2" fillId="5" borderId="4" xfId="1" applyNumberFormat="1" applyFont="1" applyFill="1" applyBorder="1"/>
    <xf numFmtId="0" fontId="0" fillId="6" borderId="3" xfId="0" applyFill="1" applyBorder="1" applyAlignment="1">
      <alignment horizontal="left"/>
    </xf>
    <xf numFmtId="0" fontId="0" fillId="6" borderId="4" xfId="0" applyFill="1" applyBorder="1"/>
    <xf numFmtId="0" fontId="0" fillId="0" borderId="3" xfId="0" applyBorder="1" applyAlignment="1">
      <alignment horizontal="left"/>
    </xf>
    <xf numFmtId="0" fontId="0" fillId="0" borderId="4" xfId="0" applyBorder="1"/>
    <xf numFmtId="166" fontId="4" fillId="2" borderId="1" xfId="1" applyNumberFormat="1" applyFont="1" applyFill="1" applyBorder="1" applyAlignment="1">
      <alignment horizontal="center" vertical="center" wrapText="1"/>
    </xf>
    <xf numFmtId="166" fontId="0" fillId="6" borderId="4" xfId="1" applyNumberFormat="1" applyFont="1" applyFill="1" applyBorder="1"/>
    <xf numFmtId="166" fontId="0" fillId="0" borderId="4" xfId="1" applyNumberFormat="1" applyFont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6" borderId="3" xfId="0" applyFill="1" applyBorder="1"/>
    <xf numFmtId="0" fontId="0" fillId="0" borderId="3" xfId="0" applyBorder="1"/>
    <xf numFmtId="166" fontId="6" fillId="0" borderId="0" xfId="1" applyNumberFormat="1" applyFont="1"/>
    <xf numFmtId="166" fontId="0" fillId="0" borderId="0" xfId="0" applyNumberFormat="1"/>
    <xf numFmtId="0" fontId="4" fillId="2" borderId="5" xfId="0" applyFont="1" applyFill="1" applyBorder="1" applyAlignment="1">
      <alignment horizontal="center" vertical="center" wrapText="1"/>
    </xf>
    <xf numFmtId="167" fontId="0" fillId="4" borderId="0" xfId="2" applyNumberFormat="1" applyFont="1" applyFill="1"/>
    <xf numFmtId="167" fontId="6" fillId="4" borderId="0" xfId="2" applyNumberFormat="1" applyFont="1" applyFill="1"/>
    <xf numFmtId="10" fontId="0" fillId="4" borderId="0" xfId="2" applyNumberFormat="1" applyFont="1" applyFill="1"/>
    <xf numFmtId="166" fontId="0" fillId="4" borderId="0" xfId="1" applyNumberFormat="1" applyFont="1" applyFill="1"/>
    <xf numFmtId="167" fontId="0" fillId="4" borderId="0" xfId="0" applyNumberFormat="1" applyFill="1"/>
    <xf numFmtId="167" fontId="6" fillId="4" borderId="0" xfId="0" applyNumberFormat="1" applyFont="1" applyFill="1"/>
    <xf numFmtId="166" fontId="6" fillId="4" borderId="0" xfId="1" applyNumberFormat="1" applyFont="1" applyFill="1"/>
    <xf numFmtId="10" fontId="0" fillId="3" borderId="0" xfId="2" applyNumberFormat="1" applyFont="1" applyFill="1"/>
    <xf numFmtId="166" fontId="0" fillId="3" borderId="0" xfId="1" applyNumberFormat="1" applyFont="1" applyFill="1"/>
    <xf numFmtId="167" fontId="0" fillId="3" borderId="0" xfId="2" applyNumberFormat="1" applyFont="1" applyFill="1"/>
    <xf numFmtId="167" fontId="6" fillId="3" borderId="0" xfId="2" applyNumberFormat="1" applyFont="1" applyFill="1"/>
    <xf numFmtId="166" fontId="6" fillId="3" borderId="0" xfId="1" applyNumberFormat="1" applyFont="1" applyFill="1"/>
    <xf numFmtId="167" fontId="0" fillId="3" borderId="0" xfId="0" applyNumberFormat="1" applyFill="1"/>
    <xf numFmtId="167" fontId="6" fillId="3" borderId="0" xfId="0" applyNumberFormat="1" applyFont="1" applyFill="1"/>
    <xf numFmtId="165" fontId="0" fillId="0" borderId="0" xfId="0" applyNumberFormat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67" fontId="0" fillId="0" borderId="0" xfId="1" applyNumberFormat="1" applyFont="1"/>
    <xf numFmtId="164" fontId="0" fillId="3" borderId="0" xfId="1" applyNumberFormat="1" applyFont="1" applyFill="1"/>
    <xf numFmtId="164" fontId="0" fillId="4" borderId="0" xfId="1" applyNumberFormat="1" applyFont="1" applyFill="1"/>
    <xf numFmtId="167" fontId="0" fillId="3" borderId="0" xfId="1" applyNumberFormat="1" applyFont="1" applyFill="1"/>
    <xf numFmtId="167" fontId="0" fillId="4" borderId="0" xfId="1" applyNumberFormat="1" applyFont="1" applyFill="1"/>
    <xf numFmtId="164" fontId="6" fillId="0" borderId="0" xfId="2" applyNumberFormat="1" applyFont="1"/>
    <xf numFmtId="164" fontId="0" fillId="3" borderId="0" xfId="2" applyNumberFormat="1" applyFont="1" applyFill="1"/>
    <xf numFmtId="164" fontId="6" fillId="3" borderId="0" xfId="2" applyNumberFormat="1" applyFont="1" applyFill="1"/>
    <xf numFmtId="164" fontId="0" fillId="4" borderId="0" xfId="2" applyNumberFormat="1" applyFont="1" applyFill="1"/>
    <xf numFmtId="164" fontId="6" fillId="4" borderId="0" xfId="2" applyNumberFormat="1" applyFont="1" applyFill="1"/>
    <xf numFmtId="164" fontId="6" fillId="3" borderId="0" xfId="0" applyNumberFormat="1" applyFont="1" applyFill="1"/>
    <xf numFmtId="164" fontId="0" fillId="4" borderId="0" xfId="0" applyNumberFormat="1" applyFill="1"/>
    <xf numFmtId="164" fontId="6" fillId="4" borderId="0" xfId="0" applyNumberFormat="1" applyFont="1" applyFill="1"/>
    <xf numFmtId="6" fontId="0" fillId="0" borderId="0" xfId="0" applyNumberFormat="1"/>
    <xf numFmtId="6" fontId="0" fillId="3" borderId="0" xfId="0" applyNumberFormat="1" applyFill="1"/>
    <xf numFmtId="6" fontId="0" fillId="4" borderId="0" xfId="0" applyNumberFormat="1" applyFill="1"/>
    <xf numFmtId="164" fontId="3" fillId="3" borderId="0" xfId="2" applyNumberFormat="1" applyFont="1" applyFill="1"/>
    <xf numFmtId="15" fontId="0" fillId="0" borderId="0" xfId="0" applyNumberFormat="1"/>
    <xf numFmtId="8" fontId="0" fillId="3" borderId="0" xfId="0" applyNumberFormat="1" applyFill="1"/>
    <xf numFmtId="8" fontId="0" fillId="4" borderId="0" xfId="0" applyNumberFormat="1" applyFill="1"/>
    <xf numFmtId="8" fontId="0" fillId="0" borderId="0" xfId="2" applyNumberFormat="1" applyFont="1"/>
    <xf numFmtId="8" fontId="0" fillId="3" borderId="0" xfId="2" applyNumberFormat="1" applyFont="1" applyFill="1"/>
    <xf numFmtId="0" fontId="4" fillId="9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0" fontId="5" fillId="0" borderId="0" xfId="0" applyFont="1"/>
    <xf numFmtId="10" fontId="0" fillId="0" borderId="0" xfId="0" applyNumberFormat="1"/>
    <xf numFmtId="0" fontId="0" fillId="0" borderId="0" xfId="0" applyAlignment="1">
      <alignment vertical="center" wrapText="1"/>
    </xf>
    <xf numFmtId="167" fontId="0" fillId="0" borderId="0" xfId="0" applyNumberFormat="1" applyAlignment="1">
      <alignment vertical="center" wrapText="1"/>
    </xf>
    <xf numFmtId="168" fontId="0" fillId="0" borderId="0" xfId="1" applyNumberFormat="1" applyFont="1"/>
    <xf numFmtId="0" fontId="2" fillId="2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5" xfId="0" applyFont="1" applyFill="1" applyBorder="1" applyAlignment="1">
      <alignment horizontal="center" vertical="center" wrapText="1"/>
    </xf>
    <xf numFmtId="167" fontId="5" fillId="0" borderId="0" xfId="0" applyNumberFormat="1" applyFont="1"/>
    <xf numFmtId="169" fontId="0" fillId="0" borderId="0" xfId="1" applyNumberFormat="1" applyFont="1" applyAlignment="1">
      <alignment vertical="center" wrapText="1"/>
    </xf>
    <xf numFmtId="1" fontId="11" fillId="0" borderId="0" xfId="0" applyNumberFormat="1" applyFont="1"/>
    <xf numFmtId="0" fontId="11" fillId="0" borderId="0" xfId="0" applyFont="1"/>
    <xf numFmtId="170" fontId="0" fillId="0" borderId="0" xfId="1" applyNumberFormat="1" applyFont="1"/>
    <xf numFmtId="0" fontId="2" fillId="7" borderId="8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 wrapText="1"/>
    </xf>
    <xf numFmtId="0" fontId="2" fillId="12" borderId="2" xfId="0" applyFont="1" applyFill="1" applyBorder="1" applyAlignment="1">
      <alignment horizontal="center" wrapText="1"/>
    </xf>
    <xf numFmtId="0" fontId="2" fillId="9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5" fillId="0" borderId="0" xfId="0" applyFont="1" applyAlignment="1">
      <alignment horizontal="left"/>
    </xf>
    <xf numFmtId="171" fontId="12" fillId="0" borderId="0" xfId="0" applyNumberFormat="1" applyFont="1"/>
    <xf numFmtId="165" fontId="13" fillId="0" borderId="0" xfId="0" applyNumberFormat="1" applyFont="1"/>
    <xf numFmtId="166" fontId="12" fillId="0" borderId="0" xfId="1" applyNumberFormat="1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4" fillId="0" borderId="0" xfId="0" applyFont="1"/>
    <xf numFmtId="167" fontId="12" fillId="0" borderId="0" xfId="0" applyNumberFormat="1" applyFont="1"/>
    <xf numFmtId="0" fontId="15" fillId="13" borderId="2" xfId="0" applyFont="1" applyFill="1" applyBorder="1" applyAlignment="1">
      <alignment horizontal="center" wrapText="1"/>
    </xf>
    <xf numFmtId="0" fontId="2" fillId="14" borderId="2" xfId="0" applyFont="1" applyFill="1" applyBorder="1" applyAlignment="1">
      <alignment horizontal="center" wrapText="1"/>
    </xf>
    <xf numFmtId="6" fontId="0" fillId="0" borderId="0" xfId="2" applyNumberFormat="1" applyFont="1"/>
    <xf numFmtId="0" fontId="2" fillId="7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44" fontId="0" fillId="0" borderId="0" xfId="3" applyFont="1"/>
    <xf numFmtId="0" fontId="0" fillId="0" borderId="0" xfId="0" applyAlignment="1">
      <alignment wrapText="1"/>
    </xf>
    <xf numFmtId="172" fontId="0" fillId="0" borderId="0" xfId="3" applyNumberFormat="1" applyFont="1"/>
    <xf numFmtId="43" fontId="0" fillId="0" borderId="0" xfId="0" applyNumberFormat="1"/>
    <xf numFmtId="173" fontId="12" fillId="0" borderId="0" xfId="1" applyNumberFormat="1" applyFont="1"/>
    <xf numFmtId="0" fontId="0" fillId="0" borderId="0" xfId="0" applyAlignment="1">
      <alignment horizontal="center"/>
    </xf>
    <xf numFmtId="9" fontId="6" fillId="0" borderId="0" xfId="2" applyFont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D0E8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hard%20Spot%20Runs%20Part%202%20(23%20Mar-20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SavvyPlus/Consulting/Procurement%20Australia/PA%20Tenders/1907%20PPA%20Tender/2002%20BAU%20Analysis/LGC%20Forecast%20(19%20Feb-2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GC%20Lochard%20-%20BaseC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Empower%20Analytics/Projects/Goanna/2002%20Observational%20Findings%20Report/Spot%20vs%20Predispatch%20(2014%20onward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Case"/>
      <sheetName val="YallornSnowy"/>
      <sheetName val="YallournPortlandSnowy"/>
      <sheetName val="Marinus"/>
      <sheetName val="MarinusPortland"/>
      <sheetName val="MarinusSnowy"/>
      <sheetName val="SpotParameters"/>
      <sheetName val="SpotSensitivity"/>
      <sheetName val="Combo"/>
      <sheetName val="LGC"/>
    </sheetNames>
    <sheetDataSet>
      <sheetData sheetId="0"/>
      <sheetData sheetId="1">
        <row r="4">
          <cell r="I4">
            <v>101.20804817049437</v>
          </cell>
        </row>
      </sheetData>
      <sheetData sheetId="2">
        <row r="4">
          <cell r="I4">
            <v>101.20804817049437</v>
          </cell>
        </row>
      </sheetData>
      <sheetData sheetId="3">
        <row r="4">
          <cell r="I4">
            <v>101.20804817049437</v>
          </cell>
        </row>
      </sheetData>
      <sheetData sheetId="4">
        <row r="4">
          <cell r="I4">
            <v>101.20804817049437</v>
          </cell>
          <cell r="J4">
            <v>83.023484925253172</v>
          </cell>
          <cell r="K4">
            <v>85.672877689445514</v>
          </cell>
          <cell r="L4">
            <v>99.122267976473708</v>
          </cell>
          <cell r="M4">
            <v>93.709507245943925</v>
          </cell>
          <cell r="N4">
            <v>89.850753254257668</v>
          </cell>
          <cell r="O4">
            <v>108.91118802537542</v>
          </cell>
          <cell r="P4">
            <v>111.45704701313319</v>
          </cell>
          <cell r="Q4">
            <v>104.62712676020108</v>
          </cell>
          <cell r="R4">
            <v>115.43325489528229</v>
          </cell>
          <cell r="S4">
            <v>118.41381961663059</v>
          </cell>
          <cell r="T4">
            <v>140.75114698660815</v>
          </cell>
          <cell r="U4">
            <v>134.56972601220241</v>
          </cell>
          <cell r="V4">
            <v>140.83117242884728</v>
          </cell>
          <cell r="W4">
            <v>155.18627400737282</v>
          </cell>
          <cell r="X4">
            <v>154.42931908167955</v>
          </cell>
          <cell r="Y4">
            <v>160.20178610975657</v>
          </cell>
          <cell r="Z4">
            <v>158.35815626412509</v>
          </cell>
          <cell r="BB4">
            <v>24.064397308113612</v>
          </cell>
          <cell r="BC4">
            <v>32.704266127817448</v>
          </cell>
          <cell r="BD4">
            <v>38.787353680617159</v>
          </cell>
          <cell r="BE4">
            <v>32.926521453737124</v>
          </cell>
          <cell r="BF4">
            <v>41.491768627350922</v>
          </cell>
          <cell r="BG4">
            <v>47.912760475850995</v>
          </cell>
          <cell r="BH4">
            <v>32.777018041209949</v>
          </cell>
          <cell r="BI4">
            <v>39.839802411795283</v>
          </cell>
          <cell r="BJ4">
            <v>37.826628279275468</v>
          </cell>
          <cell r="BK4">
            <v>52.343848773653008</v>
          </cell>
          <cell r="BL4">
            <v>48.583685263977614</v>
          </cell>
          <cell r="BM4">
            <v>52.593842517655332</v>
          </cell>
          <cell r="BN4">
            <v>62.106577965510155</v>
          </cell>
          <cell r="BO4">
            <v>75.805998402914256</v>
          </cell>
          <cell r="BP4">
            <v>70.822320018296693</v>
          </cell>
          <cell r="BQ4">
            <v>89.017793261814859</v>
          </cell>
        </row>
        <row r="5">
          <cell r="I5">
            <v>81.430062874837049</v>
          </cell>
          <cell r="J5">
            <v>68.049935234829817</v>
          </cell>
          <cell r="K5">
            <v>65.70011638525429</v>
          </cell>
          <cell r="L5">
            <v>72.870420570394856</v>
          </cell>
          <cell r="M5">
            <v>65.044109977239259</v>
          </cell>
          <cell r="N5">
            <v>69.230387349803649</v>
          </cell>
          <cell r="O5">
            <v>79.139818792587377</v>
          </cell>
          <cell r="P5">
            <v>88.031054402276396</v>
          </cell>
          <cell r="Q5">
            <v>82.860643757038332</v>
          </cell>
          <cell r="R5">
            <v>88.910778084483766</v>
          </cell>
          <cell r="S5">
            <v>91.874247221894692</v>
          </cell>
          <cell r="T5">
            <v>109.29423228319799</v>
          </cell>
          <cell r="U5">
            <v>103.33971562004956</v>
          </cell>
          <cell r="V5">
            <v>110.92808533391742</v>
          </cell>
          <cell r="W5">
            <v>123.27395995593488</v>
          </cell>
          <cell r="X5">
            <v>124.62044502223765</v>
          </cell>
          <cell r="Y5">
            <v>131.32030947455343</v>
          </cell>
          <cell r="Z5">
            <v>131.33007791205875</v>
          </cell>
          <cell r="BB5">
            <v>10.781204701455694</v>
          </cell>
          <cell r="BC5">
            <v>14.656883266326947</v>
          </cell>
          <cell r="BD5">
            <v>19.152449446397004</v>
          </cell>
          <cell r="BE5">
            <v>16.5139940608708</v>
          </cell>
          <cell r="BF5">
            <v>18.222040423984591</v>
          </cell>
          <cell r="BG5">
            <v>18.993341661365992</v>
          </cell>
          <cell r="BH5">
            <v>16.624563580154323</v>
          </cell>
          <cell r="BI5">
            <v>18.824847598113475</v>
          </cell>
          <cell r="BJ5">
            <v>19.235285494848963</v>
          </cell>
          <cell r="BK5">
            <v>23.87283336976639</v>
          </cell>
          <cell r="BL5">
            <v>22.964696387129063</v>
          </cell>
          <cell r="BM5">
            <v>27.160593076995866</v>
          </cell>
          <cell r="BN5">
            <v>31.650821476102887</v>
          </cell>
          <cell r="BO5">
            <v>36.804355675898059</v>
          </cell>
          <cell r="BP5">
            <v>39.70172931193499</v>
          </cell>
          <cell r="BQ5">
            <v>42.524270570403765</v>
          </cell>
        </row>
        <row r="6">
          <cell r="I6">
            <v>73.128478817265346</v>
          </cell>
          <cell r="J6">
            <v>61.346919962387943</v>
          </cell>
          <cell r="K6">
            <v>59.3000685359588</v>
          </cell>
          <cell r="L6">
            <v>63.896938848016148</v>
          </cell>
          <cell r="M6">
            <v>54.108439622802699</v>
          </cell>
          <cell r="N6">
            <v>59.590733270497822</v>
          </cell>
          <cell r="O6">
            <v>68.709185183163981</v>
          </cell>
          <cell r="P6">
            <v>76.246382353645501</v>
          </cell>
          <cell r="Q6">
            <v>73.217707371951491</v>
          </cell>
          <cell r="R6">
            <v>78.686398889872578</v>
          </cell>
          <cell r="S6">
            <v>80.764257263923085</v>
          </cell>
          <cell r="T6">
            <v>95.260426432653688</v>
          </cell>
          <cell r="U6">
            <v>90.554414773730642</v>
          </cell>
          <cell r="V6">
            <v>97.540173958706234</v>
          </cell>
          <cell r="W6">
            <v>111.04411126930695</v>
          </cell>
          <cell r="X6">
            <v>111.80061254873185</v>
          </cell>
          <cell r="Y6">
            <v>120.72345425600935</v>
          </cell>
          <cell r="Z6">
            <v>120.26683300966558</v>
          </cell>
          <cell r="BB6">
            <v>4.605302661421133</v>
          </cell>
          <cell r="BC6">
            <v>6.3892482715325958</v>
          </cell>
          <cell r="BD6">
            <v>8.0966024141011328</v>
          </cell>
          <cell r="BE6">
            <v>7.1358166236087008</v>
          </cell>
          <cell r="BF6">
            <v>7.6029405732733828</v>
          </cell>
          <cell r="BG6">
            <v>8.3673334612762194</v>
          </cell>
          <cell r="BH6">
            <v>7.2206021470704016</v>
          </cell>
          <cell r="BI6">
            <v>7.828291085328539</v>
          </cell>
          <cell r="BJ6">
            <v>8.3972340265248491</v>
          </cell>
          <cell r="BK6">
            <v>10.3842128877825</v>
          </cell>
          <cell r="BL6">
            <v>10.099984770455283</v>
          </cell>
          <cell r="BM6">
            <v>11.375174783221389</v>
          </cell>
          <cell r="BN6">
            <v>12.90610129832152</v>
          </cell>
          <cell r="BO6">
            <v>13.910569386309625</v>
          </cell>
          <cell r="BP6">
            <v>14.936753548084198</v>
          </cell>
          <cell r="BQ6">
            <v>16.0245928273022</v>
          </cell>
        </row>
        <row r="7">
          <cell r="I7">
            <v>68.773225129745057</v>
          </cell>
          <cell r="J7">
            <v>57.016264727537141</v>
          </cell>
          <cell r="K7">
            <v>55.087489005463155</v>
          </cell>
          <cell r="L7">
            <v>57.957886925455227</v>
          </cell>
          <cell r="M7">
            <v>47.161002726036926</v>
          </cell>
          <cell r="N7">
            <v>53.352117512858165</v>
          </cell>
          <cell r="O7">
            <v>61.890787411348299</v>
          </cell>
          <cell r="P7">
            <v>68.640693964099171</v>
          </cell>
          <cell r="Q7">
            <v>66.806109139247823</v>
          </cell>
          <cell r="R7">
            <v>71.460582474220217</v>
          </cell>
          <cell r="S7">
            <v>72.843650215272248</v>
          </cell>
          <cell r="T7">
            <v>85.560795943710445</v>
          </cell>
          <cell r="U7">
            <v>81.014201224434487</v>
          </cell>
          <cell r="V7">
            <v>87.931524270560033</v>
          </cell>
          <cell r="W7">
            <v>100.69631721826831</v>
          </cell>
          <cell r="X7">
            <v>101.7299368689828</v>
          </cell>
          <cell r="Y7">
            <v>111.20489686899862</v>
          </cell>
          <cell r="Z7">
            <v>110.33075969850302</v>
          </cell>
          <cell r="BB7">
            <v>3.0182943055123701E-4</v>
          </cell>
          <cell r="BC7">
            <v>1.2693933890908227E-3</v>
          </cell>
          <cell r="BD7">
            <v>-4.3227907708178748E-3</v>
          </cell>
          <cell r="BE7">
            <v>0.32867579810318404</v>
          </cell>
          <cell r="BF7">
            <v>4.2739528885533673E-2</v>
          </cell>
          <cell r="BG7">
            <v>0.36774964379426223</v>
          </cell>
          <cell r="BH7">
            <v>0.17286251846809364</v>
          </cell>
          <cell r="BI7">
            <v>-7.0155442404740143E-2</v>
          </cell>
          <cell r="BJ7">
            <v>-2.2862293272254419E-3</v>
          </cell>
          <cell r="BK7">
            <v>-1.87295812521171E-3</v>
          </cell>
          <cell r="BL7">
            <v>0.27772175716975056</v>
          </cell>
          <cell r="BM7">
            <v>-0.30159865941556774</v>
          </cell>
          <cell r="BN7">
            <v>-0.69008909968849963</v>
          </cell>
          <cell r="BO7">
            <v>-0.67862257282734362</v>
          </cell>
          <cell r="BP7">
            <v>-0.57179848036886938</v>
          </cell>
          <cell r="BQ7">
            <v>-0.5851629658121098</v>
          </cell>
        </row>
        <row r="8">
          <cell r="I8">
            <v>64.943146414702241</v>
          </cell>
          <cell r="J8">
            <v>52.99948536162961</v>
          </cell>
          <cell r="K8">
            <v>51.194895829640373</v>
          </cell>
          <cell r="L8">
            <v>52.757339502548049</v>
          </cell>
          <cell r="M8">
            <v>40.594464915198685</v>
          </cell>
          <cell r="N8">
            <v>47.765565457691835</v>
          </cell>
          <cell r="O8">
            <v>55.432599641251031</v>
          </cell>
          <cell r="P8">
            <v>62.058812381806632</v>
          </cell>
          <cell r="Q8">
            <v>60.819929122118417</v>
          </cell>
          <cell r="R8">
            <v>64.963784836008941</v>
          </cell>
          <cell r="S8">
            <v>65.930091316884898</v>
          </cell>
          <cell r="T8">
            <v>76.889154242075833</v>
          </cell>
          <cell r="U8">
            <v>72.731792632195052</v>
          </cell>
          <cell r="V8">
            <v>77.773018378879641</v>
          </cell>
          <cell r="W8">
            <v>88.460578943416976</v>
          </cell>
          <cell r="X8">
            <v>87.883867116801582</v>
          </cell>
          <cell r="Y8">
            <v>95.32373227999571</v>
          </cell>
          <cell r="Z8">
            <v>93.54458446053836</v>
          </cell>
          <cell r="BB8">
            <v>-5.1885847431415577</v>
          </cell>
          <cell r="BC8">
            <v>-6.9305146216279958</v>
          </cell>
          <cell r="BD8">
            <v>-8.2345906057231275</v>
          </cell>
          <cell r="BE8">
            <v>-6.8884300586870228</v>
          </cell>
          <cell r="BF8">
            <v>-7.888109386373424</v>
          </cell>
          <cell r="BG8">
            <v>-8.5670014701863924</v>
          </cell>
          <cell r="BH8">
            <v>-7.444447354643474</v>
          </cell>
          <cell r="BI8">
            <v>-8.7813932965104655</v>
          </cell>
          <cell r="BJ8">
            <v>-9.2147777937335071</v>
          </cell>
          <cell r="BK8">
            <v>-11.060693311411256</v>
          </cell>
          <cell r="BL8">
            <v>-11.148983429487966</v>
          </cell>
          <cell r="BM8">
            <v>-12.151105187094629</v>
          </cell>
          <cell r="BN8">
            <v>-13.15042668628903</v>
          </cell>
          <cell r="BO8">
            <v>-13.735496837653844</v>
          </cell>
          <cell r="BP8">
            <v>-13.054246982544434</v>
          </cell>
          <cell r="BQ8">
            <v>-14.041571058285786</v>
          </cell>
        </row>
        <row r="9">
          <cell r="I9">
            <v>59.230195861869291</v>
          </cell>
          <cell r="J9">
            <v>47.832877911962399</v>
          </cell>
          <cell r="K9">
            <v>46.211916426806496</v>
          </cell>
          <cell r="L9">
            <v>46.184768348285964</v>
          </cell>
          <cell r="M9">
            <v>32.340675808231943</v>
          </cell>
          <cell r="N9">
            <v>40.77914191104523</v>
          </cell>
          <cell r="O9">
            <v>47.64985530555866</v>
          </cell>
          <cell r="P9">
            <v>53.748735233941687</v>
          </cell>
          <cell r="Q9">
            <v>53.352314555083161</v>
          </cell>
          <cell r="R9">
            <v>56.255042683843605</v>
          </cell>
          <cell r="S9">
            <v>56.873573459694057</v>
          </cell>
          <cell r="T9">
            <v>66.962887677196832</v>
          </cell>
          <cell r="U9">
            <v>62.585474901193471</v>
          </cell>
          <cell r="V9">
            <v>65.310443547644439</v>
          </cell>
          <cell r="W9">
            <v>72.824224479373754</v>
          </cell>
          <cell r="X9">
            <v>67.44867762582318</v>
          </cell>
          <cell r="Y9">
            <v>71.741657959231929</v>
          </cell>
          <cell r="Z9">
            <v>67.985097975797387</v>
          </cell>
          <cell r="BB9">
            <v>-12.801640963837713</v>
          </cell>
          <cell r="BC9">
            <v>-17.848819831057824</v>
          </cell>
          <cell r="BD9">
            <v>-20.639676243609792</v>
          </cell>
          <cell r="BE9">
            <v>-18.263658580789645</v>
          </cell>
          <cell r="BF9">
            <v>-20.452883545418437</v>
          </cell>
          <cell r="BG9">
            <v>-22.302311583034776</v>
          </cell>
          <cell r="BH9">
            <v>-18.990998771792633</v>
          </cell>
          <cell r="BI9">
            <v>-21.303771549089102</v>
          </cell>
          <cell r="BJ9">
            <v>-23.437505750389764</v>
          </cell>
          <cell r="BK9">
            <v>-28.376775711118036</v>
          </cell>
          <cell r="BL9">
            <v>-27.690647490976076</v>
          </cell>
          <cell r="BM9">
            <v>-28.561037562525424</v>
          </cell>
          <cell r="BN9">
            <v>-29.688359705969336</v>
          </cell>
          <cell r="BO9">
            <v>-30.442796098602081</v>
          </cell>
          <cell r="BP9">
            <v>-27.370972510375744</v>
          </cell>
          <cell r="BQ9">
            <v>-29.969121373909552</v>
          </cell>
        </row>
        <row r="10">
          <cell r="I10">
            <v>46.440214040396192</v>
          </cell>
          <cell r="J10">
            <v>38.78032319460722</v>
          </cell>
          <cell r="K10">
            <v>37.38873755368855</v>
          </cell>
          <cell r="L10">
            <v>36.186495184038655</v>
          </cell>
          <cell r="M10">
            <v>18.141546435732376</v>
          </cell>
          <cell r="N10">
            <v>26.388898233961289</v>
          </cell>
          <cell r="O10">
            <v>28.808557335251987</v>
          </cell>
          <cell r="P10">
            <v>39.461059677137101</v>
          </cell>
          <cell r="Q10">
            <v>40.977401812052378</v>
          </cell>
          <cell r="R10">
            <v>39.506976014373073</v>
          </cell>
          <cell r="S10">
            <v>44.527449176308679</v>
          </cell>
          <cell r="T10">
            <v>50.822950816249438</v>
          </cell>
          <cell r="U10">
            <v>47.989531908222041</v>
          </cell>
          <cell r="V10">
            <v>47.2715104185462</v>
          </cell>
          <cell r="W10">
            <v>54.338346415940535</v>
          </cell>
          <cell r="X10">
            <v>49.63568554087999</v>
          </cell>
          <cell r="Y10">
            <v>53.005800391576187</v>
          </cell>
          <cell r="Z10">
            <v>45.535948106804469</v>
          </cell>
          <cell r="BB10">
            <v>-30.055145199297023</v>
          </cell>
          <cell r="BC10">
            <v>-51.687143259455681</v>
          </cell>
          <cell r="BD10">
            <v>-46.42929061311748</v>
          </cell>
          <cell r="BE10">
            <v>-49.126830737428172</v>
          </cell>
          <cell r="BF10">
            <v>-47.900399782193595</v>
          </cell>
          <cell r="BG10">
            <v>-49.386167035978488</v>
          </cell>
          <cell r="BH10">
            <v>-43.244412909254436</v>
          </cell>
          <cell r="BI10">
            <v>-52.081726877652315</v>
          </cell>
          <cell r="BJ10">
            <v>-54.939307966794985</v>
          </cell>
          <cell r="BK10">
            <v>-61.518551205897154</v>
          </cell>
          <cell r="BL10">
            <v>-69.401961978909668</v>
          </cell>
          <cell r="BM10">
            <v>-57.891109708898469</v>
          </cell>
          <cell r="BN10">
            <v>-71.506726272343315</v>
          </cell>
          <cell r="BO10">
            <v>-65.144873138612866</v>
          </cell>
          <cell r="BP10">
            <v>-59.869570345738168</v>
          </cell>
          <cell r="BQ10">
            <v>-67.674688990857234</v>
          </cell>
        </row>
        <row r="11">
          <cell r="I11">
            <v>69.328048122688358</v>
          </cell>
          <cell r="J11">
            <v>57.373235474775356</v>
          </cell>
          <cell r="K11">
            <v>55.448094987366595</v>
          </cell>
          <cell r="L11">
            <v>58.591453324230592</v>
          </cell>
          <cell r="M11">
            <v>47.688517051725704</v>
          </cell>
          <cell r="N11">
            <v>53.971698808006771</v>
          </cell>
          <cell r="O11">
            <v>62.430303788703753</v>
          </cell>
          <cell r="P11">
            <v>69.457782001858973</v>
          </cell>
          <cell r="Q11">
            <v>67.288969321222993</v>
          </cell>
          <cell r="R11">
            <v>72.002916021385531</v>
          </cell>
          <cell r="S11">
            <v>73.542412369373764</v>
          </cell>
          <cell r="T11">
            <v>86.470975680121683</v>
          </cell>
          <cell r="U11">
            <v>81.936872211126868</v>
          </cell>
          <cell r="V11">
            <v>87.943985523791852</v>
          </cell>
          <cell r="W11">
            <v>99.572048222044899</v>
          </cell>
          <cell r="X11">
            <v>99.337349711943887</v>
          </cell>
          <cell r="Y11">
            <v>107.22009367930312</v>
          </cell>
          <cell r="Z11">
            <v>105.89670340887351</v>
          </cell>
          <cell r="BB11">
            <v>-0.39985770535543019</v>
          </cell>
          <cell r="BC11">
            <v>-0.57101803772670123</v>
          </cell>
          <cell r="BD11">
            <v>-0.28793402576325589</v>
          </cell>
          <cell r="BE11">
            <v>-0.13399466706474428</v>
          </cell>
          <cell r="BF11">
            <v>-0.38904145872692414</v>
          </cell>
          <cell r="BG11">
            <v>-0.44490614416361224</v>
          </cell>
          <cell r="BH11">
            <v>-0.32867607108021168</v>
          </cell>
          <cell r="BI11">
            <v>-0.56320495755587541</v>
          </cell>
          <cell r="BJ11">
            <v>-0.71804400770036791</v>
          </cell>
          <cell r="BK11">
            <v>-0.7852725809893194</v>
          </cell>
          <cell r="BL11">
            <v>-0.83821168960948411</v>
          </cell>
          <cell r="BM11">
            <v>-0.45317658874807715</v>
          </cell>
          <cell r="BN11">
            <v>4.3287472050959903E-2</v>
          </cell>
          <cell r="BO11">
            <v>0.74682204080168924</v>
          </cell>
          <cell r="BP11">
            <v>1.9910236406072044</v>
          </cell>
          <cell r="BQ11">
            <v>1.9532008350871009</v>
          </cell>
        </row>
      </sheetData>
      <sheetData sheetId="5">
        <row r="4">
          <cell r="I4">
            <v>101.20804817049437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Sims Summary"/>
    </sheetNames>
    <sheetDataSet>
      <sheetData sheetId="0">
        <row r="26">
          <cell r="D26">
            <v>57.636999999999972</v>
          </cell>
          <cell r="E26">
            <v>49.818999999999946</v>
          </cell>
          <cell r="F26">
            <v>45.777999999999949</v>
          </cell>
          <cell r="G26">
            <v>34.632200000000012</v>
          </cell>
          <cell r="H26">
            <v>31.311899999999994</v>
          </cell>
          <cell r="I26">
            <v>27.3782</v>
          </cell>
          <cell r="J26">
            <v>22.933400000000002</v>
          </cell>
          <cell r="K26">
            <v>18.974</v>
          </cell>
          <cell r="L26">
            <v>17.897500000000004</v>
          </cell>
          <cell r="M26">
            <v>17.1966</v>
          </cell>
          <cell r="N26">
            <v>18.9956</v>
          </cell>
        </row>
        <row r="27">
          <cell r="D27">
            <v>50.694051321874696</v>
          </cell>
          <cell r="E27">
            <v>43.094964846874788</v>
          </cell>
          <cell r="F27">
            <v>41.381785187499936</v>
          </cell>
          <cell r="G27">
            <v>32.563489243750006</v>
          </cell>
          <cell r="H27">
            <v>29.05603120624999</v>
          </cell>
          <cell r="I27">
            <v>23.947108287500001</v>
          </cell>
          <cell r="J27">
            <v>19.635811900000007</v>
          </cell>
          <cell r="K27">
            <v>16.720925818750004</v>
          </cell>
          <cell r="L27">
            <v>15.67138478750001</v>
          </cell>
          <cell r="M27">
            <v>14.832466875000012</v>
          </cell>
          <cell r="N27">
            <v>16.330187937500011</v>
          </cell>
        </row>
        <row r="28">
          <cell r="D28">
            <v>42.468974609374939</v>
          </cell>
          <cell r="E28">
            <v>32.835740234374995</v>
          </cell>
          <cell r="F28">
            <v>29.692085937499989</v>
          </cell>
          <cell r="G28">
            <v>22.660227343750012</v>
          </cell>
          <cell r="H28">
            <v>19.915903906249994</v>
          </cell>
          <cell r="I28">
            <v>14.490754687500001</v>
          </cell>
          <cell r="J28">
            <v>12.079324999999997</v>
          </cell>
          <cell r="K28">
            <v>11.246174218749999</v>
          </cell>
          <cell r="L28">
            <v>10.2691046875</v>
          </cell>
          <cell r="M28">
            <v>9.5615843749999989</v>
          </cell>
          <cell r="N28">
            <v>10.220135937499998</v>
          </cell>
        </row>
        <row r="29">
          <cell r="D29">
            <v>35.197062499999987</v>
          </cell>
          <cell r="E29">
            <v>25.5115625</v>
          </cell>
          <cell r="F29">
            <v>18.321249999999992</v>
          </cell>
          <cell r="G29">
            <v>12.188387500000001</v>
          </cell>
          <cell r="H29">
            <v>11.242962500000001</v>
          </cell>
          <cell r="I29">
            <v>9.1115750000000002</v>
          </cell>
          <cell r="J29">
            <v>8.9181249999999999</v>
          </cell>
          <cell r="K29">
            <v>8.5445124999999997</v>
          </cell>
          <cell r="L29">
            <v>7.5581000000000005</v>
          </cell>
          <cell r="M29">
            <v>7.5354749999999999</v>
          </cell>
          <cell r="N29">
            <v>7.5893750000000004</v>
          </cell>
        </row>
        <row r="30">
          <cell r="D30">
            <v>27.456126953125001</v>
          </cell>
          <cell r="E30">
            <v>18.864923828124997</v>
          </cell>
          <cell r="F30">
            <v>11.6905703125</v>
          </cell>
          <cell r="G30">
            <v>7.4750398437500003</v>
          </cell>
          <cell r="H30">
            <v>7.1172164062499998</v>
          </cell>
          <cell r="I30">
            <v>6.8796921874999999</v>
          </cell>
          <cell r="J30">
            <v>6.8054562499999998</v>
          </cell>
          <cell r="K30">
            <v>6.7079679687500002</v>
          </cell>
          <cell r="L30">
            <v>5.7817984375</v>
          </cell>
          <cell r="M30">
            <v>6.031865625</v>
          </cell>
          <cell r="N30">
            <v>5.6837234375000003</v>
          </cell>
        </row>
        <row r="31">
          <cell r="D31">
            <v>24.662665240625</v>
          </cell>
          <cell r="E31">
            <v>16.163354215624999</v>
          </cell>
          <cell r="F31">
            <v>9.3770910624999999</v>
          </cell>
          <cell r="G31">
            <v>6.1275237437500003</v>
          </cell>
          <cell r="H31">
            <v>5.3977177062499999</v>
          </cell>
          <cell r="I31">
            <v>5.2583517874999997</v>
          </cell>
          <cell r="J31">
            <v>5.0611421500000002</v>
          </cell>
          <cell r="K31">
            <v>5.0734205687500005</v>
          </cell>
          <cell r="L31">
            <v>4.5590195375000002</v>
          </cell>
          <cell r="M31">
            <v>4.5282431249999995</v>
          </cell>
          <cell r="N31">
            <v>4.0527614375000001</v>
          </cell>
        </row>
        <row r="32">
          <cell r="D32">
            <v>21.599</v>
          </cell>
          <cell r="E32">
            <v>13.901</v>
          </cell>
          <cell r="F32">
            <v>7.7720000000000002</v>
          </cell>
          <cell r="G32">
            <v>5.5972</v>
          </cell>
          <cell r="H32">
            <v>4.7908999999999997</v>
          </cell>
          <cell r="I32">
            <v>4.7321999999999997</v>
          </cell>
          <cell r="J32">
            <v>4.8235999999999999</v>
          </cell>
          <cell r="K32">
            <v>4.7209000000000003</v>
          </cell>
          <cell r="L32">
            <v>4.4062000000000001</v>
          </cell>
          <cell r="M32">
            <v>4.2580999999999998</v>
          </cell>
          <cell r="N32">
            <v>3.8039000000000001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Ranking"/>
      <sheetName val="Percentiles"/>
      <sheetName val="SpotandLGC"/>
      <sheetName val="UploadData"/>
    </sheetNames>
    <sheetDataSet>
      <sheetData sheetId="0"/>
      <sheetData sheetId="1"/>
      <sheetData sheetId="2"/>
      <sheetData sheetId="3"/>
      <sheetData sheetId="4">
        <row r="28">
          <cell r="E28">
            <v>32.574706311493351</v>
          </cell>
          <cell r="F28">
            <v>23.628578651490063</v>
          </cell>
          <cell r="G28">
            <v>22.680760944889897</v>
          </cell>
          <cell r="H28">
            <v>18.990249552868313</v>
          </cell>
          <cell r="I28">
            <v>16.493162754542606</v>
          </cell>
          <cell r="J28">
            <v>14.106856968966149</v>
          </cell>
          <cell r="K28">
            <v>13.108210423767943</v>
          </cell>
          <cell r="L28">
            <v>12.640354911084613</v>
          </cell>
          <cell r="M28">
            <v>13.334198176863715</v>
          </cell>
        </row>
        <row r="29">
          <cell r="E29">
            <v>30.517595912883156</v>
          </cell>
          <cell r="F29">
            <v>23.799596774954971</v>
          </cell>
          <cell r="G29">
            <v>21.783852573811377</v>
          </cell>
          <cell r="H29">
            <v>18.02117012842854</v>
          </cell>
          <cell r="I29">
            <v>14.581347908781586</v>
          </cell>
          <cell r="J29">
            <v>12.901185407068279</v>
          </cell>
          <cell r="K29">
            <v>11.989023470712848</v>
          </cell>
          <cell r="L29">
            <v>11.847766326130332</v>
          </cell>
          <cell r="M29">
            <v>12.413529562022489</v>
          </cell>
        </row>
        <row r="30">
          <cell r="E30">
            <v>25.407644331333305</v>
          </cell>
          <cell r="F30">
            <v>18.717864880899707</v>
          </cell>
          <cell r="G30">
            <v>16.497680589900259</v>
          </cell>
          <cell r="H30">
            <v>12.631662520898526</v>
          </cell>
          <cell r="I30">
            <v>11.27846067276147</v>
          </cell>
          <cell r="J30">
            <v>10.265328851291295</v>
          </cell>
          <cell r="K30">
            <v>9.4871148428200822</v>
          </cell>
          <cell r="L30">
            <v>8.7695673208905944</v>
          </cell>
          <cell r="M30">
            <v>9.0851691722796488</v>
          </cell>
        </row>
        <row r="31">
          <cell r="E31">
            <v>19.325099056631018</v>
          </cell>
          <cell r="F31">
            <v>12.978748561363242</v>
          </cell>
          <cell r="G31">
            <v>12.757497910056509</v>
          </cell>
          <cell r="H31">
            <v>10.262342717115098</v>
          </cell>
          <cell r="I31">
            <v>9.2093317293928809</v>
          </cell>
          <cell r="J31">
            <v>8.7715012016317253</v>
          </cell>
          <cell r="K31">
            <v>8.0532202134526774</v>
          </cell>
          <cell r="L31">
            <v>7.8880414066080453</v>
          </cell>
          <cell r="M31">
            <v>7.9293170950169261</v>
          </cell>
        </row>
        <row r="32">
          <cell r="E32">
            <v>16.200132732692506</v>
          </cell>
          <cell r="F32">
            <v>12.918206486003292</v>
          </cell>
          <cell r="G32">
            <v>11.247421574690049</v>
          </cell>
          <cell r="H32">
            <v>9.2845426804878066</v>
          </cell>
          <cell r="I32">
            <v>7.7042453865867522</v>
          </cell>
          <cell r="J32">
            <v>8.210274409525967</v>
          </cell>
          <cell r="K32">
            <v>7.1235806556589329</v>
          </cell>
          <cell r="L32">
            <v>7.121599365542127</v>
          </cell>
          <cell r="M32">
            <v>7.3273166980430968</v>
          </cell>
        </row>
        <row r="33">
          <cell r="E33">
            <v>14.787757452438228</v>
          </cell>
          <cell r="F33">
            <v>9.7567290081239193</v>
          </cell>
          <cell r="G33">
            <v>8.6103319923306767</v>
          </cell>
          <cell r="H33">
            <v>6.1127797717724492</v>
          </cell>
          <cell r="I33">
            <v>8.7301354050010254</v>
          </cell>
          <cell r="J33">
            <v>7.6716580563032792</v>
          </cell>
          <cell r="K33">
            <v>5.7611007598336368</v>
          </cell>
          <cell r="L33">
            <v>6.5951108013441582</v>
          </cell>
          <cell r="M33">
            <v>5.8464956217462758</v>
          </cell>
        </row>
        <row r="34">
          <cell r="E34">
            <v>7.7766999609490215</v>
          </cell>
          <cell r="F34">
            <v>5.5986347858423473</v>
          </cell>
          <cell r="G34">
            <v>4.7924486036714056</v>
          </cell>
          <cell r="H34">
            <v>4.7334450455842294</v>
          </cell>
          <cell r="I34">
            <v>4.8239518628507128</v>
          </cell>
          <cell r="J34">
            <v>4.7216177362050908</v>
          </cell>
          <cell r="K34">
            <v>4.4064185545494121</v>
          </cell>
          <cell r="L34">
            <v>4.4315069164601333</v>
          </cell>
          <cell r="M34">
            <v>3.8043092163017005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QLD"/>
      <sheetName val="NSW"/>
      <sheetName val="VIC"/>
      <sheetName val="SA"/>
      <sheetName val="TAS"/>
      <sheetName val="Sheet8"/>
      <sheetName val="Summary"/>
      <sheetName val="Medi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>
            <v>8.5440604315077662E-2</v>
          </cell>
          <cell r="D18">
            <v>3.9462098957655213E-2</v>
          </cell>
          <cell r="E18">
            <v>8.151057439871652E-2</v>
          </cell>
          <cell r="F18">
            <v>0.17213012336582414</v>
          </cell>
          <cell r="G18">
            <v>0.22450183141751828</v>
          </cell>
        </row>
        <row r="19">
          <cell r="C19">
            <v>9.5241193013033396E-2</v>
          </cell>
          <cell r="D19">
            <v>6.5019843698465682E-2</v>
          </cell>
          <cell r="E19">
            <v>9.9220784816533916E-2</v>
          </cell>
          <cell r="F19">
            <v>0.2733213959139707</v>
          </cell>
          <cell r="G19">
            <v>0.30469439964895967</v>
          </cell>
        </row>
        <row r="20">
          <cell r="C20">
            <v>0.17382697718843057</v>
          </cell>
          <cell r="D20">
            <v>0.17148755987068778</v>
          </cell>
          <cell r="E20">
            <v>0.23929118609899763</v>
          </cell>
          <cell r="F20">
            <v>1.2523917792888046</v>
          </cell>
          <cell r="G20">
            <v>14.164780786884126</v>
          </cell>
        </row>
        <row r="21">
          <cell r="C21">
            <v>0.28147736963019521</v>
          </cell>
          <cell r="D21">
            <v>9.5285867847432829E-2</v>
          </cell>
          <cell r="E21">
            <v>0.111953815796831</v>
          </cell>
          <cell r="F21">
            <v>0.2979263240269211</v>
          </cell>
          <cell r="G21">
            <v>0.4648003159189768</v>
          </cell>
        </row>
        <row r="22">
          <cell r="C22">
            <v>0.11817372358655855</v>
          </cell>
          <cell r="D22">
            <v>0.11145951907318892</v>
          </cell>
          <cell r="E22">
            <v>0.32758277727182361</v>
          </cell>
          <cell r="F22">
            <v>3.4862089603691619</v>
          </cell>
          <cell r="G22">
            <v>0.54013471852967576</v>
          </cell>
        </row>
        <row r="23">
          <cell r="C23">
            <v>0.35016700256722672</v>
          </cell>
          <cell r="D23">
            <v>0.2448109994679761</v>
          </cell>
          <cell r="E23">
            <v>0.7251534735845272</v>
          </cell>
          <cell r="F23">
            <v>1.1221464377628334</v>
          </cell>
          <cell r="G23">
            <v>0.63601742018859109</v>
          </cell>
        </row>
        <row r="24">
          <cell r="C24">
            <v>0.18405447838342034</v>
          </cell>
          <cell r="D24">
            <v>0.12125431481923442</v>
          </cell>
          <cell r="E24">
            <v>0.26411876866123829</v>
          </cell>
          <cell r="F24">
            <v>1.100687503454586</v>
          </cell>
          <cell r="G24">
            <v>2.722488245431308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948-3CF1-4E9D-99AC-1304165EF99B}">
  <sheetPr>
    <tabColor theme="4"/>
  </sheetPr>
  <dimension ref="B3:T36"/>
  <sheetViews>
    <sheetView workbookViewId="0">
      <selection activeCell="G6" sqref="G6"/>
    </sheetView>
  </sheetViews>
  <sheetFormatPr defaultRowHeight="15.05" x14ac:dyDescent="0.3"/>
  <cols>
    <col min="2" max="2" width="10.21875" customWidth="1"/>
  </cols>
  <sheetData>
    <row r="3" spans="2:20" x14ac:dyDescent="0.3">
      <c r="B3" s="1" t="s">
        <v>79</v>
      </c>
    </row>
    <row r="4" spans="2:20" x14ac:dyDescent="0.3">
      <c r="B4" s="82" t="s">
        <v>0</v>
      </c>
      <c r="C4" s="82" t="s">
        <v>1</v>
      </c>
      <c r="D4" s="82" t="s">
        <v>2</v>
      </c>
      <c r="E4" s="82" t="s">
        <v>3</v>
      </c>
      <c r="F4" s="82" t="s">
        <v>4</v>
      </c>
      <c r="G4" s="82" t="s">
        <v>5</v>
      </c>
      <c r="H4" s="82" t="s">
        <v>6</v>
      </c>
      <c r="I4" s="82" t="s">
        <v>7</v>
      </c>
      <c r="J4" s="82" t="s">
        <v>8</v>
      </c>
      <c r="K4" s="82" t="s">
        <v>9</v>
      </c>
      <c r="L4" s="82" t="s">
        <v>10</v>
      </c>
      <c r="M4" s="82" t="s">
        <v>11</v>
      </c>
      <c r="N4" s="82" t="s">
        <v>12</v>
      </c>
      <c r="O4" s="82" t="s">
        <v>13</v>
      </c>
      <c r="P4" s="82" t="s">
        <v>14</v>
      </c>
      <c r="Q4" s="82" t="s">
        <v>15</v>
      </c>
      <c r="R4" s="82" t="s">
        <v>16</v>
      </c>
      <c r="S4" s="82" t="s">
        <v>17</v>
      </c>
      <c r="T4" s="82" t="s">
        <v>18</v>
      </c>
    </row>
    <row r="5" spans="2:20" x14ac:dyDescent="0.3">
      <c r="B5" s="3">
        <v>1</v>
      </c>
      <c r="C5" s="4">
        <f>[1]MarinusPortland!I4</f>
        <v>101.20804817049437</v>
      </c>
      <c r="D5" s="4">
        <f>[1]MarinusPortland!J4</f>
        <v>83.023484925253172</v>
      </c>
      <c r="E5" s="4">
        <f>[1]MarinusPortland!K4</f>
        <v>85.672877689445514</v>
      </c>
      <c r="F5" s="4">
        <f>[1]MarinusPortland!L4</f>
        <v>99.122267976473708</v>
      </c>
      <c r="G5" s="4">
        <f>[1]MarinusPortland!M4</f>
        <v>93.709507245943925</v>
      </c>
      <c r="H5" s="4">
        <f>[1]MarinusPortland!N4</f>
        <v>89.850753254257668</v>
      </c>
      <c r="I5" s="4">
        <f>[1]MarinusPortland!O4</f>
        <v>108.91118802537542</v>
      </c>
      <c r="J5" s="4">
        <f>[1]MarinusPortland!P4</f>
        <v>111.45704701313319</v>
      </c>
      <c r="K5" s="4">
        <f>[1]MarinusPortland!Q4</f>
        <v>104.62712676020108</v>
      </c>
      <c r="L5" s="4">
        <f>[1]MarinusPortland!R4</f>
        <v>115.43325489528229</v>
      </c>
      <c r="M5" s="4">
        <f>[1]MarinusPortland!S4</f>
        <v>118.41381961663059</v>
      </c>
      <c r="N5" s="4">
        <f>[1]MarinusPortland!T4</f>
        <v>140.75114698660815</v>
      </c>
      <c r="O5" s="4">
        <f>[1]MarinusPortland!U4</f>
        <v>134.56972601220241</v>
      </c>
      <c r="P5" s="4">
        <f>[1]MarinusPortland!V4</f>
        <v>140.83117242884728</v>
      </c>
      <c r="Q5" s="4">
        <f>[1]MarinusPortland!W4</f>
        <v>155.18627400737282</v>
      </c>
      <c r="R5" s="4">
        <f>[1]MarinusPortland!X4</f>
        <v>154.42931908167955</v>
      </c>
      <c r="S5" s="4">
        <f>[1]MarinusPortland!Y4</f>
        <v>160.20178610975657</v>
      </c>
      <c r="T5" s="4">
        <f>[1]MarinusPortland!Z4</f>
        <v>158.35815626412509</v>
      </c>
    </row>
    <row r="6" spans="2:20" x14ac:dyDescent="0.3">
      <c r="B6" s="3">
        <v>0.95</v>
      </c>
      <c r="C6" s="4">
        <f>[1]MarinusPortland!I5</f>
        <v>81.430062874837049</v>
      </c>
      <c r="D6" s="4">
        <f>[1]MarinusPortland!J5</f>
        <v>68.049935234829817</v>
      </c>
      <c r="E6" s="4">
        <f>[1]MarinusPortland!K5</f>
        <v>65.70011638525429</v>
      </c>
      <c r="F6" s="4">
        <f>[1]MarinusPortland!L5</f>
        <v>72.870420570394856</v>
      </c>
      <c r="G6" s="4">
        <f>[1]MarinusPortland!M5</f>
        <v>65.044109977239259</v>
      </c>
      <c r="H6" s="4">
        <f>[1]MarinusPortland!N5</f>
        <v>69.230387349803649</v>
      </c>
      <c r="I6" s="4">
        <f>[1]MarinusPortland!O5</f>
        <v>79.139818792587377</v>
      </c>
      <c r="J6" s="4">
        <f>[1]MarinusPortland!P5</f>
        <v>88.031054402276396</v>
      </c>
      <c r="K6" s="4">
        <f>[1]MarinusPortland!Q5</f>
        <v>82.860643757038332</v>
      </c>
      <c r="L6" s="4">
        <f>[1]MarinusPortland!R5</f>
        <v>88.910778084483766</v>
      </c>
      <c r="M6" s="4">
        <f>[1]MarinusPortland!S5</f>
        <v>91.874247221894692</v>
      </c>
      <c r="N6" s="4">
        <f>[1]MarinusPortland!T5</f>
        <v>109.29423228319799</v>
      </c>
      <c r="O6" s="4">
        <f>[1]MarinusPortland!U5</f>
        <v>103.33971562004956</v>
      </c>
      <c r="P6" s="4">
        <f>[1]MarinusPortland!V5</f>
        <v>110.92808533391742</v>
      </c>
      <c r="Q6" s="4">
        <f>[1]MarinusPortland!W5</f>
        <v>123.27395995593488</v>
      </c>
      <c r="R6" s="4">
        <f>[1]MarinusPortland!X5</f>
        <v>124.62044502223765</v>
      </c>
      <c r="S6" s="4">
        <f>[1]MarinusPortland!Y5</f>
        <v>131.32030947455343</v>
      </c>
      <c r="T6" s="4">
        <f>[1]MarinusPortland!Z5</f>
        <v>131.33007791205875</v>
      </c>
    </row>
    <row r="7" spans="2:20" x14ac:dyDescent="0.3">
      <c r="B7" s="5">
        <v>0.75</v>
      </c>
      <c r="C7" s="6">
        <f>[1]MarinusPortland!I6</f>
        <v>73.128478817265346</v>
      </c>
      <c r="D7" s="6">
        <f>[1]MarinusPortland!J6</f>
        <v>61.346919962387943</v>
      </c>
      <c r="E7" s="6">
        <f>[1]MarinusPortland!K6</f>
        <v>59.3000685359588</v>
      </c>
      <c r="F7" s="6">
        <f>[1]MarinusPortland!L6</f>
        <v>63.896938848016148</v>
      </c>
      <c r="G7" s="6">
        <f>[1]MarinusPortland!M6</f>
        <v>54.108439622802699</v>
      </c>
      <c r="H7" s="6">
        <f>[1]MarinusPortland!N6</f>
        <v>59.590733270497822</v>
      </c>
      <c r="I7" s="6">
        <f>[1]MarinusPortland!O6</f>
        <v>68.709185183163981</v>
      </c>
      <c r="J7" s="6">
        <f>[1]MarinusPortland!P6</f>
        <v>76.246382353645501</v>
      </c>
      <c r="K7" s="6">
        <f>[1]MarinusPortland!Q6</f>
        <v>73.217707371951491</v>
      </c>
      <c r="L7" s="6">
        <f>[1]MarinusPortland!R6</f>
        <v>78.686398889872578</v>
      </c>
      <c r="M7" s="6">
        <f>[1]MarinusPortland!S6</f>
        <v>80.764257263923085</v>
      </c>
      <c r="N7" s="6">
        <f>[1]MarinusPortland!T6</f>
        <v>95.260426432653688</v>
      </c>
      <c r="O7" s="6">
        <f>[1]MarinusPortland!U6</f>
        <v>90.554414773730642</v>
      </c>
      <c r="P7" s="6">
        <f>[1]MarinusPortland!V6</f>
        <v>97.540173958706234</v>
      </c>
      <c r="Q7" s="6">
        <f>[1]MarinusPortland!W6</f>
        <v>111.04411126930695</v>
      </c>
      <c r="R7" s="6">
        <f>[1]MarinusPortland!X6</f>
        <v>111.80061254873185</v>
      </c>
      <c r="S7" s="6">
        <f>[1]MarinusPortland!Y6</f>
        <v>120.72345425600935</v>
      </c>
      <c r="T7" s="6">
        <f>[1]MarinusPortland!Z6</f>
        <v>120.26683300966558</v>
      </c>
    </row>
    <row r="8" spans="2:20" x14ac:dyDescent="0.3">
      <c r="B8" s="7">
        <v>0.5</v>
      </c>
      <c r="C8" s="8">
        <f>[1]MarinusPortland!I7</f>
        <v>68.773225129745057</v>
      </c>
      <c r="D8" s="8">
        <f>[1]MarinusPortland!J7</f>
        <v>57.016264727537141</v>
      </c>
      <c r="E8" s="8">
        <f>[1]MarinusPortland!K7</f>
        <v>55.087489005463155</v>
      </c>
      <c r="F8" s="8">
        <f>[1]MarinusPortland!L7</f>
        <v>57.957886925455227</v>
      </c>
      <c r="G8" s="8">
        <f>[1]MarinusPortland!M7</f>
        <v>47.161002726036926</v>
      </c>
      <c r="H8" s="8">
        <f>[1]MarinusPortland!N7</f>
        <v>53.352117512858165</v>
      </c>
      <c r="I8" s="8">
        <f>[1]MarinusPortland!O7</f>
        <v>61.890787411348299</v>
      </c>
      <c r="J8" s="8">
        <f>[1]MarinusPortland!P7</f>
        <v>68.640693964099171</v>
      </c>
      <c r="K8" s="8">
        <f>[1]MarinusPortland!Q7</f>
        <v>66.806109139247823</v>
      </c>
      <c r="L8" s="8">
        <f>[1]MarinusPortland!R7</f>
        <v>71.460582474220217</v>
      </c>
      <c r="M8" s="8">
        <f>[1]MarinusPortland!S7</f>
        <v>72.843650215272248</v>
      </c>
      <c r="N8" s="8">
        <f>[1]MarinusPortland!T7</f>
        <v>85.560795943710445</v>
      </c>
      <c r="O8" s="8">
        <f>[1]MarinusPortland!U7</f>
        <v>81.014201224434487</v>
      </c>
      <c r="P8" s="8">
        <f>[1]MarinusPortland!V7</f>
        <v>87.931524270560033</v>
      </c>
      <c r="Q8" s="8">
        <f>[1]MarinusPortland!W7</f>
        <v>100.69631721826831</v>
      </c>
      <c r="R8" s="8">
        <f>[1]MarinusPortland!X7</f>
        <v>101.7299368689828</v>
      </c>
      <c r="S8" s="8">
        <f>[1]MarinusPortland!Y7</f>
        <v>111.20489686899862</v>
      </c>
      <c r="T8" s="8">
        <f>[1]MarinusPortland!Z7</f>
        <v>110.33075969850302</v>
      </c>
    </row>
    <row r="9" spans="2:20" x14ac:dyDescent="0.3">
      <c r="B9" s="5">
        <v>0.25</v>
      </c>
      <c r="C9" s="6">
        <f>[1]MarinusPortland!I8</f>
        <v>64.943146414702241</v>
      </c>
      <c r="D9" s="6">
        <f>[1]MarinusPortland!J8</f>
        <v>52.99948536162961</v>
      </c>
      <c r="E9" s="6">
        <f>[1]MarinusPortland!K8</f>
        <v>51.194895829640373</v>
      </c>
      <c r="F9" s="6">
        <f>[1]MarinusPortland!L8</f>
        <v>52.757339502548049</v>
      </c>
      <c r="G9" s="6">
        <f>[1]MarinusPortland!M8</f>
        <v>40.594464915198685</v>
      </c>
      <c r="H9" s="6">
        <f>[1]MarinusPortland!N8</f>
        <v>47.765565457691835</v>
      </c>
      <c r="I9" s="6">
        <f>[1]MarinusPortland!O8</f>
        <v>55.432599641251031</v>
      </c>
      <c r="J9" s="6">
        <f>[1]MarinusPortland!P8</f>
        <v>62.058812381806632</v>
      </c>
      <c r="K9" s="6">
        <f>[1]MarinusPortland!Q8</f>
        <v>60.819929122118417</v>
      </c>
      <c r="L9" s="6">
        <f>[1]MarinusPortland!R8</f>
        <v>64.963784836008941</v>
      </c>
      <c r="M9" s="6">
        <f>[1]MarinusPortland!S8</f>
        <v>65.930091316884898</v>
      </c>
      <c r="N9" s="6">
        <f>[1]MarinusPortland!T8</f>
        <v>76.889154242075833</v>
      </c>
      <c r="O9" s="6">
        <f>[1]MarinusPortland!U8</f>
        <v>72.731792632195052</v>
      </c>
      <c r="P9" s="6">
        <f>[1]MarinusPortland!V8</f>
        <v>77.773018378879641</v>
      </c>
      <c r="Q9" s="6">
        <f>[1]MarinusPortland!W8</f>
        <v>88.460578943416976</v>
      </c>
      <c r="R9" s="6">
        <f>[1]MarinusPortland!X8</f>
        <v>87.883867116801582</v>
      </c>
      <c r="S9" s="6">
        <f>[1]MarinusPortland!Y8</f>
        <v>95.32373227999571</v>
      </c>
      <c r="T9" s="6">
        <f>[1]MarinusPortland!Z8</f>
        <v>93.54458446053836</v>
      </c>
    </row>
    <row r="10" spans="2:20" x14ac:dyDescent="0.3">
      <c r="B10" s="3">
        <v>0.05</v>
      </c>
      <c r="C10" s="4">
        <f>[1]MarinusPortland!I9</f>
        <v>59.230195861869291</v>
      </c>
      <c r="D10" s="4">
        <f>[1]MarinusPortland!J9</f>
        <v>47.832877911962399</v>
      </c>
      <c r="E10" s="4">
        <f>[1]MarinusPortland!K9</f>
        <v>46.211916426806496</v>
      </c>
      <c r="F10" s="4">
        <f>[1]MarinusPortland!L9</f>
        <v>46.184768348285964</v>
      </c>
      <c r="G10" s="4">
        <f>[1]MarinusPortland!M9</f>
        <v>32.340675808231943</v>
      </c>
      <c r="H10" s="4">
        <f>[1]MarinusPortland!N9</f>
        <v>40.77914191104523</v>
      </c>
      <c r="I10" s="4">
        <f>[1]MarinusPortland!O9</f>
        <v>47.64985530555866</v>
      </c>
      <c r="J10" s="4">
        <f>[1]MarinusPortland!P9</f>
        <v>53.748735233941687</v>
      </c>
      <c r="K10" s="4">
        <f>[1]MarinusPortland!Q9</f>
        <v>53.352314555083161</v>
      </c>
      <c r="L10" s="4">
        <f>[1]MarinusPortland!R9</f>
        <v>56.255042683843605</v>
      </c>
      <c r="M10" s="4">
        <f>[1]MarinusPortland!S9</f>
        <v>56.873573459694057</v>
      </c>
      <c r="N10" s="4">
        <f>[1]MarinusPortland!T9</f>
        <v>66.962887677196832</v>
      </c>
      <c r="O10" s="4">
        <f>[1]MarinusPortland!U9</f>
        <v>62.585474901193471</v>
      </c>
      <c r="P10" s="4">
        <f>[1]MarinusPortland!V9</f>
        <v>65.310443547644439</v>
      </c>
      <c r="Q10" s="4">
        <f>[1]MarinusPortland!W9</f>
        <v>72.824224479373754</v>
      </c>
      <c r="R10" s="4">
        <f>[1]MarinusPortland!X9</f>
        <v>67.44867762582318</v>
      </c>
      <c r="S10" s="4">
        <f>[1]MarinusPortland!Y9</f>
        <v>71.741657959231929</v>
      </c>
      <c r="T10" s="4">
        <f>[1]MarinusPortland!Z9</f>
        <v>67.985097975797387</v>
      </c>
    </row>
    <row r="11" spans="2:20" x14ac:dyDescent="0.3">
      <c r="B11" s="3">
        <v>0</v>
      </c>
      <c r="C11" s="4">
        <f>[1]MarinusPortland!I10</f>
        <v>46.440214040396192</v>
      </c>
      <c r="D11" s="4">
        <f>[1]MarinusPortland!J10</f>
        <v>38.78032319460722</v>
      </c>
      <c r="E11" s="4">
        <f>[1]MarinusPortland!K10</f>
        <v>37.38873755368855</v>
      </c>
      <c r="F11" s="4">
        <f>[1]MarinusPortland!L10</f>
        <v>36.186495184038655</v>
      </c>
      <c r="G11" s="4">
        <f>[1]MarinusPortland!M10</f>
        <v>18.141546435732376</v>
      </c>
      <c r="H11" s="4">
        <f>[1]MarinusPortland!N10</f>
        <v>26.388898233961289</v>
      </c>
      <c r="I11" s="4">
        <f>[1]MarinusPortland!O10</f>
        <v>28.808557335251987</v>
      </c>
      <c r="J11" s="4">
        <f>[1]MarinusPortland!P10</f>
        <v>39.461059677137101</v>
      </c>
      <c r="K11" s="4">
        <f>[1]MarinusPortland!Q10</f>
        <v>40.977401812052378</v>
      </c>
      <c r="L11" s="4">
        <f>[1]MarinusPortland!R10</f>
        <v>39.506976014373073</v>
      </c>
      <c r="M11" s="4">
        <f>[1]MarinusPortland!S10</f>
        <v>44.527449176308679</v>
      </c>
      <c r="N11" s="4">
        <f>[1]MarinusPortland!T10</f>
        <v>50.822950816249438</v>
      </c>
      <c r="O11" s="4">
        <f>[1]MarinusPortland!U10</f>
        <v>47.989531908222041</v>
      </c>
      <c r="P11" s="4">
        <f>[1]MarinusPortland!V10</f>
        <v>47.2715104185462</v>
      </c>
      <c r="Q11" s="4">
        <f>[1]MarinusPortland!W10</f>
        <v>54.338346415940535</v>
      </c>
      <c r="R11" s="4">
        <f>[1]MarinusPortland!X10</f>
        <v>49.63568554087999</v>
      </c>
      <c r="S11" s="4">
        <f>[1]MarinusPortland!Y10</f>
        <v>53.005800391576187</v>
      </c>
      <c r="T11" s="4">
        <f>[1]MarinusPortland!Z10</f>
        <v>45.535948106804469</v>
      </c>
    </row>
    <row r="12" spans="2:20" x14ac:dyDescent="0.3">
      <c r="B12" s="9" t="s">
        <v>19</v>
      </c>
      <c r="C12" s="6">
        <f>[1]MarinusPortland!I11</f>
        <v>69.328048122688358</v>
      </c>
      <c r="D12" s="6">
        <f>[1]MarinusPortland!J11</f>
        <v>57.373235474775356</v>
      </c>
      <c r="E12" s="6">
        <f>[1]MarinusPortland!K11</f>
        <v>55.448094987366595</v>
      </c>
      <c r="F12" s="6">
        <f>[1]MarinusPortland!L11</f>
        <v>58.591453324230592</v>
      </c>
      <c r="G12" s="6">
        <f>[1]MarinusPortland!M11</f>
        <v>47.688517051725704</v>
      </c>
      <c r="H12" s="6">
        <f>[1]MarinusPortland!N11</f>
        <v>53.971698808006771</v>
      </c>
      <c r="I12" s="6">
        <f>[1]MarinusPortland!O11</f>
        <v>62.430303788703753</v>
      </c>
      <c r="J12" s="6">
        <f>[1]MarinusPortland!P11</f>
        <v>69.457782001858973</v>
      </c>
      <c r="K12" s="6">
        <f>[1]MarinusPortland!Q11</f>
        <v>67.288969321222993</v>
      </c>
      <c r="L12" s="6">
        <f>[1]MarinusPortland!R11</f>
        <v>72.002916021385531</v>
      </c>
      <c r="M12" s="6">
        <f>[1]MarinusPortland!S11</f>
        <v>73.542412369373764</v>
      </c>
      <c r="N12" s="6">
        <f>[1]MarinusPortland!T11</f>
        <v>86.470975680121683</v>
      </c>
      <c r="O12" s="6">
        <f>[1]MarinusPortland!U11</f>
        <v>81.936872211126868</v>
      </c>
      <c r="P12" s="6">
        <f>[1]MarinusPortland!V11</f>
        <v>87.943985523791852</v>
      </c>
      <c r="Q12" s="6">
        <f>[1]MarinusPortland!W11</f>
        <v>99.572048222044899</v>
      </c>
      <c r="R12" s="6">
        <f>[1]MarinusPortland!X11</f>
        <v>99.337349711943887</v>
      </c>
      <c r="S12" s="6">
        <f>[1]MarinusPortland!Y11</f>
        <v>107.22009367930312</v>
      </c>
      <c r="T12" s="6">
        <f>[1]MarinusPortland!Z11</f>
        <v>105.89670340887351</v>
      </c>
    </row>
    <row r="15" spans="2:20" x14ac:dyDescent="0.3">
      <c r="B15" s="1" t="s">
        <v>23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4">
        <f>AVERAGEIFS(WindFarmRevenue!$E:$E,WindFarmRevenue!$B:$B,'Spot Prices'!C$16,WindFarmRevenue!$C:$C,'Spot Prices'!$B17,WindFarmRevenue!$D:$D,'Spot Prices'!$B$15)</f>
        <v>101.64016599999999</v>
      </c>
      <c r="D17" s="4">
        <f>AVERAGEIFS(WindFarmRevenue!$E:$E,WindFarmRevenue!$B:$B,'Spot Prices'!D$16,WindFarmRevenue!$C:$C,'Spot Prices'!$B17,WindFarmRevenue!$D:$D,'Spot Prices'!$B$15)</f>
        <v>83.320244000000002</v>
      </c>
      <c r="E17" s="4">
        <f>AVERAGEIFS(WindFarmRevenue!$E:$E,WindFarmRevenue!$B:$B,'Spot Prices'!E$16,WindFarmRevenue!$C:$C,'Spot Prices'!$B17,WindFarmRevenue!$D:$D,'Spot Prices'!$B$15)</f>
        <v>84.216891000000004</v>
      </c>
      <c r="F17" s="4">
        <f>AVERAGEIFS(WindFarmRevenue!$E:$E,WindFarmRevenue!$B:$B,'Spot Prices'!F$16,WindFarmRevenue!$C:$C,'Spot Prices'!$B17,WindFarmRevenue!$D:$D,'Spot Prices'!$B$15)</f>
        <v>103.055848</v>
      </c>
      <c r="G17" s="4">
        <f>AVERAGEIFS(WindFarmRevenue!$E:$E,WindFarmRevenue!$B:$B,'Spot Prices'!G$16,WindFarmRevenue!$C:$C,'Spot Prices'!$B17,WindFarmRevenue!$D:$D,'Spot Prices'!$B$15)</f>
        <v>100.07131200000001</v>
      </c>
      <c r="H17" s="4">
        <f>AVERAGEIFS(WindFarmRevenue!$E:$E,WindFarmRevenue!$B:$B,'Spot Prices'!H$16,WindFarmRevenue!$C:$C,'Spot Prices'!$B17,WindFarmRevenue!$D:$D,'Spot Prices'!$B$15)</f>
        <v>99.251519000000002</v>
      </c>
      <c r="I17" s="4">
        <f>AVERAGEIFS(WindFarmRevenue!$E:$E,WindFarmRevenue!$B:$B,'Spot Prices'!I$16,WindFarmRevenue!$C:$C,'Spot Prices'!$B17,WindFarmRevenue!$D:$D,'Spot Prices'!$B$15)</f>
        <v>112.256882</v>
      </c>
      <c r="J17" s="4">
        <f>AVERAGEIFS(WindFarmRevenue!$E:$E,WindFarmRevenue!$B:$B,'Spot Prices'!J$16,WindFarmRevenue!$C:$C,'Spot Prices'!$B17,WindFarmRevenue!$D:$D,'Spot Prices'!$B$15)</f>
        <v>114.558939</v>
      </c>
      <c r="K17" s="4">
        <f>AVERAGEIFS(WindFarmRevenue!$E:$E,WindFarmRevenue!$B:$B,'Spot Prices'!K$16,WindFarmRevenue!$C:$C,'Spot Prices'!$B17,WindFarmRevenue!$D:$D,'Spot Prices'!$B$15)</f>
        <v>112.545427</v>
      </c>
      <c r="L17" s="4">
        <f>AVERAGEIFS(WindFarmRevenue!$E:$E,WindFarmRevenue!$B:$B,'Spot Prices'!L$16,WindFarmRevenue!$C:$C,'Spot Prices'!$B17,WindFarmRevenue!$D:$D,'Spot Prices'!$B$15)</f>
        <v>123.077883</v>
      </c>
      <c r="M17" s="4">
        <f>AVERAGEIFS(WindFarmRevenue!$E:$E,WindFarmRevenue!$B:$B,'Spot Prices'!M$16,WindFarmRevenue!$C:$C,'Spot Prices'!$B17,WindFarmRevenue!$D:$D,'Spot Prices'!$B$15)</f>
        <v>127.19864</v>
      </c>
      <c r="N17" s="4">
        <f>AVERAGEIFS(WindFarmRevenue!$E:$E,WindFarmRevenue!$B:$B,'Spot Prices'!N$16,WindFarmRevenue!$C:$C,'Spot Prices'!$B17,WindFarmRevenue!$D:$D,'Spot Prices'!$B$15)</f>
        <v>142.00245000000001</v>
      </c>
      <c r="O17" s="4">
        <f>AVERAGEIFS(WindFarmRevenue!$E:$E,WindFarmRevenue!$B:$B,'Spot Prices'!O$16,WindFarmRevenue!$C:$C,'Spot Prices'!$B17,WindFarmRevenue!$D:$D,'Spot Prices'!$B$15)</f>
        <v>144.117391</v>
      </c>
      <c r="P17" s="18">
        <f>P5/O5*O17</f>
        <v>150.82308438434509</v>
      </c>
      <c r="Q17" s="18">
        <f>Q5/P5*P17</f>
        <v>166.19667433168203</v>
      </c>
      <c r="R17" s="18">
        <f>R5/Q5*Q17</f>
        <v>165.38601377504526</v>
      </c>
      <c r="S17" s="18">
        <f>S5/R5*R17</f>
        <v>171.56803489058612</v>
      </c>
      <c r="T17" s="18">
        <f>T5/S5*S17</f>
        <v>169.59360028931442</v>
      </c>
    </row>
    <row r="18" spans="2:20" x14ac:dyDescent="0.3">
      <c r="B18" s="3">
        <v>0.95</v>
      </c>
      <c r="C18" s="4">
        <f>AVERAGEIFS(WindFarmRevenue!$E:$E,WindFarmRevenue!$B:$B,'Spot Prices'!C$16,WindFarmRevenue!$C:$C,'Spot Prices'!$B18,WindFarmRevenue!$D:$D,'Spot Prices'!$B$15)</f>
        <v>81.426055000000005</v>
      </c>
      <c r="D18" s="4">
        <f>AVERAGEIFS(WindFarmRevenue!$E:$E,WindFarmRevenue!$B:$B,'Spot Prices'!D$16,WindFarmRevenue!$C:$C,'Spot Prices'!$B18,WindFarmRevenue!$D:$D,'Spot Prices'!$B$15)</f>
        <v>68.048587999999995</v>
      </c>
      <c r="E18" s="4">
        <f>AVERAGEIFS(WindFarmRevenue!$E:$E,WindFarmRevenue!$B:$B,'Spot Prices'!E$16,WindFarmRevenue!$C:$C,'Spot Prices'!$B18,WindFarmRevenue!$D:$D,'Spot Prices'!$B$15)</f>
        <v>65.695255000000003</v>
      </c>
      <c r="F18" s="4">
        <f>AVERAGEIFS(WindFarmRevenue!$E:$E,WindFarmRevenue!$B:$B,'Spot Prices'!F$16,WindFarmRevenue!$C:$C,'Spot Prices'!$B18,WindFarmRevenue!$D:$D,'Spot Prices'!$B$15)</f>
        <v>83.344291999999996</v>
      </c>
      <c r="G18" s="4">
        <f>AVERAGEIFS(WindFarmRevenue!$E:$E,WindFarmRevenue!$B:$B,'Spot Prices'!G$16,WindFarmRevenue!$C:$C,'Spot Prices'!$B18,WindFarmRevenue!$D:$D,'Spot Prices'!$B$15)</f>
        <v>83.234926999999999</v>
      </c>
      <c r="H18" s="4">
        <f>AVERAGEIFS(WindFarmRevenue!$E:$E,WindFarmRevenue!$B:$B,'Spot Prices'!H$16,WindFarmRevenue!$C:$C,'Spot Prices'!$B18,WindFarmRevenue!$D:$D,'Spot Prices'!$B$15)</f>
        <v>82.376800000000003</v>
      </c>
      <c r="I18" s="4">
        <f>AVERAGEIFS(WindFarmRevenue!$E:$E,WindFarmRevenue!$B:$B,'Spot Prices'!I$16,WindFarmRevenue!$C:$C,'Spot Prices'!$B18,WindFarmRevenue!$D:$D,'Spot Prices'!$B$15)</f>
        <v>89.705406999999994</v>
      </c>
      <c r="J18" s="4">
        <f>AVERAGEIFS(WindFarmRevenue!$E:$E,WindFarmRevenue!$B:$B,'Spot Prices'!J$16,WindFarmRevenue!$C:$C,'Spot Prices'!$B18,WindFarmRevenue!$D:$D,'Spot Prices'!$B$15)</f>
        <v>94.47967899999999</v>
      </c>
      <c r="K18" s="4">
        <f>AVERAGEIFS(WindFarmRevenue!$E:$E,WindFarmRevenue!$B:$B,'Spot Prices'!K$16,WindFarmRevenue!$C:$C,'Spot Prices'!$B18,WindFarmRevenue!$D:$D,'Spot Prices'!$B$15)</f>
        <v>93.291537000000005</v>
      </c>
      <c r="L18" s="4">
        <f>AVERAGEIFS(WindFarmRevenue!$E:$E,WindFarmRevenue!$B:$B,'Spot Prices'!L$16,WindFarmRevenue!$C:$C,'Spot Prices'!$B18,WindFarmRevenue!$D:$D,'Spot Prices'!$B$15)</f>
        <v>99.831879999999998</v>
      </c>
      <c r="M18" s="4">
        <f>AVERAGEIFS(WindFarmRevenue!$E:$E,WindFarmRevenue!$B:$B,'Spot Prices'!M$16,WindFarmRevenue!$C:$C,'Spot Prices'!$B18,WindFarmRevenue!$D:$D,'Spot Prices'!$B$15)</f>
        <v>105.53898599999998</v>
      </c>
      <c r="N18" s="4">
        <f>AVERAGEIFS(WindFarmRevenue!$E:$E,WindFarmRevenue!$B:$B,'Spot Prices'!N$16,WindFarmRevenue!$C:$C,'Spot Prices'!$B18,WindFarmRevenue!$D:$D,'Spot Prices'!$B$15)</f>
        <v>117.60128899999999</v>
      </c>
      <c r="O18" s="4">
        <f>AVERAGEIFS(WindFarmRevenue!$E:$E,WindFarmRevenue!$B:$B,'Spot Prices'!O$16,WindFarmRevenue!$C:$C,'Spot Prices'!$B18,WindFarmRevenue!$D:$D,'Spot Prices'!$B$15)</f>
        <v>117.74242499999998</v>
      </c>
      <c r="P18" s="18">
        <f t="shared" ref="P18:T24" si="0">P6/O6*O18</f>
        <v>126.38840439472177</v>
      </c>
      <c r="Q18" s="18">
        <f t="shared" si="0"/>
        <v>140.45495381398752</v>
      </c>
      <c r="R18" s="18">
        <f t="shared" si="0"/>
        <v>141.9891018032821</v>
      </c>
      <c r="S18" s="18">
        <f t="shared" si="0"/>
        <v>149.62274278103899</v>
      </c>
      <c r="T18" s="18">
        <f t="shared" si="0"/>
        <v>149.6338726696151</v>
      </c>
    </row>
    <row r="19" spans="2:20" x14ac:dyDescent="0.3">
      <c r="B19" s="5">
        <v>0.75</v>
      </c>
      <c r="C19" s="6">
        <f>AVERAGEIFS(WindFarmRevenue!$E:$E,WindFarmRevenue!$B:$B,'Spot Prices'!C$16,WindFarmRevenue!$C:$C,'Spot Prices'!$B19,WindFarmRevenue!$D:$D,'Spot Prices'!$B$15)</f>
        <v>73.055002999999999</v>
      </c>
      <c r="D19" s="6">
        <f>AVERAGEIFS(WindFarmRevenue!$E:$E,WindFarmRevenue!$B:$B,'Spot Prices'!D$16,WindFarmRevenue!$C:$C,'Spot Prices'!$B19,WindFarmRevenue!$D:$D,'Spot Prices'!$B$15)</f>
        <v>61.305331000000002</v>
      </c>
      <c r="E19" s="6">
        <f>AVERAGEIFS(WindFarmRevenue!$E:$E,WindFarmRevenue!$B:$B,'Spot Prices'!E$16,WindFarmRevenue!$C:$C,'Spot Prices'!$B19,WindFarmRevenue!$D:$D,'Spot Prices'!$B$15)</f>
        <v>59.308487999999997</v>
      </c>
      <c r="F19" s="6">
        <f>AVERAGEIFS(WindFarmRevenue!$E:$E,WindFarmRevenue!$B:$B,'Spot Prices'!F$16,WindFarmRevenue!$C:$C,'Spot Prices'!$B19,WindFarmRevenue!$D:$D,'Spot Prices'!$B$15)</f>
        <v>74.834973000000005</v>
      </c>
      <c r="G19" s="6">
        <f>AVERAGEIFS(WindFarmRevenue!$E:$E,WindFarmRevenue!$B:$B,'Spot Prices'!G$16,WindFarmRevenue!$C:$C,'Spot Prices'!$B19,WindFarmRevenue!$D:$D,'Spot Prices'!$B$15)</f>
        <v>75.046707999999995</v>
      </c>
      <c r="H19" s="6">
        <f>AVERAGEIFS(WindFarmRevenue!$E:$E,WindFarmRevenue!$B:$B,'Spot Prices'!H$16,WindFarmRevenue!$C:$C,'Spot Prices'!$B19,WindFarmRevenue!$D:$D,'Spot Prices'!$B$15)</f>
        <v>74.481604000000004</v>
      </c>
      <c r="I19" s="6">
        <f>AVERAGEIFS(WindFarmRevenue!$E:$E,WindFarmRevenue!$B:$B,'Spot Prices'!I$16,WindFarmRevenue!$C:$C,'Spot Prices'!$B19,WindFarmRevenue!$D:$D,'Spot Prices'!$B$15)</f>
        <v>80.194370000000006</v>
      </c>
      <c r="J19" s="6">
        <f>AVERAGEIFS(WindFarmRevenue!$E:$E,WindFarmRevenue!$B:$B,'Spot Prices'!J$16,WindFarmRevenue!$C:$C,'Spot Prices'!$B19,WindFarmRevenue!$D:$D,'Spot Prices'!$B$15)</f>
        <v>84.677169000000006</v>
      </c>
      <c r="K19" s="6">
        <f>AVERAGEIFS(WindFarmRevenue!$E:$E,WindFarmRevenue!$B:$B,'Spot Prices'!K$16,WindFarmRevenue!$C:$C,'Spot Prices'!$B19,WindFarmRevenue!$D:$D,'Spot Prices'!$B$15)</f>
        <v>84.558847999999998</v>
      </c>
      <c r="L19" s="6">
        <f>AVERAGEIFS(WindFarmRevenue!$E:$E,WindFarmRevenue!$B:$B,'Spot Prices'!L$16,WindFarmRevenue!$C:$C,'Spot Prices'!$B19,WindFarmRevenue!$D:$D,'Spot Prices'!$B$15)</f>
        <v>90.089481000000006</v>
      </c>
      <c r="M19" s="6">
        <f>AVERAGEIFS(WindFarmRevenue!$E:$E,WindFarmRevenue!$B:$B,'Spot Prices'!M$16,WindFarmRevenue!$C:$C,'Spot Prices'!$B19,WindFarmRevenue!$D:$D,'Spot Prices'!$B$15)</f>
        <v>95.112753999999995</v>
      </c>
      <c r="N19" s="6">
        <f>AVERAGEIFS(WindFarmRevenue!$E:$E,WindFarmRevenue!$B:$B,'Spot Prices'!N$16,WindFarmRevenue!$C:$C,'Spot Prices'!$B19,WindFarmRevenue!$D:$D,'Spot Prices'!$B$15)</f>
        <v>104.10735699999999</v>
      </c>
      <c r="O19" s="6">
        <f>AVERAGEIFS(WindFarmRevenue!$E:$E,WindFarmRevenue!$B:$B,'Spot Prices'!O$16,WindFarmRevenue!$C:$C,'Spot Prices'!$B19,WindFarmRevenue!$D:$D,'Spot Prices'!$B$15)</f>
        <v>104.991635</v>
      </c>
      <c r="P19" s="70">
        <f t="shared" si="0"/>
        <v>113.0911437912558</v>
      </c>
      <c r="Q19" s="70">
        <f t="shared" si="0"/>
        <v>128.74803319549022</v>
      </c>
      <c r="R19" s="70">
        <f t="shared" si="0"/>
        <v>129.62514455891602</v>
      </c>
      <c r="S19" s="70">
        <f t="shared" si="0"/>
        <v>139.97056771729112</v>
      </c>
      <c r="T19" s="70">
        <f t="shared" si="0"/>
        <v>139.44114669072755</v>
      </c>
    </row>
    <row r="20" spans="2:20" x14ac:dyDescent="0.3">
      <c r="B20" s="7">
        <v>0.5</v>
      </c>
      <c r="C20" s="71">
        <f>AVERAGEIFS(WindFarmRevenue!$E:$E,WindFarmRevenue!$B:$B,'Spot Prices'!C$16,WindFarmRevenue!$C:$C,'Spot Prices'!$B20,WindFarmRevenue!$D:$D,'Spot Prices'!$B$15)</f>
        <v>68.796383000000006</v>
      </c>
      <c r="D20" s="71">
        <f>AVERAGEIFS(WindFarmRevenue!$E:$E,WindFarmRevenue!$B:$B,'Spot Prices'!D$16,WindFarmRevenue!$C:$C,'Spot Prices'!$B20,WindFarmRevenue!$D:$D,'Spot Prices'!$B$15)</f>
        <v>57.054319999999997</v>
      </c>
      <c r="E20" s="71">
        <f>AVERAGEIFS(WindFarmRevenue!$E:$E,WindFarmRevenue!$B:$B,'Spot Prices'!E$16,WindFarmRevenue!$C:$C,'Spot Prices'!$B20,WindFarmRevenue!$D:$D,'Spot Prices'!$B$15)</f>
        <v>55.139476000000002</v>
      </c>
      <c r="F20" s="71">
        <f>AVERAGEIFS(WindFarmRevenue!$E:$E,WindFarmRevenue!$B:$B,'Spot Prices'!F$16,WindFarmRevenue!$C:$C,'Spot Prices'!$B20,WindFarmRevenue!$D:$D,'Spot Prices'!$B$15)</f>
        <v>68.844476</v>
      </c>
      <c r="G20" s="71">
        <f>AVERAGEIFS(WindFarmRevenue!$E:$E,WindFarmRevenue!$B:$B,'Spot Prices'!G$16,WindFarmRevenue!$C:$C,'Spot Prices'!$B20,WindFarmRevenue!$D:$D,'Spot Prices'!$B$15)</f>
        <v>69.203605999999994</v>
      </c>
      <c r="H20" s="71">
        <f>AVERAGEIFS(WindFarmRevenue!$E:$E,WindFarmRevenue!$B:$B,'Spot Prices'!H$16,WindFarmRevenue!$C:$C,'Spot Prices'!$B20,WindFarmRevenue!$D:$D,'Spot Prices'!$B$15)</f>
        <v>68.845153999999994</v>
      </c>
      <c r="I20" s="71">
        <f>AVERAGEIFS(WindFarmRevenue!$E:$E,WindFarmRevenue!$B:$B,'Spot Prices'!I$16,WindFarmRevenue!$C:$C,'Spot Prices'!$B20,WindFarmRevenue!$D:$D,'Spot Prices'!$B$15)</f>
        <v>73.234859999999998</v>
      </c>
      <c r="J20" s="71">
        <f>AVERAGEIFS(WindFarmRevenue!$E:$E,WindFarmRevenue!$B:$B,'Spot Prices'!J$16,WindFarmRevenue!$C:$C,'Spot Prices'!$B20,WindFarmRevenue!$D:$D,'Spot Prices'!$B$15)</f>
        <v>77.174227000000002</v>
      </c>
      <c r="K20" s="71">
        <f>AVERAGEIFS(WindFarmRevenue!$E:$E,WindFarmRevenue!$B:$B,'Spot Prices'!K$16,WindFarmRevenue!$C:$C,'Spot Prices'!$B20,WindFarmRevenue!$D:$D,'Spot Prices'!$B$15)</f>
        <v>77.813793000000004</v>
      </c>
      <c r="L20" s="71">
        <f>AVERAGEIFS(WindFarmRevenue!$E:$E,WindFarmRevenue!$B:$B,'Spot Prices'!L$16,WindFarmRevenue!$C:$C,'Spot Prices'!$B20,WindFarmRevenue!$D:$D,'Spot Prices'!$B$15)</f>
        <v>82.661062999999999</v>
      </c>
      <c r="M20" s="71">
        <f>AVERAGEIFS(WindFarmRevenue!$E:$E,WindFarmRevenue!$B:$B,'Spot Prices'!M$16,WindFarmRevenue!$C:$C,'Spot Prices'!$B20,WindFarmRevenue!$D:$D,'Spot Prices'!$B$15)</f>
        <v>87.280690000000007</v>
      </c>
      <c r="N20" s="71">
        <f>AVERAGEIFS(WindFarmRevenue!$E:$E,WindFarmRevenue!$B:$B,'Spot Prices'!N$16,WindFarmRevenue!$C:$C,'Spot Prices'!$B20,WindFarmRevenue!$D:$D,'Spot Prices'!$B$15)</f>
        <v>94.091618999999994</v>
      </c>
      <c r="O20" s="71">
        <f>AVERAGEIFS(WindFarmRevenue!$E:$E,WindFarmRevenue!$B:$B,'Spot Prices'!O$16,WindFarmRevenue!$C:$C,'Spot Prices'!$B20,WindFarmRevenue!$D:$D,'Spot Prices'!$B$15)</f>
        <v>95.676122000000007</v>
      </c>
      <c r="P20" s="72">
        <f t="shared" si="0"/>
        <v>103.84533966396322</v>
      </c>
      <c r="Q20" s="72">
        <f t="shared" si="0"/>
        <v>118.92030021299506</v>
      </c>
      <c r="R20" s="72">
        <f t="shared" si="0"/>
        <v>120.14098397348039</v>
      </c>
      <c r="S20" s="72">
        <f t="shared" si="0"/>
        <v>131.3307188002828</v>
      </c>
      <c r="T20" s="72">
        <f t="shared" si="0"/>
        <v>130.29838060148504</v>
      </c>
    </row>
    <row r="21" spans="2:20" x14ac:dyDescent="0.3">
      <c r="B21" s="5">
        <v>0.25</v>
      </c>
      <c r="C21" s="6">
        <f>AVERAGEIFS(WindFarmRevenue!$E:$E,WindFarmRevenue!$B:$B,'Spot Prices'!C$16,WindFarmRevenue!$C:$C,'Spot Prices'!$B21,WindFarmRevenue!$D:$D,'Spot Prices'!$B$15)</f>
        <v>64.996095999999994</v>
      </c>
      <c r="D21" s="6">
        <f>AVERAGEIFS(WindFarmRevenue!$E:$E,WindFarmRevenue!$B:$B,'Spot Prices'!D$16,WindFarmRevenue!$C:$C,'Spot Prices'!$B21,WindFarmRevenue!$D:$D,'Spot Prices'!$B$15)</f>
        <v>53.036037</v>
      </c>
      <c r="E21" s="6">
        <f>AVERAGEIFS(WindFarmRevenue!$E:$E,WindFarmRevenue!$B:$B,'Spot Prices'!E$16,WindFarmRevenue!$C:$C,'Spot Prices'!$B21,WindFarmRevenue!$D:$D,'Spot Prices'!$B$15)</f>
        <v>51.240394000000002</v>
      </c>
      <c r="F21" s="6">
        <f>AVERAGEIFS(WindFarmRevenue!$E:$E,WindFarmRevenue!$B:$B,'Spot Prices'!F$16,WindFarmRevenue!$C:$C,'Spot Prices'!$B21,WindFarmRevenue!$D:$D,'Spot Prices'!$B$15)</f>
        <v>63.623168999999997</v>
      </c>
      <c r="G21" s="6">
        <f>AVERAGEIFS(WindFarmRevenue!$E:$E,WindFarmRevenue!$B:$B,'Spot Prices'!G$16,WindFarmRevenue!$C:$C,'Spot Prices'!$B21,WindFarmRevenue!$D:$D,'Spot Prices'!$B$15)</f>
        <v>63.841630000000002</v>
      </c>
      <c r="H21" s="6">
        <f>AVERAGEIFS(WindFarmRevenue!$E:$E,WindFarmRevenue!$B:$B,'Spot Prices'!H$16,WindFarmRevenue!$C:$C,'Spot Prices'!$B21,WindFarmRevenue!$D:$D,'Spot Prices'!$B$15)</f>
        <v>63.402752999999997</v>
      </c>
      <c r="I21" s="6">
        <f>AVERAGEIFS(WindFarmRevenue!$E:$E,WindFarmRevenue!$B:$B,'Spot Prices'!I$16,WindFarmRevenue!$C:$C,'Spot Prices'!$B21,WindFarmRevenue!$D:$D,'Spot Prices'!$B$15)</f>
        <v>67.016811000000004</v>
      </c>
      <c r="J21" s="6">
        <f>AVERAGEIFS(WindFarmRevenue!$E:$E,WindFarmRevenue!$B:$B,'Spot Prices'!J$16,WindFarmRevenue!$C:$C,'Spot Prices'!$B21,WindFarmRevenue!$D:$D,'Spot Prices'!$B$15)</f>
        <v>70.592702000000003</v>
      </c>
      <c r="K21" s="6">
        <f>AVERAGEIFS(WindFarmRevenue!$E:$E,WindFarmRevenue!$B:$B,'Spot Prices'!K$16,WindFarmRevenue!$C:$C,'Spot Prices'!$B21,WindFarmRevenue!$D:$D,'Spot Prices'!$B$15)</f>
        <v>71.393403000000006</v>
      </c>
      <c r="L21" s="6">
        <f>AVERAGEIFS(WindFarmRevenue!$E:$E,WindFarmRevenue!$B:$B,'Spot Prices'!L$16,WindFarmRevenue!$C:$C,'Spot Prices'!$B21,WindFarmRevenue!$D:$D,'Spot Prices'!$B$15)</f>
        <v>75.541539999999998</v>
      </c>
      <c r="M21" s="6">
        <f>AVERAGEIFS(WindFarmRevenue!$E:$E,WindFarmRevenue!$B:$B,'Spot Prices'!M$16,WindFarmRevenue!$C:$C,'Spot Prices'!$B21,WindFarmRevenue!$D:$D,'Spot Prices'!$B$15)</f>
        <v>79.576454999999996</v>
      </c>
      <c r="N21" s="6">
        <f>AVERAGEIFS(WindFarmRevenue!$E:$E,WindFarmRevenue!$B:$B,'Spot Prices'!N$16,WindFarmRevenue!$C:$C,'Spot Prices'!$B21,WindFarmRevenue!$D:$D,'Spot Prices'!$B$15)</f>
        <v>85.151562999999996</v>
      </c>
      <c r="O21" s="6">
        <f>AVERAGEIFS(WindFarmRevenue!$E:$E,WindFarmRevenue!$B:$B,'Spot Prices'!O$16,WindFarmRevenue!$C:$C,'Spot Prices'!$B21,WindFarmRevenue!$D:$D,'Spot Prices'!$B$15)</f>
        <v>86.565326999999996</v>
      </c>
      <c r="P21" s="70">
        <f t="shared" si="0"/>
        <v>92.565390238499049</v>
      </c>
      <c r="Q21" s="70">
        <f t="shared" si="0"/>
        <v>105.2857170944598</v>
      </c>
      <c r="R21" s="70">
        <f t="shared" si="0"/>
        <v>104.59931509543043</v>
      </c>
      <c r="S21" s="70">
        <f t="shared" si="0"/>
        <v>113.45423723305315</v>
      </c>
      <c r="T21" s="70">
        <f t="shared" si="0"/>
        <v>111.3366967847996</v>
      </c>
    </row>
    <row r="22" spans="2:20" x14ac:dyDescent="0.3">
      <c r="B22" s="3">
        <v>0.05</v>
      </c>
      <c r="C22" s="4">
        <f>AVERAGEIFS(WindFarmRevenue!$E:$E,WindFarmRevenue!$B:$B,'Spot Prices'!C$16,WindFarmRevenue!$C:$C,'Spot Prices'!$B22,WindFarmRevenue!$D:$D,'Spot Prices'!$B$15)</f>
        <v>59.272660000000002</v>
      </c>
      <c r="D22" s="4">
        <f>AVERAGEIFS(WindFarmRevenue!$E:$E,WindFarmRevenue!$B:$B,'Spot Prices'!D$16,WindFarmRevenue!$C:$C,'Spot Prices'!$B22,WindFarmRevenue!$D:$D,'Spot Prices'!$B$15)</f>
        <v>47.900733000000002</v>
      </c>
      <c r="E22" s="4">
        <f>AVERAGEIFS(WindFarmRevenue!$E:$E,WindFarmRevenue!$B:$B,'Spot Prices'!E$16,WindFarmRevenue!$C:$C,'Spot Prices'!$B22,WindFarmRevenue!$D:$D,'Spot Prices'!$B$15)</f>
        <v>46.291696000000002</v>
      </c>
      <c r="F22" s="4">
        <f>AVERAGEIFS(WindFarmRevenue!$E:$E,WindFarmRevenue!$B:$B,'Spot Prices'!F$16,WindFarmRevenue!$C:$C,'Spot Prices'!$B22,WindFarmRevenue!$D:$D,'Spot Prices'!$B$15)</f>
        <v>57.353941999999996</v>
      </c>
      <c r="G22" s="4">
        <f>AVERAGEIFS(WindFarmRevenue!$E:$E,WindFarmRevenue!$B:$B,'Spot Prices'!G$16,WindFarmRevenue!$C:$C,'Spot Prices'!$B22,WindFarmRevenue!$D:$D,'Spot Prices'!$B$15)</f>
        <v>57.328028999999994</v>
      </c>
      <c r="H22" s="4">
        <f>AVERAGEIFS(WindFarmRevenue!$E:$E,WindFarmRevenue!$B:$B,'Spot Prices'!H$16,WindFarmRevenue!$C:$C,'Spot Prices'!$B22,WindFarmRevenue!$D:$D,'Spot Prices'!$B$15)</f>
        <v>56.730262000000003</v>
      </c>
      <c r="I22" s="4">
        <f>AVERAGEIFS(WindFarmRevenue!$E:$E,WindFarmRevenue!$B:$B,'Spot Prices'!I$16,WindFarmRevenue!$C:$C,'Spot Prices'!$B22,WindFarmRevenue!$D:$D,'Spot Prices'!$B$15)</f>
        <v>59.754199</v>
      </c>
      <c r="J22" s="4">
        <f>AVERAGEIFS(WindFarmRevenue!$E:$E,WindFarmRevenue!$B:$B,'Spot Prices'!J$16,WindFarmRevenue!$C:$C,'Spot Prices'!$B22,WindFarmRevenue!$D:$D,'Spot Prices'!$B$15)</f>
        <v>62.775620000000004</v>
      </c>
      <c r="K22" s="4">
        <f>AVERAGEIFS(WindFarmRevenue!$E:$E,WindFarmRevenue!$B:$B,'Spot Prices'!K$16,WindFarmRevenue!$C:$C,'Spot Prices'!$B22,WindFarmRevenue!$D:$D,'Spot Prices'!$B$15)</f>
        <v>63.622874000000003</v>
      </c>
      <c r="L22" s="4">
        <f>AVERAGEIFS(WindFarmRevenue!$E:$E,WindFarmRevenue!$B:$B,'Spot Prices'!L$16,WindFarmRevenue!$C:$C,'Spot Prices'!$B22,WindFarmRevenue!$D:$D,'Spot Prices'!$B$15)</f>
        <v>66.892955999999998</v>
      </c>
      <c r="M22" s="4">
        <f>AVERAGEIFS(WindFarmRevenue!$E:$E,WindFarmRevenue!$B:$B,'Spot Prices'!M$16,WindFarmRevenue!$C:$C,'Spot Prices'!$B22,WindFarmRevenue!$D:$D,'Spot Prices'!$B$15)</f>
        <v>70.349710000000002</v>
      </c>
      <c r="N22" s="4">
        <f>AVERAGEIFS(WindFarmRevenue!$E:$E,WindFarmRevenue!$B:$B,'Spot Prices'!N$16,WindFarmRevenue!$C:$C,'Spot Prices'!$B22,WindFarmRevenue!$D:$D,'Spot Prices'!$B$15)</f>
        <v>75.124503000000004</v>
      </c>
      <c r="O22" s="4">
        <f>AVERAGEIFS(WindFarmRevenue!$E:$E,WindFarmRevenue!$B:$B,'Spot Prices'!O$16,WindFarmRevenue!$C:$C,'Spot Prices'!$B22,WindFarmRevenue!$D:$D,'Spot Prices'!$B$15)</f>
        <v>75.860290000000006</v>
      </c>
      <c r="P22" s="18">
        <f t="shared" si="0"/>
        <v>79.163243474221161</v>
      </c>
      <c r="Q22" s="18">
        <f t="shared" si="0"/>
        <v>88.270749670784141</v>
      </c>
      <c r="R22" s="18">
        <f t="shared" si="0"/>
        <v>81.755011891966745</v>
      </c>
      <c r="S22" s="18">
        <f t="shared" si="0"/>
        <v>86.95856325225968</v>
      </c>
      <c r="T22" s="18">
        <f t="shared" si="0"/>
        <v>82.405210734033361</v>
      </c>
    </row>
    <row r="23" spans="2:20" x14ac:dyDescent="0.3">
      <c r="B23" s="3">
        <v>0</v>
      </c>
      <c r="C23" s="4">
        <f>AVERAGEIFS(WindFarmRevenue!$E:$E,WindFarmRevenue!$B:$B,'Spot Prices'!C$16,WindFarmRevenue!$C:$C,'Spot Prices'!$B23,WindFarmRevenue!$D:$D,'Spot Prices'!$B$15)</f>
        <v>46.022337</v>
      </c>
      <c r="D23" s="4">
        <f>AVERAGEIFS(WindFarmRevenue!$E:$E,WindFarmRevenue!$B:$B,'Spot Prices'!D$16,WindFarmRevenue!$C:$C,'Spot Prices'!$B23,WindFarmRevenue!$D:$D,'Spot Prices'!$B$15)</f>
        <v>38.686439999999997</v>
      </c>
      <c r="E23" s="4">
        <f>AVERAGEIFS(WindFarmRevenue!$E:$E,WindFarmRevenue!$B:$B,'Spot Prices'!E$16,WindFarmRevenue!$C:$C,'Spot Prices'!$B23,WindFarmRevenue!$D:$D,'Spot Prices'!$B$15)</f>
        <v>37.005794999999999</v>
      </c>
      <c r="F23" s="4">
        <f>AVERAGEIFS(WindFarmRevenue!$E:$E,WindFarmRevenue!$B:$B,'Spot Prices'!F$16,WindFarmRevenue!$C:$C,'Spot Prices'!$B23,WindFarmRevenue!$D:$D,'Spot Prices'!$B$15)</f>
        <v>44.785577000000004</v>
      </c>
      <c r="G23" s="4">
        <f>AVERAGEIFS(WindFarmRevenue!$E:$E,WindFarmRevenue!$B:$B,'Spot Prices'!G$16,WindFarmRevenue!$C:$C,'Spot Prices'!$B23,WindFarmRevenue!$D:$D,'Spot Prices'!$B$15)</f>
        <v>45.955222999999997</v>
      </c>
      <c r="H23" s="4">
        <f>AVERAGEIFS(WindFarmRevenue!$E:$E,WindFarmRevenue!$B:$B,'Spot Prices'!H$16,WindFarmRevenue!$C:$C,'Spot Prices'!$B23,WindFarmRevenue!$D:$D,'Spot Prices'!$B$15)</f>
        <v>47.429274999999997</v>
      </c>
      <c r="I23" s="4">
        <f>AVERAGEIFS(WindFarmRevenue!$E:$E,WindFarmRevenue!$B:$B,'Spot Prices'!I$16,WindFarmRevenue!$C:$C,'Spot Prices'!$B23,WindFarmRevenue!$D:$D,'Spot Prices'!$B$15)</f>
        <v>46.764754000000003</v>
      </c>
      <c r="J23" s="4">
        <f>AVERAGEIFS(WindFarmRevenue!$E:$E,WindFarmRevenue!$B:$B,'Spot Prices'!J$16,WindFarmRevenue!$C:$C,'Spot Prices'!$B23,WindFarmRevenue!$D:$D,'Spot Prices'!$B$15)</f>
        <v>50.240163000000003</v>
      </c>
      <c r="K23" s="4">
        <f>AVERAGEIFS(WindFarmRevenue!$E:$E,WindFarmRevenue!$B:$B,'Spot Prices'!K$16,WindFarmRevenue!$C:$C,'Spot Prices'!$B23,WindFarmRevenue!$D:$D,'Spot Prices'!$B$15)</f>
        <v>51.145704000000002</v>
      </c>
      <c r="L23" s="4">
        <f>AVERAGEIFS(WindFarmRevenue!$E:$E,WindFarmRevenue!$B:$B,'Spot Prices'!L$16,WindFarmRevenue!$C:$C,'Spot Prices'!$B23,WindFarmRevenue!$D:$D,'Spot Prices'!$B$15)</f>
        <v>52.078133000000001</v>
      </c>
      <c r="M23" s="4">
        <f>AVERAGEIFS(WindFarmRevenue!$E:$E,WindFarmRevenue!$B:$B,'Spot Prices'!M$16,WindFarmRevenue!$C:$C,'Spot Prices'!$B23,WindFarmRevenue!$D:$D,'Spot Prices'!$B$15)</f>
        <v>56.976390000000002</v>
      </c>
      <c r="N23" s="4">
        <f>AVERAGEIFS(WindFarmRevenue!$E:$E,WindFarmRevenue!$B:$B,'Spot Prices'!N$16,WindFarmRevenue!$C:$C,'Spot Prices'!$B23,WindFarmRevenue!$D:$D,'Spot Prices'!$B$15)</f>
        <v>60.269100000000002</v>
      </c>
      <c r="O23" s="4">
        <f>AVERAGEIFS(WindFarmRevenue!$E:$E,WindFarmRevenue!$B:$B,'Spot Prices'!O$16,WindFarmRevenue!$C:$C,'Spot Prices'!$B23,WindFarmRevenue!$D:$D,'Spot Prices'!$B$15)</f>
        <v>62.172065000000003</v>
      </c>
      <c r="P23" s="18">
        <f t="shared" si="0"/>
        <v>61.241843825663544</v>
      </c>
      <c r="Q23" s="18">
        <f t="shared" si="0"/>
        <v>70.397169362378463</v>
      </c>
      <c r="R23" s="18">
        <f t="shared" si="0"/>
        <v>64.304712820889904</v>
      </c>
      <c r="S23" s="18">
        <f t="shared" si="0"/>
        <v>68.670810826506226</v>
      </c>
      <c r="T23" s="18">
        <f t="shared" si="0"/>
        <v>58.993364030871668</v>
      </c>
    </row>
    <row r="24" spans="2:20" x14ac:dyDescent="0.3">
      <c r="B24" s="9" t="s">
        <v>29</v>
      </c>
      <c r="C24" s="4">
        <f>AVERAGEIFS(WindFarmRevenue!$E:$E,WindFarmRevenue!$B:$B,'Spot Prices'!C$16,WindFarmRevenue!$C:$C,'Spot Prices'!$B24,WindFarmRevenue!$D:$D,'Spot Prices'!$B$15)</f>
        <v>69.341358999999997</v>
      </c>
      <c r="D24" s="4">
        <f>AVERAGEIFS(WindFarmRevenue!$E:$E,WindFarmRevenue!$B:$B,'Spot Prices'!D$16,WindFarmRevenue!$C:$C,'Spot Prices'!$B24,WindFarmRevenue!$D:$D,'Spot Prices'!$B$15)</f>
        <v>57.378250999999999</v>
      </c>
      <c r="E24" s="4">
        <f>AVERAGEIFS(WindFarmRevenue!$E:$E,WindFarmRevenue!$B:$B,'Spot Prices'!E$16,WindFarmRevenue!$C:$C,'Spot Prices'!$B24,WindFarmRevenue!$D:$D,'Spot Prices'!$B$15)</f>
        <v>55.464252999999999</v>
      </c>
      <c r="F24" s="4">
        <f>AVERAGEIFS(WindFarmRevenue!$E:$E,WindFarmRevenue!$B:$B,'Spot Prices'!F$16,WindFarmRevenue!$C:$C,'Spot Prices'!$B24,WindFarmRevenue!$D:$D,'Spot Prices'!$B$15)</f>
        <v>69.491294999999994</v>
      </c>
      <c r="G24" s="4">
        <f>AVERAGEIFS(WindFarmRevenue!$E:$E,WindFarmRevenue!$B:$B,'Spot Prices'!G$16,WindFarmRevenue!$C:$C,'Spot Prices'!$B24,WindFarmRevenue!$D:$D,'Spot Prices'!$B$15)</f>
        <v>69.637489000000002</v>
      </c>
      <c r="H24" s="4">
        <f>AVERAGEIFS(WindFarmRevenue!$E:$E,WindFarmRevenue!$B:$B,'Spot Prices'!H$16,WindFarmRevenue!$C:$C,'Spot Prices'!$B24,WindFarmRevenue!$D:$D,'Spot Prices'!$B$15)</f>
        <v>69.115188000000003</v>
      </c>
      <c r="I24" s="4">
        <f>AVERAGEIFS(WindFarmRevenue!$E:$E,WindFarmRevenue!$B:$B,'Spot Prices'!I$16,WindFarmRevenue!$C:$C,'Spot Prices'!$B24,WindFarmRevenue!$D:$D,'Spot Prices'!$B$15)</f>
        <v>73.839197999999996</v>
      </c>
      <c r="J24" s="4">
        <f>AVERAGEIFS(WindFarmRevenue!$E:$E,WindFarmRevenue!$B:$B,'Spot Prices'!J$16,WindFarmRevenue!$C:$C,'Spot Prices'!$B24,WindFarmRevenue!$D:$D,'Spot Prices'!$B$15)</f>
        <v>77.785711000000006</v>
      </c>
      <c r="K24" s="4">
        <f>AVERAGEIFS(WindFarmRevenue!$E:$E,WindFarmRevenue!$B:$B,'Spot Prices'!K$16,WindFarmRevenue!$C:$C,'Spot Prices'!$B24,WindFarmRevenue!$D:$D,'Spot Prices'!$B$15)</f>
        <v>78.086247999999998</v>
      </c>
      <c r="L24" s="4">
        <f>AVERAGEIFS(WindFarmRevenue!$E:$E,WindFarmRevenue!$B:$B,'Spot Prices'!L$16,WindFarmRevenue!$C:$C,'Spot Prices'!$B24,WindFarmRevenue!$D:$D,'Spot Prices'!$B$15)</f>
        <v>82.978748999999993</v>
      </c>
      <c r="M24" s="4">
        <f>AVERAGEIFS(WindFarmRevenue!$E:$E,WindFarmRevenue!$B:$B,'Spot Prices'!M$16,WindFarmRevenue!$C:$C,'Spot Prices'!$B24,WindFarmRevenue!$D:$D,'Spot Prices'!$B$15)</f>
        <v>87.538865000000001</v>
      </c>
      <c r="N24" s="4">
        <f>AVERAGEIFS(WindFarmRevenue!$E:$E,WindFarmRevenue!$B:$B,'Spot Prices'!N$16,WindFarmRevenue!$C:$C,'Spot Prices'!$B24,WindFarmRevenue!$D:$D,'Spot Prices'!$B$15)</f>
        <v>94.991856999999996</v>
      </c>
      <c r="O24" s="4">
        <f>AVERAGEIFS(WindFarmRevenue!$E:$E,WindFarmRevenue!$B:$B,'Spot Prices'!O$16,WindFarmRevenue!$C:$C,'Spot Prices'!$B24,WindFarmRevenue!$D:$D,'Spot Prices'!$B$15)</f>
        <v>96.073531000000003</v>
      </c>
      <c r="P24" s="18">
        <f t="shared" si="0"/>
        <v>103.11705818734193</v>
      </c>
      <c r="Q24" s="18">
        <f t="shared" si="0"/>
        <v>116.75132334737877</v>
      </c>
      <c r="R24" s="18">
        <f t="shared" si="0"/>
        <v>116.47613204488748</v>
      </c>
      <c r="S24" s="18">
        <f t="shared" si="0"/>
        <v>125.71889450916309</v>
      </c>
      <c r="T24" s="18">
        <f t="shared" si="0"/>
        <v>124.16717825810083</v>
      </c>
    </row>
    <row r="27" spans="2:20" x14ac:dyDescent="0.3">
      <c r="B27" s="1" t="s">
        <v>30</v>
      </c>
    </row>
    <row r="28" spans="2:20" x14ac:dyDescent="0.3"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8</v>
      </c>
      <c r="K28" s="2" t="s">
        <v>9</v>
      </c>
      <c r="L28" s="2" t="s">
        <v>10</v>
      </c>
      <c r="M28" s="2" t="s">
        <v>11</v>
      </c>
      <c r="N28" s="2" t="s">
        <v>12</v>
      </c>
      <c r="O28" s="2" t="s">
        <v>13</v>
      </c>
      <c r="P28" s="2" t="s">
        <v>14</v>
      </c>
      <c r="Q28" s="2" t="s">
        <v>15</v>
      </c>
      <c r="R28" s="2" t="s">
        <v>16</v>
      </c>
      <c r="S28" s="2" t="s">
        <v>17</v>
      </c>
      <c r="T28" s="2" t="s">
        <v>18</v>
      </c>
    </row>
    <row r="29" spans="2:20" x14ac:dyDescent="0.3">
      <c r="B29" s="3">
        <v>1</v>
      </c>
      <c r="C29" s="14">
        <f>C5/C17-1</f>
        <v>-4.2514474986751205E-3</v>
      </c>
      <c r="D29" s="14">
        <f t="shared" ref="D29:O29" si="1">D5/D17-1</f>
        <v>-3.561668335330781E-3</v>
      </c>
      <c r="E29" s="14">
        <f t="shared" si="1"/>
        <v>1.7288535258865201E-2</v>
      </c>
      <c r="F29" s="14">
        <f t="shared" si="1"/>
        <v>-3.8169401347571186E-2</v>
      </c>
      <c r="G29" s="14">
        <f t="shared" si="1"/>
        <v>-6.3572712567774525E-2</v>
      </c>
      <c r="H29" s="14">
        <f t="shared" si="1"/>
        <v>-9.4716593161081275E-2</v>
      </c>
      <c r="I29" s="14">
        <f t="shared" si="1"/>
        <v>-2.9803909702610265E-2</v>
      </c>
      <c r="J29" s="14">
        <f t="shared" si="1"/>
        <v>-2.707682188700089E-2</v>
      </c>
      <c r="K29" s="14">
        <f t="shared" si="1"/>
        <v>-7.0356481385946745E-2</v>
      </c>
      <c r="L29" s="14">
        <f t="shared" si="1"/>
        <v>-6.2112118915123915E-2</v>
      </c>
      <c r="M29" s="14">
        <f t="shared" si="1"/>
        <v>-6.9063791746274972E-2</v>
      </c>
      <c r="N29" s="14">
        <f t="shared" si="1"/>
        <v>-8.8118410167702388E-3</v>
      </c>
      <c r="O29" s="14">
        <f t="shared" si="1"/>
        <v>-6.6249221704253514E-2</v>
      </c>
      <c r="P29" s="14">
        <f t="shared" ref="P29:T36" si="2">P5/P17-1</f>
        <v>-6.6249221704253514E-2</v>
      </c>
      <c r="Q29" s="14">
        <f t="shared" si="2"/>
        <v>-6.6249221704253514E-2</v>
      </c>
      <c r="R29" s="14">
        <f t="shared" si="2"/>
        <v>-6.6249221704253514E-2</v>
      </c>
      <c r="S29" s="14">
        <f t="shared" si="2"/>
        <v>-6.6249221704253514E-2</v>
      </c>
      <c r="T29" s="14">
        <f t="shared" si="2"/>
        <v>-6.6249221704253514E-2</v>
      </c>
    </row>
    <row r="30" spans="2:20" x14ac:dyDescent="0.3">
      <c r="B30" s="3">
        <v>0.95</v>
      </c>
      <c r="C30" s="14">
        <f t="shared" ref="C30:O36" si="3">C6/C18-1</f>
        <v>4.922103664539712E-5</v>
      </c>
      <c r="D30" s="14">
        <f t="shared" si="3"/>
        <v>1.9798130562520555E-5</v>
      </c>
      <c r="E30" s="14">
        <f t="shared" si="3"/>
        <v>7.3999031654281566E-5</v>
      </c>
      <c r="F30" s="14">
        <f t="shared" si="3"/>
        <v>-0.12566993105664803</v>
      </c>
      <c r="G30" s="14">
        <f t="shared" si="3"/>
        <v>-0.21854788222209576</v>
      </c>
      <c r="H30" s="14">
        <f t="shared" si="3"/>
        <v>-0.15958877560425211</v>
      </c>
      <c r="I30" s="14">
        <f t="shared" si="3"/>
        <v>-0.11778095168123603</v>
      </c>
      <c r="J30" s="14">
        <f t="shared" si="3"/>
        <v>-6.8254090889995456E-2</v>
      </c>
      <c r="K30" s="14">
        <f t="shared" si="3"/>
        <v>-0.11180964081406086</v>
      </c>
      <c r="L30" s="14">
        <f t="shared" si="3"/>
        <v>-0.10939493391806532</v>
      </c>
      <c r="M30" s="14">
        <f t="shared" si="3"/>
        <v>-0.12947574442401111</v>
      </c>
      <c r="N30" s="14">
        <f t="shared" si="3"/>
        <v>-7.0637463138707668E-2</v>
      </c>
      <c r="O30" s="14">
        <f t="shared" si="3"/>
        <v>-0.12232387246950638</v>
      </c>
      <c r="P30" s="14">
        <f t="shared" si="2"/>
        <v>-0.12232387246950638</v>
      </c>
      <c r="Q30" s="14">
        <f t="shared" si="2"/>
        <v>-0.12232387246950649</v>
      </c>
      <c r="R30" s="14">
        <f t="shared" si="2"/>
        <v>-0.12232387246950649</v>
      </c>
      <c r="S30" s="14">
        <f t="shared" si="2"/>
        <v>-0.12232387246950638</v>
      </c>
      <c r="T30" s="14">
        <f t="shared" si="2"/>
        <v>-0.12232387246950638</v>
      </c>
    </row>
    <row r="31" spans="2:20" x14ac:dyDescent="0.3">
      <c r="B31" s="5">
        <v>0.75</v>
      </c>
      <c r="C31" s="46">
        <f t="shared" si="3"/>
        <v>1.0057602388346965E-3</v>
      </c>
      <c r="D31" s="46">
        <f t="shared" si="3"/>
        <v>6.7839063437968861E-4</v>
      </c>
      <c r="E31" s="46">
        <f t="shared" si="3"/>
        <v>-1.4196052411918902E-4</v>
      </c>
      <c r="F31" s="46">
        <f t="shared" si="3"/>
        <v>-0.14616206452007208</v>
      </c>
      <c r="G31" s="46">
        <f t="shared" si="3"/>
        <v>-0.27900315597050973</v>
      </c>
      <c r="H31" s="46">
        <f t="shared" si="3"/>
        <v>-0.19992682662288241</v>
      </c>
      <c r="I31" s="46">
        <f t="shared" si="3"/>
        <v>-0.14321684697860992</v>
      </c>
      <c r="J31" s="46">
        <f t="shared" si="3"/>
        <v>-9.9563870000832222E-2</v>
      </c>
      <c r="K31" s="46">
        <f t="shared" si="3"/>
        <v>-0.13412127643991212</v>
      </c>
      <c r="L31" s="46">
        <f t="shared" si="3"/>
        <v>-0.12657506718378619</v>
      </c>
      <c r="M31" s="46">
        <f t="shared" si="3"/>
        <v>-0.15085775705829008</v>
      </c>
      <c r="N31" s="46">
        <f t="shared" si="3"/>
        <v>-8.4978918131081826E-2</v>
      </c>
      <c r="O31" s="46">
        <f t="shared" si="3"/>
        <v>-0.13750829031540812</v>
      </c>
      <c r="P31" s="46">
        <f t="shared" si="2"/>
        <v>-0.13750829031540812</v>
      </c>
      <c r="Q31" s="46">
        <f t="shared" si="2"/>
        <v>-0.13750829031540812</v>
      </c>
      <c r="R31" s="46">
        <f t="shared" si="2"/>
        <v>-0.13750829031540812</v>
      </c>
      <c r="S31" s="46">
        <f t="shared" si="2"/>
        <v>-0.13750829031540823</v>
      </c>
      <c r="T31" s="46">
        <f t="shared" si="2"/>
        <v>-0.13750829031540812</v>
      </c>
    </row>
    <row r="32" spans="2:20" x14ac:dyDescent="0.3">
      <c r="B32" s="7">
        <v>0.5</v>
      </c>
      <c r="C32" s="41">
        <f t="shared" si="3"/>
        <v>-3.3661464811240993E-4</v>
      </c>
      <c r="D32" s="41">
        <f t="shared" si="3"/>
        <v>-6.6700071901404367E-4</v>
      </c>
      <c r="E32" s="41">
        <f t="shared" si="3"/>
        <v>-9.4282714142668311E-4</v>
      </c>
      <c r="F32" s="41">
        <f t="shared" si="3"/>
        <v>-0.15813308063445453</v>
      </c>
      <c r="G32" s="41">
        <f t="shared" si="3"/>
        <v>-0.31851813146793351</v>
      </c>
      <c r="H32" s="41">
        <f t="shared" si="3"/>
        <v>-0.22504178706814759</v>
      </c>
      <c r="I32" s="41">
        <f t="shared" si="3"/>
        <v>-0.15489990134004084</v>
      </c>
      <c r="J32" s="41">
        <f t="shared" si="3"/>
        <v>-0.11057490781087875</v>
      </c>
      <c r="K32" s="41">
        <f t="shared" si="3"/>
        <v>-0.14146185960568947</v>
      </c>
      <c r="L32" s="41">
        <f t="shared" si="3"/>
        <v>-0.1354988687452493</v>
      </c>
      <c r="M32" s="41">
        <f t="shared" si="3"/>
        <v>-0.16540932232235739</v>
      </c>
      <c r="N32" s="41">
        <f t="shared" si="3"/>
        <v>-9.066506822769782E-2</v>
      </c>
      <c r="O32" s="41">
        <f t="shared" si="3"/>
        <v>-0.15324534971814097</v>
      </c>
      <c r="P32" s="41">
        <f t="shared" si="2"/>
        <v>-0.15324534971814097</v>
      </c>
      <c r="Q32" s="41">
        <f t="shared" si="2"/>
        <v>-0.15324534971814108</v>
      </c>
      <c r="R32" s="41">
        <f t="shared" si="2"/>
        <v>-0.15324534971814108</v>
      </c>
      <c r="S32" s="41">
        <f t="shared" si="2"/>
        <v>-0.15324534971814108</v>
      </c>
      <c r="T32" s="41">
        <f t="shared" si="2"/>
        <v>-0.15324534971814108</v>
      </c>
    </row>
    <row r="33" spans="2:20" x14ac:dyDescent="0.3">
      <c r="B33" s="5">
        <v>0.25</v>
      </c>
      <c r="C33" s="46">
        <f t="shared" si="3"/>
        <v>-8.1465793418966648E-4</v>
      </c>
      <c r="D33" s="46">
        <f t="shared" si="3"/>
        <v>-6.8918494740455305E-4</v>
      </c>
      <c r="E33" s="46">
        <f t="shared" si="3"/>
        <v>-8.8793560720135112E-4</v>
      </c>
      <c r="F33" s="46">
        <f t="shared" si="3"/>
        <v>-0.17078416036541577</v>
      </c>
      <c r="G33" s="46">
        <f t="shared" si="3"/>
        <v>-0.36413802537311968</v>
      </c>
      <c r="H33" s="46">
        <f t="shared" si="3"/>
        <v>-0.24663262717169654</v>
      </c>
      <c r="I33" s="46">
        <f t="shared" si="3"/>
        <v>-0.1728553057940786</v>
      </c>
      <c r="J33" s="46">
        <f t="shared" si="3"/>
        <v>-0.1208891199290455</v>
      </c>
      <c r="K33" s="46">
        <f t="shared" si="3"/>
        <v>-0.14810155327490959</v>
      </c>
      <c r="L33" s="46">
        <f t="shared" si="3"/>
        <v>-0.14002567546267997</v>
      </c>
      <c r="M33" s="46">
        <f t="shared" si="3"/>
        <v>-0.17148745421136313</v>
      </c>
      <c r="N33" s="46">
        <f t="shared" si="3"/>
        <v>-9.7031792099038339E-2</v>
      </c>
      <c r="O33" s="46">
        <f t="shared" si="3"/>
        <v>-0.15980456433561374</v>
      </c>
      <c r="P33" s="46">
        <f t="shared" si="2"/>
        <v>-0.15980456433561363</v>
      </c>
      <c r="Q33" s="46">
        <f t="shared" si="2"/>
        <v>-0.15980456433561363</v>
      </c>
      <c r="R33" s="46">
        <f t="shared" si="2"/>
        <v>-0.15980456433561374</v>
      </c>
      <c r="S33" s="46">
        <f t="shared" si="2"/>
        <v>-0.15980456433561385</v>
      </c>
      <c r="T33" s="46">
        <f t="shared" si="2"/>
        <v>-0.15980456433561385</v>
      </c>
    </row>
    <row r="34" spans="2:20" x14ac:dyDescent="0.3">
      <c r="B34" s="3">
        <v>0.05</v>
      </c>
      <c r="C34" s="14">
        <f t="shared" si="3"/>
        <v>-7.1642032145535772E-4</v>
      </c>
      <c r="D34" s="14">
        <f t="shared" si="3"/>
        <v>-1.416577237713712E-3</v>
      </c>
      <c r="E34" s="14">
        <f t="shared" si="3"/>
        <v>-1.7234100300300703E-3</v>
      </c>
      <c r="F34" s="14">
        <f t="shared" si="3"/>
        <v>-0.19474116795169949</v>
      </c>
      <c r="G34" s="14">
        <f t="shared" si="3"/>
        <v>-0.43586625299411663</v>
      </c>
      <c r="H34" s="14">
        <f t="shared" si="3"/>
        <v>-0.28117480030243425</v>
      </c>
      <c r="I34" s="14">
        <f t="shared" si="3"/>
        <v>-0.20256892230186774</v>
      </c>
      <c r="J34" s="14">
        <f t="shared" si="3"/>
        <v>-0.14379602728030905</v>
      </c>
      <c r="K34" s="14">
        <f t="shared" si="3"/>
        <v>-0.16142872522415197</v>
      </c>
      <c r="L34" s="14">
        <f t="shared" si="3"/>
        <v>-0.15902890158055494</v>
      </c>
      <c r="M34" s="14">
        <f t="shared" si="3"/>
        <v>-0.19155923372400463</v>
      </c>
      <c r="N34" s="14">
        <f t="shared" si="3"/>
        <v>-0.10864118891812402</v>
      </c>
      <c r="O34" s="14">
        <f t="shared" si="3"/>
        <v>-0.17499030255231729</v>
      </c>
      <c r="P34" s="14">
        <f t="shared" si="2"/>
        <v>-0.17499030255231729</v>
      </c>
      <c r="Q34" s="14">
        <f t="shared" si="2"/>
        <v>-0.1749903025523174</v>
      </c>
      <c r="R34" s="14">
        <f t="shared" si="2"/>
        <v>-0.1749903025523174</v>
      </c>
      <c r="S34" s="14">
        <f t="shared" si="2"/>
        <v>-0.1749903025523174</v>
      </c>
      <c r="T34" s="14">
        <f t="shared" si="2"/>
        <v>-0.1749903025523174</v>
      </c>
    </row>
    <row r="35" spans="2:20" x14ac:dyDescent="0.3">
      <c r="B35" s="3">
        <v>0</v>
      </c>
      <c r="C35" s="14">
        <f t="shared" si="3"/>
        <v>9.0798744182893909E-3</v>
      </c>
      <c r="D35" s="14">
        <f t="shared" si="3"/>
        <v>2.4267726523097277E-3</v>
      </c>
      <c r="E35" s="14">
        <f t="shared" si="3"/>
        <v>1.0348177999919939E-2</v>
      </c>
      <c r="F35" s="14">
        <f t="shared" si="3"/>
        <v>-0.19200560519654231</v>
      </c>
      <c r="G35" s="14">
        <f t="shared" si="3"/>
        <v>-0.60523428564948145</v>
      </c>
      <c r="H35" s="14">
        <f t="shared" si="3"/>
        <v>-0.44361582094684582</v>
      </c>
      <c r="I35" s="14">
        <f t="shared" si="3"/>
        <v>-0.38396859020680441</v>
      </c>
      <c r="J35" s="14">
        <f t="shared" si="3"/>
        <v>-0.21455151972462549</v>
      </c>
      <c r="K35" s="14">
        <f t="shared" si="3"/>
        <v>-0.19881048441424565</v>
      </c>
      <c r="L35" s="14">
        <f t="shared" si="3"/>
        <v>-0.24139031607809225</v>
      </c>
      <c r="M35" s="14">
        <f t="shared" si="3"/>
        <v>-0.218492972680286</v>
      </c>
      <c r="N35" s="14">
        <f t="shared" si="3"/>
        <v>-0.15673287279469184</v>
      </c>
      <c r="O35" s="14">
        <f t="shared" si="3"/>
        <v>-0.22811745261763405</v>
      </c>
      <c r="P35" s="14">
        <f t="shared" si="2"/>
        <v>-0.22811745261763394</v>
      </c>
      <c r="Q35" s="14">
        <f t="shared" si="2"/>
        <v>-0.22811745261763405</v>
      </c>
      <c r="R35" s="14">
        <f t="shared" si="2"/>
        <v>-0.22811745261763394</v>
      </c>
      <c r="S35" s="14">
        <f t="shared" si="2"/>
        <v>-0.22811745261763394</v>
      </c>
      <c r="T35" s="14">
        <f t="shared" si="2"/>
        <v>-0.22811745261763394</v>
      </c>
    </row>
    <row r="36" spans="2:20" x14ac:dyDescent="0.3">
      <c r="B36" s="9" t="s">
        <v>29</v>
      </c>
      <c r="C36" s="14">
        <f t="shared" si="3"/>
        <v>-1.9196158690282239E-4</v>
      </c>
      <c r="D36" s="14">
        <f t="shared" si="3"/>
        <v>-8.7411608705956212E-5</v>
      </c>
      <c r="E36" s="14">
        <f t="shared" si="3"/>
        <v>-2.9132300102197028E-4</v>
      </c>
      <c r="F36" s="14">
        <f t="shared" si="3"/>
        <v>-0.15685190031023888</v>
      </c>
      <c r="G36" s="14">
        <f t="shared" si="3"/>
        <v>-0.31518902050408937</v>
      </c>
      <c r="H36" s="14">
        <f t="shared" si="3"/>
        <v>-0.21910508573011811</v>
      </c>
      <c r="I36" s="14">
        <f t="shared" si="3"/>
        <v>-0.15450999632060258</v>
      </c>
      <c r="J36" s="14">
        <f t="shared" si="3"/>
        <v>-0.10706245261602132</v>
      </c>
      <c r="K36" s="14">
        <f t="shared" si="3"/>
        <v>-0.13827375441034129</v>
      </c>
      <c r="L36" s="14">
        <f t="shared" si="3"/>
        <v>-0.13227281817196912</v>
      </c>
      <c r="M36" s="14">
        <f t="shared" si="3"/>
        <v>-0.15988844075858466</v>
      </c>
      <c r="N36" s="14">
        <f t="shared" si="3"/>
        <v>-8.9701176384817005E-2</v>
      </c>
      <c r="O36" s="14">
        <f t="shared" si="3"/>
        <v>-0.14714415762311406</v>
      </c>
      <c r="P36" s="14">
        <f t="shared" si="2"/>
        <v>-0.14714415762311417</v>
      </c>
      <c r="Q36" s="14">
        <f t="shared" si="2"/>
        <v>-0.14714415762311417</v>
      </c>
      <c r="R36" s="14">
        <f t="shared" si="2"/>
        <v>-0.14714415762311428</v>
      </c>
      <c r="S36" s="14">
        <f t="shared" si="2"/>
        <v>-0.14714415762311428</v>
      </c>
      <c r="T36" s="14">
        <f t="shared" si="2"/>
        <v>-0.14714415762311439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019F-9713-4FB1-A21E-7538FD5A830B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-2.707682188700089E-2</v>
      </c>
      <c r="K6" s="14">
        <f>'Spot Prices'!K29</f>
        <v>-7.0356481385946745E-2</v>
      </c>
      <c r="L6" s="14">
        <f>'Spot Prices'!L29</f>
        <v>-6.2112118915123915E-2</v>
      </c>
      <c r="M6" s="14">
        <f>'Spot Prices'!M29</f>
        <v>-6.9063791746274972E-2</v>
      </c>
      <c r="N6" s="14">
        <f>'Spot Prices'!N29</f>
        <v>-8.8118410167702388E-3</v>
      </c>
      <c r="O6" s="14">
        <f>'Spot Prices'!O29</f>
        <v>-6.6249221704253514E-2</v>
      </c>
      <c r="P6" s="14">
        <f>'Spot Prices'!P29</f>
        <v>-6.6249221704253514E-2</v>
      </c>
      <c r="Q6" s="14">
        <f>'Spot Prices'!Q29</f>
        <v>-6.6249221704253514E-2</v>
      </c>
      <c r="R6" s="14">
        <f>'Spot Prices'!R29</f>
        <v>-6.6249221704253514E-2</v>
      </c>
      <c r="S6" s="14">
        <f>'Spot Prices'!S29</f>
        <v>-6.6249221704253514E-2</v>
      </c>
      <c r="T6" s="14">
        <f>'Spot Prices'!T29</f>
        <v>-6.6249221704253514E-2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-6.8254090889995456E-2</v>
      </c>
      <c r="K7" s="14">
        <f>'Spot Prices'!K30</f>
        <v>-0.11180964081406086</v>
      </c>
      <c r="L7" s="14">
        <f>'Spot Prices'!L30</f>
        <v>-0.10939493391806532</v>
      </c>
      <c r="M7" s="14">
        <f>'Spot Prices'!M30</f>
        <v>-0.12947574442401111</v>
      </c>
      <c r="N7" s="14">
        <f>'Spot Prices'!N30</f>
        <v>-7.0637463138707668E-2</v>
      </c>
      <c r="O7" s="14">
        <f>'Spot Prices'!O30</f>
        <v>-0.12232387246950638</v>
      </c>
      <c r="P7" s="14">
        <f>'Spot Prices'!P30</f>
        <v>-0.12232387246950638</v>
      </c>
      <c r="Q7" s="14">
        <f>'Spot Prices'!Q30</f>
        <v>-0.12232387246950649</v>
      </c>
      <c r="R7" s="14">
        <f>'Spot Prices'!R30</f>
        <v>-0.12232387246950649</v>
      </c>
      <c r="S7" s="14">
        <f>'Spot Prices'!S30</f>
        <v>-0.12232387246950638</v>
      </c>
      <c r="T7" s="14">
        <f>'Spot Prices'!T30</f>
        <v>-0.12232387246950638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-9.9563870000832222E-2</v>
      </c>
      <c r="K8" s="46">
        <f>'Spot Prices'!K31</f>
        <v>-0.13412127643991212</v>
      </c>
      <c r="L8" s="46">
        <f>'Spot Prices'!L31</f>
        <v>-0.12657506718378619</v>
      </c>
      <c r="M8" s="46">
        <f>'Spot Prices'!M31</f>
        <v>-0.15085775705829008</v>
      </c>
      <c r="N8" s="46">
        <f>'Spot Prices'!N31</f>
        <v>-8.4978918131081826E-2</v>
      </c>
      <c r="O8" s="46">
        <f>'Spot Prices'!O31</f>
        <v>-0.13750829031540812</v>
      </c>
      <c r="P8" s="46">
        <f>'Spot Prices'!P31</f>
        <v>-0.13750829031540812</v>
      </c>
      <c r="Q8" s="46">
        <f>'Spot Prices'!Q31</f>
        <v>-0.13750829031540812</v>
      </c>
      <c r="R8" s="46">
        <f>'Spot Prices'!R31</f>
        <v>-0.13750829031540812</v>
      </c>
      <c r="S8" s="46">
        <f>'Spot Prices'!S31</f>
        <v>-0.13750829031540823</v>
      </c>
      <c r="T8" s="46">
        <f>'Spot Prices'!T31</f>
        <v>-0.13750829031540812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-0.11057490781087875</v>
      </c>
      <c r="K9" s="41">
        <f>'Spot Prices'!K32</f>
        <v>-0.14146185960568947</v>
      </c>
      <c r="L9" s="41">
        <f>'Spot Prices'!L32</f>
        <v>-0.1354988687452493</v>
      </c>
      <c r="M9" s="41">
        <f>'Spot Prices'!M32</f>
        <v>-0.16540932232235739</v>
      </c>
      <c r="N9" s="41">
        <f>'Spot Prices'!N32</f>
        <v>-9.066506822769782E-2</v>
      </c>
      <c r="O9" s="41">
        <f>'Spot Prices'!O32</f>
        <v>-0.15324534971814097</v>
      </c>
      <c r="P9" s="41">
        <f>'Spot Prices'!P32</f>
        <v>-0.15324534971814097</v>
      </c>
      <c r="Q9" s="41">
        <f>'Spot Prices'!Q32</f>
        <v>-0.15324534971814108</v>
      </c>
      <c r="R9" s="41">
        <f>'Spot Prices'!R32</f>
        <v>-0.15324534971814108</v>
      </c>
      <c r="S9" s="41">
        <f>'Spot Prices'!S32</f>
        <v>-0.15324534971814108</v>
      </c>
      <c r="T9" s="41">
        <f>'Spot Prices'!T32</f>
        <v>-0.15324534971814108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-0.1208891199290455</v>
      </c>
      <c r="K10" s="46">
        <f>'Spot Prices'!K33</f>
        <v>-0.14810155327490959</v>
      </c>
      <c r="L10" s="46">
        <f>'Spot Prices'!L33</f>
        <v>-0.14002567546267997</v>
      </c>
      <c r="M10" s="46">
        <f>'Spot Prices'!M33</f>
        <v>-0.17148745421136313</v>
      </c>
      <c r="N10" s="46">
        <f>'Spot Prices'!N33</f>
        <v>-9.7031792099038339E-2</v>
      </c>
      <c r="O10" s="46">
        <f>'Spot Prices'!O33</f>
        <v>-0.15980456433561374</v>
      </c>
      <c r="P10" s="46">
        <f>'Spot Prices'!P33</f>
        <v>-0.15980456433561363</v>
      </c>
      <c r="Q10" s="46">
        <f>'Spot Prices'!Q33</f>
        <v>-0.15980456433561363</v>
      </c>
      <c r="R10" s="46">
        <f>'Spot Prices'!R33</f>
        <v>-0.15980456433561374</v>
      </c>
      <c r="S10" s="46">
        <f>'Spot Prices'!S33</f>
        <v>-0.15980456433561385</v>
      </c>
      <c r="T10" s="46">
        <f>'Spot Prices'!T33</f>
        <v>-0.15980456433561385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-0.14379602728030905</v>
      </c>
      <c r="K11" s="14">
        <f>'Spot Prices'!K34</f>
        <v>-0.16142872522415197</v>
      </c>
      <c r="L11" s="14">
        <f>'Spot Prices'!L34</f>
        <v>-0.15902890158055494</v>
      </c>
      <c r="M11" s="14">
        <f>'Spot Prices'!M34</f>
        <v>-0.19155923372400463</v>
      </c>
      <c r="N11" s="14">
        <f>'Spot Prices'!N34</f>
        <v>-0.10864118891812402</v>
      </c>
      <c r="O11" s="14">
        <f>'Spot Prices'!O34</f>
        <v>-0.17499030255231729</v>
      </c>
      <c r="P11" s="14">
        <f>'Spot Prices'!P34</f>
        <v>-0.17499030255231729</v>
      </c>
      <c r="Q11" s="14">
        <f>'Spot Prices'!Q34</f>
        <v>-0.1749903025523174</v>
      </c>
      <c r="R11" s="14">
        <f>'Spot Prices'!R34</f>
        <v>-0.1749903025523174</v>
      </c>
      <c r="S11" s="14">
        <f>'Spot Prices'!S34</f>
        <v>-0.1749903025523174</v>
      </c>
      <c r="T11" s="14">
        <f>'Spot Prices'!T34</f>
        <v>-0.1749903025523174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-0.21455151972462549</v>
      </c>
      <c r="K12" s="14">
        <f>'Spot Prices'!K35</f>
        <v>-0.19881048441424565</v>
      </c>
      <c r="L12" s="14">
        <f>'Spot Prices'!L35</f>
        <v>-0.24139031607809225</v>
      </c>
      <c r="M12" s="14">
        <f>'Spot Prices'!M35</f>
        <v>-0.218492972680286</v>
      </c>
      <c r="N12" s="14">
        <f>'Spot Prices'!N35</f>
        <v>-0.15673287279469184</v>
      </c>
      <c r="O12" s="14">
        <f>'Spot Prices'!O35</f>
        <v>-0.22811745261763405</v>
      </c>
      <c r="P12" s="14">
        <f>'Spot Prices'!P35</f>
        <v>-0.22811745261763394</v>
      </c>
      <c r="Q12" s="14">
        <f>'Spot Prices'!Q35</f>
        <v>-0.22811745261763405</v>
      </c>
      <c r="R12" s="14">
        <f>'Spot Prices'!R35</f>
        <v>-0.22811745261763394</v>
      </c>
      <c r="S12" s="14">
        <f>'Spot Prices'!S35</f>
        <v>-0.22811745261763394</v>
      </c>
      <c r="T12" s="14">
        <f>'Spot Prices'!T35</f>
        <v>-0.22811745261763394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-0.10706245261602132</v>
      </c>
      <c r="K13" s="46">
        <f>'Spot Prices'!K36</f>
        <v>-0.13827375441034129</v>
      </c>
      <c r="L13" s="46">
        <f>'Spot Prices'!L36</f>
        <v>-0.13227281817196912</v>
      </c>
      <c r="M13" s="46">
        <f>'Spot Prices'!M36</f>
        <v>-0.15988844075858466</v>
      </c>
      <c r="N13" s="46">
        <f>'Spot Prices'!N36</f>
        <v>-8.9701176384817005E-2</v>
      </c>
      <c r="O13" s="46">
        <f>'Spot Prices'!O36</f>
        <v>-0.14714415762311406</v>
      </c>
      <c r="P13" s="46">
        <f>'Spot Prices'!P36</f>
        <v>-0.14714415762311417</v>
      </c>
      <c r="Q13" s="46">
        <f>'Spot Prices'!Q36</f>
        <v>-0.14714415762311417</v>
      </c>
      <c r="R13" s="46">
        <f>'Spot Prices'!R36</f>
        <v>-0.14714415762311428</v>
      </c>
      <c r="S13" s="46">
        <f>'Spot Prices'!S36</f>
        <v>-0.14714415762311428</v>
      </c>
      <c r="T13" s="46">
        <f>'Spot Prices'!T36</f>
        <v>-0.14714415762311439</v>
      </c>
    </row>
    <row r="15" spans="2:23" x14ac:dyDescent="0.3">
      <c r="B15" s="1" t="str">
        <f>D83</f>
        <v>Golden Plains Revenue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7">
        <f>AVERAGEIFS($E$39:$E$1048576,$B$39:$B$1048576,E$16,$C$39:$C$1048576,$B17,$D$39:$D$1048576,$B$15)*WindFarmLGCs!E17/WindFarmLGCs!V17</f>
        <v>183211165.73924032</v>
      </c>
      <c r="F17" s="17">
        <f>AVERAGEIFS($E$39:$E$1048576,$B$39:$B$1048576,F$16,$C$39:$C$1048576,$B17,$D$39:$D$1048576,$B$15)*WindFarmLGCs!F17/WindFarmLGCs!W17</f>
        <v>231292721.6893234</v>
      </c>
      <c r="G17" s="17">
        <f t="shared" ref="G17:O24" si="1">AVERAGEIFS($E$39:$E$1048576,$B$39:$B$1048576,G$16,$C$39:$C$1048576,$B17,$D$39:$D$1048576,$B$15)</f>
        <v>226191312</v>
      </c>
      <c r="H17" s="17">
        <f t="shared" si="1"/>
        <v>224359357.80000001</v>
      </c>
      <c r="I17" s="17">
        <f t="shared" si="1"/>
        <v>252311083.19999999</v>
      </c>
      <c r="J17" s="17">
        <f t="shared" si="1"/>
        <v>272253502.5</v>
      </c>
      <c r="K17" s="17">
        <f t="shared" si="1"/>
        <v>259781174.09999999</v>
      </c>
      <c r="L17" s="17">
        <f t="shared" si="1"/>
        <v>282086297.39999998</v>
      </c>
      <c r="M17" s="17">
        <f t="shared" si="1"/>
        <v>284957590.69999999</v>
      </c>
      <c r="N17" s="17">
        <f t="shared" si="1"/>
        <v>330865750.19999999</v>
      </c>
      <c r="O17" s="17">
        <f t="shared" si="1"/>
        <v>330431838.5</v>
      </c>
      <c r="P17" s="19">
        <f>'Spot Prices'!P17/'Spot Prices'!O17*WindFarmRevenue!O17</f>
        <v>345806628.3017835</v>
      </c>
      <c r="Q17" s="19">
        <f>'Spot Prices'!Q17/'Spot Prices'!P17*WindFarmRevenue!P17</f>
        <v>381055140.33350396</v>
      </c>
      <c r="R17" s="19">
        <f>'Spot Prices'!R17/'Spot Prices'!Q17*WindFarmRevenue!Q17</f>
        <v>379196460.70941252</v>
      </c>
      <c r="S17" s="19">
        <f>'Spot Prices'!S17/'Spot Prices'!R17*WindFarmRevenue!R17</f>
        <v>393370576.60673672</v>
      </c>
      <c r="T17" s="19">
        <f>'Spot Prices'!T17/'Spot Prices'!S17*WindFarmRevenue!S17</f>
        <v>388843600.01654702</v>
      </c>
      <c r="V17" s="17">
        <f>AVERAGEIFS($E$39:$E$1048576,$B$39:$B$1048576,V$16,$C$39:$C$1048576,$B17,$D$39:$D$1048576,$B$15)</f>
        <v>32748106.43</v>
      </c>
      <c r="W17" s="17">
        <f t="shared" ref="V17:W24" si="2">AVERAGEIFS($E$39:$E$1048576,$B$39:$B$1048576,W$16,$C$39:$C$1048576,$B17,$D$39:$D$1048576,$B$15)</f>
        <v>106747967.40000001</v>
      </c>
    </row>
    <row r="18" spans="2:23" x14ac:dyDescent="0.3">
      <c r="B18" s="3">
        <v>0.95</v>
      </c>
      <c r="C18" s="17">
        <f t="shared" si="0"/>
        <v>0</v>
      </c>
      <c r="D18" s="17"/>
      <c r="E18" s="17">
        <f>AVERAGEIFS($E$39:$E$1048576,$B$39:$B$1048576,E$16,$C$39:$C$1048576,$B18,$D$39:$D$1048576,$B$15)*WindFarmLGCs!E18/WindFarmLGCs!V18</f>
        <v>157710937.83297652</v>
      </c>
      <c r="F18" s="17">
        <f>AVERAGEIFS($E$39:$E$1048576,$B$39:$B$1048576,F$16,$C$39:$C$1048576,$B18,$D$39:$D$1048576,$B$15)*WindFarmLGCs!F18/WindFarmLGCs!W18</f>
        <v>191581426.12153986</v>
      </c>
      <c r="G18" s="17">
        <f t="shared" si="1"/>
        <v>194858002.69999996</v>
      </c>
      <c r="H18" s="17">
        <f t="shared" si="1"/>
        <v>192685600.30000004</v>
      </c>
      <c r="I18" s="17">
        <f t="shared" si="1"/>
        <v>210023904.40000001</v>
      </c>
      <c r="J18" s="17">
        <f t="shared" si="1"/>
        <v>223030193.5</v>
      </c>
      <c r="K18" s="17">
        <f t="shared" si="1"/>
        <v>221661609.19999996</v>
      </c>
      <c r="L18" s="17">
        <f t="shared" si="1"/>
        <v>234975434.69999996</v>
      </c>
      <c r="M18" s="17">
        <f t="shared" si="1"/>
        <v>248460328.90000001</v>
      </c>
      <c r="N18" s="17">
        <f t="shared" si="1"/>
        <v>277978144.60000002</v>
      </c>
      <c r="O18" s="17">
        <f t="shared" si="1"/>
        <v>279322797.39999998</v>
      </c>
      <c r="P18" s="19">
        <f>'Spot Prices'!P18/'Spot Prices'!O18*WindFarmRevenue!O18</f>
        <v>299833833.6793738</v>
      </c>
      <c r="Q18" s="19">
        <f>'Spot Prices'!Q18/'Spot Prices'!P18*WindFarmRevenue!P18</f>
        <v>333204200.67796969</v>
      </c>
      <c r="R18" s="19">
        <f>'Spot Prices'!R18/'Spot Prices'!Q18*WindFarmRevenue!Q18</f>
        <v>336843691.7789501</v>
      </c>
      <c r="S18" s="19">
        <f>'Spot Prices'!S18/'Spot Prices'!R18*WindFarmRevenue!R18</f>
        <v>354953136.63074696</v>
      </c>
      <c r="T18" s="19">
        <f>'Spot Prices'!T18/'Spot Prices'!S18*WindFarmRevenue!S18</f>
        <v>354979540.29630613</v>
      </c>
      <c r="V18" s="17">
        <f>AVERAGEIFS($E$39:$E$1048576,$B$39:$B$1048576,V$16,$C$39:$C$1048576,$B18,$D$39:$D$1048576,$B$15)</f>
        <v>25998739.649999995</v>
      </c>
      <c r="W18" s="17">
        <f t="shared" si="2"/>
        <v>91890262.160000011</v>
      </c>
    </row>
    <row r="19" spans="2:23" x14ac:dyDescent="0.3">
      <c r="B19" s="5">
        <v>0.75</v>
      </c>
      <c r="C19" s="48">
        <f t="shared" si="0"/>
        <v>0</v>
      </c>
      <c r="D19" s="48"/>
      <c r="E19" s="48">
        <f>AVERAGEIFS($E$39:$E$1048576,$B$39:$B$1048576,E$16,$C$39:$C$1048576,$B19,$D$39:$D$1048576,$B$15)*WindFarmLGCs!E19/WindFarmLGCs!V19</f>
        <v>144413683.18696776</v>
      </c>
      <c r="F19" s="48">
        <f>AVERAGEIFS($E$39:$E$1048576,$B$39:$B$1048576,F$16,$C$39:$C$1048576,$B19,$D$39:$D$1048576,$B$15)*WindFarmLGCs!F19/WindFarmLGCs!W19</f>
        <v>172614484.72910237</v>
      </c>
      <c r="G19" s="48">
        <f t="shared" si="1"/>
        <v>176866493.59999999</v>
      </c>
      <c r="H19" s="48">
        <f t="shared" si="1"/>
        <v>175448081.90000001</v>
      </c>
      <c r="I19" s="48">
        <f t="shared" si="1"/>
        <v>188925217.80000001</v>
      </c>
      <c r="J19" s="48">
        <f t="shared" si="1"/>
        <v>200223856.09999999</v>
      </c>
      <c r="K19" s="48">
        <f t="shared" si="1"/>
        <v>201333071.40000001</v>
      </c>
      <c r="L19" s="48">
        <f t="shared" si="1"/>
        <v>212883181.09999999</v>
      </c>
      <c r="M19" s="48">
        <f t="shared" si="1"/>
        <v>225644318.59999999</v>
      </c>
      <c r="N19" s="48">
        <f t="shared" si="1"/>
        <v>247723495.19999999</v>
      </c>
      <c r="O19" s="48">
        <f t="shared" si="1"/>
        <v>250945080.09999999</v>
      </c>
      <c r="P19" s="49">
        <f>'Spot Prices'!P19/'Spot Prices'!O19*WindFarmRevenue!O19</f>
        <v>270304068.86507964</v>
      </c>
      <c r="Q19" s="49">
        <f>'Spot Prices'!Q19/'Spot Prices'!P19*WindFarmRevenue!P19</f>
        <v>307726282.22200519</v>
      </c>
      <c r="R19" s="49">
        <f>'Spot Prices'!R19/'Spot Prices'!Q19*WindFarmRevenue!Q19</f>
        <v>309822704.29745436</v>
      </c>
      <c r="S19" s="49">
        <f>'Spot Prices'!S19/'Spot Prices'!R19*WindFarmRevenue!R19</f>
        <v>334549750.82022578</v>
      </c>
      <c r="T19" s="49">
        <f>'Spot Prices'!T19/'Spot Prices'!S19*WindFarmRevenue!S19</f>
        <v>333284358.5638082</v>
      </c>
      <c r="V19" s="48">
        <f t="shared" si="2"/>
        <v>23635890.5</v>
      </c>
      <c r="W19" s="48">
        <f t="shared" si="2"/>
        <v>84142618.069999993</v>
      </c>
    </row>
    <row r="20" spans="2:23" x14ac:dyDescent="0.3">
      <c r="B20" s="7">
        <v>0.5</v>
      </c>
      <c r="C20" s="39">
        <f t="shared" si="0"/>
        <v>0</v>
      </c>
      <c r="D20" s="39"/>
      <c r="E20" s="39">
        <f>AVERAGEIFS($E$39:$E$1048576,$B$39:$B$1048576,E$16,$C$39:$C$1048576,$B20,$D$39:$D$1048576,$B$15)*WindFarmLGCs!E20/WindFarmLGCs!V20</f>
        <v>135263054.8081716</v>
      </c>
      <c r="F20" s="39">
        <f>AVERAGEIFS($E$39:$E$1048576,$B$39:$B$1048576,F$16,$C$39:$C$1048576,$B20,$D$39:$D$1048576,$B$15)*WindFarmLGCs!F20/WindFarmLGCs!W20</f>
        <v>159112573.63723183</v>
      </c>
      <c r="G20" s="39">
        <f t="shared" si="1"/>
        <v>163525118.5</v>
      </c>
      <c r="H20" s="39">
        <f t="shared" si="1"/>
        <v>162578541.59999999</v>
      </c>
      <c r="I20" s="39">
        <f t="shared" si="1"/>
        <v>173026105.80000001</v>
      </c>
      <c r="J20" s="39">
        <f t="shared" si="1"/>
        <v>182952403.69999999</v>
      </c>
      <c r="K20" s="39">
        <f t="shared" si="1"/>
        <v>185825351.80000001</v>
      </c>
      <c r="L20" s="39">
        <f t="shared" si="1"/>
        <v>196026651.30000001</v>
      </c>
      <c r="M20" s="39">
        <f t="shared" si="1"/>
        <v>207616526.80000001</v>
      </c>
      <c r="N20" s="39">
        <f t="shared" si="1"/>
        <v>224968420.30000001</v>
      </c>
      <c r="O20" s="39">
        <f t="shared" si="1"/>
        <v>229793369.59999999</v>
      </c>
      <c r="P20" s="40">
        <f>'Spot Prices'!P20/'Spot Prices'!O20*WindFarmRevenue!O20</f>
        <v>249414065.07507312</v>
      </c>
      <c r="Q20" s="40">
        <f>'Spot Prices'!Q20/'Spot Prices'!P20*WindFarmRevenue!P20</f>
        <v>285620862.64102268</v>
      </c>
      <c r="R20" s="40">
        <f>'Spot Prices'!R20/'Spot Prices'!Q20*WindFarmRevenue!Q20</f>
        <v>288552681.24606526</v>
      </c>
      <c r="S20" s="40">
        <f>'Spot Prices'!S20/'Spot Prices'!R20*WindFarmRevenue!R20</f>
        <v>315428006.21775877</v>
      </c>
      <c r="T20" s="40">
        <f>'Spot Prices'!T20/'Spot Prices'!S20*WindFarmRevenue!S20</f>
        <v>312948552.95074058</v>
      </c>
      <c r="V20" s="39">
        <f t="shared" si="2"/>
        <v>22107451.52</v>
      </c>
      <c r="W20" s="39">
        <f t="shared" si="2"/>
        <v>78811005.359999999</v>
      </c>
    </row>
    <row r="21" spans="2:23" x14ac:dyDescent="0.3">
      <c r="B21" s="5">
        <v>0.25</v>
      </c>
      <c r="C21" s="48">
        <f t="shared" si="0"/>
        <v>0</v>
      </c>
      <c r="D21" s="48"/>
      <c r="E21" s="48">
        <f>AVERAGEIFS($E$39:$E$1048576,$B$39:$B$1048576,E$16,$C$39:$C$1048576,$B21,$D$39:$D$1048576,$B$15)*WindFarmLGCs!E21/WindFarmLGCs!V21</f>
        <v>126302083.82054074</v>
      </c>
      <c r="F21" s="48">
        <f>AVERAGEIFS($E$39:$E$1048576,$B$39:$B$1048576,F$16,$C$39:$C$1048576,$B21,$D$39:$D$1048576,$B$15)*WindFarmLGCs!F21/WindFarmLGCs!W21</f>
        <v>147615252.75620145</v>
      </c>
      <c r="G21" s="48">
        <f t="shared" si="1"/>
        <v>151581900</v>
      </c>
      <c r="H21" s="48">
        <f t="shared" si="1"/>
        <v>150219058.5</v>
      </c>
      <c r="I21" s="48">
        <f t="shared" si="1"/>
        <v>158641682.30000001</v>
      </c>
      <c r="J21" s="48">
        <f t="shared" si="1"/>
        <v>167610299.09999999</v>
      </c>
      <c r="K21" s="48">
        <f t="shared" si="1"/>
        <v>170643461.5</v>
      </c>
      <c r="L21" s="48">
        <f t="shared" si="1"/>
        <v>179644712.40000001</v>
      </c>
      <c r="M21" s="48">
        <f t="shared" si="1"/>
        <v>190138775.30000001</v>
      </c>
      <c r="N21" s="48">
        <f t="shared" si="1"/>
        <v>204998070.69999999</v>
      </c>
      <c r="O21" s="48">
        <f t="shared" si="1"/>
        <v>209284737.19999999</v>
      </c>
      <c r="P21" s="49">
        <f>'Spot Prices'!P21/'Spot Prices'!O21*WindFarmRevenue!O21</f>
        <v>223790795.24391699</v>
      </c>
      <c r="Q21" s="49">
        <f>'Spot Prices'!Q21/'Spot Prices'!P21*WindFarmRevenue!P21</f>
        <v>254544104.39675885</v>
      </c>
      <c r="R21" s="49">
        <f>'Spot Prices'!R21/'Spot Prices'!Q21*WindFarmRevenue!Q21</f>
        <v>252884624.01403686</v>
      </c>
      <c r="S21" s="49">
        <f>'Spot Prices'!S21/'Spot Prices'!R21*WindFarmRevenue!R21</f>
        <v>274292734.1283651</v>
      </c>
      <c r="T21" s="49">
        <f>'Spot Prices'!T21/'Spot Prices'!S21*WindFarmRevenue!S21</f>
        <v>269173260.64421695</v>
      </c>
      <c r="V21" s="48">
        <f t="shared" si="2"/>
        <v>20673689.039999999</v>
      </c>
      <c r="W21" s="48">
        <f t="shared" si="2"/>
        <v>73589896.510000005</v>
      </c>
    </row>
    <row r="22" spans="2:23" x14ac:dyDescent="0.3">
      <c r="B22" s="3">
        <v>0.05</v>
      </c>
      <c r="C22" s="17">
        <f t="shared" si="0"/>
        <v>0</v>
      </c>
      <c r="D22" s="17"/>
      <c r="E22" s="17">
        <f>AVERAGEIFS($E$39:$E$1048576,$B$39:$B$1048576,E$16,$C$39:$C$1048576,$B22,$D$39:$D$1048576,$B$15)*WindFarmLGCs!E22/WindFarmLGCs!V22</f>
        <v>115662049.5395477</v>
      </c>
      <c r="F22" s="17">
        <f>AVERAGEIFS($E$39:$E$1048576,$B$39:$B$1048576,F$16,$C$39:$C$1048576,$B22,$D$39:$D$1048576,$B$15)*WindFarmLGCs!F22/WindFarmLGCs!W22</f>
        <v>134477730.19248289</v>
      </c>
      <c r="G22" s="17">
        <f t="shared" si="1"/>
        <v>137483768.59999999</v>
      </c>
      <c r="H22" s="17">
        <f t="shared" si="1"/>
        <v>135249641.19999999</v>
      </c>
      <c r="I22" s="17">
        <f t="shared" si="1"/>
        <v>142600808.69999999</v>
      </c>
      <c r="J22" s="17">
        <f t="shared" si="1"/>
        <v>149990111.90000001</v>
      </c>
      <c r="K22" s="17">
        <f t="shared" si="1"/>
        <v>152929063.30000001</v>
      </c>
      <c r="L22" s="17">
        <f t="shared" si="1"/>
        <v>160156789.40000001</v>
      </c>
      <c r="M22" s="17">
        <f t="shared" si="1"/>
        <v>169444995</v>
      </c>
      <c r="N22" s="17">
        <f t="shared" si="1"/>
        <v>182477771.90000001</v>
      </c>
      <c r="O22" s="17">
        <f t="shared" si="1"/>
        <v>185371718.59999999</v>
      </c>
      <c r="P22" s="19">
        <f>'Spot Prices'!P22/'Spot Prices'!O22*WindFarmRevenue!O22</f>
        <v>193442794.54727381</v>
      </c>
      <c r="Q22" s="19">
        <f>'Spot Prices'!Q22/'Spot Prices'!P22*WindFarmRevenue!P22</f>
        <v>215697838.33654788</v>
      </c>
      <c r="R22" s="19">
        <f>'Spot Prices'!R22/'Spot Prices'!Q22*WindFarmRevenue!Q22</f>
        <v>199776023.24717337</v>
      </c>
      <c r="S22" s="19">
        <f>'Spot Prices'!S22/'Spot Prices'!R22*WindFarmRevenue!R22</f>
        <v>212491388.0115431</v>
      </c>
      <c r="T22" s="19">
        <f>'Spot Prices'!T22/'Spot Prices'!S22*WindFarmRevenue!S22</f>
        <v>201364844.97176233</v>
      </c>
      <c r="V22" s="17">
        <f t="shared" si="2"/>
        <v>18894041.68</v>
      </c>
      <c r="W22" s="17">
        <f t="shared" si="2"/>
        <v>67390481.599999994</v>
      </c>
    </row>
    <row r="23" spans="2:23" x14ac:dyDescent="0.3">
      <c r="B23" s="3">
        <v>0</v>
      </c>
      <c r="C23" s="17">
        <f t="shared" si="0"/>
        <v>0</v>
      </c>
      <c r="D23" s="17"/>
      <c r="E23" s="17">
        <f>AVERAGEIFS($E$39:$E$1048576,$B$39:$B$1048576,E$16,$C$39:$C$1048576,$B23,$D$39:$D$1048576,$B$15)*WindFarmLGCs!E23/WindFarmLGCs!V23</f>
        <v>95963519.222007945</v>
      </c>
      <c r="F23" s="17">
        <f>AVERAGEIFS($E$39:$E$1048576,$B$39:$B$1048576,F$16,$C$39:$C$1048576,$B23,$D$39:$D$1048576,$B$15)*WindFarmLGCs!F23/WindFarmLGCs!W23</f>
        <v>115138786.90362485</v>
      </c>
      <c r="G23" s="17">
        <f t="shared" si="1"/>
        <v>115915576.40000001</v>
      </c>
      <c r="H23" s="17">
        <f t="shared" si="1"/>
        <v>112144515.09999999</v>
      </c>
      <c r="I23" s="17">
        <f t="shared" si="1"/>
        <v>120197106.3</v>
      </c>
      <c r="J23" s="17">
        <f t="shared" si="1"/>
        <v>127870543</v>
      </c>
      <c r="K23" s="17">
        <f t="shared" si="1"/>
        <v>133610277.5</v>
      </c>
      <c r="L23" s="17">
        <f t="shared" si="1"/>
        <v>138830951.5</v>
      </c>
      <c r="M23" s="17">
        <f t="shared" si="1"/>
        <v>142289485.40000001</v>
      </c>
      <c r="N23" s="17">
        <f t="shared" si="1"/>
        <v>146464142.30000001</v>
      </c>
      <c r="O23" s="17">
        <f t="shared" si="1"/>
        <v>159347120.19999999</v>
      </c>
      <c r="P23" s="19">
        <f>'Spot Prices'!P23/'Spot Prices'!O23*WindFarmRevenue!O23</f>
        <v>156962961.57056445</v>
      </c>
      <c r="Q23" s="19">
        <f>'Spot Prices'!Q23/'Spot Prices'!P23*WindFarmRevenue!P23</f>
        <v>180428078.23942596</v>
      </c>
      <c r="R23" s="19">
        <f>'Spot Prices'!R23/'Spot Prices'!Q23*WindFarmRevenue!Q23</f>
        <v>164813100.59906846</v>
      </c>
      <c r="S23" s="19">
        <f>'Spot Prices'!S23/'Spot Prices'!R23*WindFarmRevenue!R23</f>
        <v>176003418.0463967</v>
      </c>
      <c r="T23" s="19">
        <f>'Spot Prices'!T23/'Spot Prices'!S23*WindFarmRevenue!S23</f>
        <v>151200103.60327688</v>
      </c>
      <c r="V23" s="17">
        <f t="shared" si="2"/>
        <v>15776973.529999999</v>
      </c>
      <c r="W23" s="17">
        <f t="shared" si="2"/>
        <v>55913134.880000003</v>
      </c>
    </row>
    <row r="24" spans="2:23" x14ac:dyDescent="0.3">
      <c r="B24" s="9" t="s">
        <v>29</v>
      </c>
      <c r="C24" s="48">
        <f t="shared" si="0"/>
        <v>0</v>
      </c>
      <c r="D24" s="48"/>
      <c r="E24" s="17">
        <f>AVERAGEIFS($E$39:$E$1048576,$B$39:$B$1048576,E$16,$C$39:$C$1048576,$B24,$D$39:$D$1048576,$B$15)*WindFarmLGCs!E24/WindFarmLGCs!V24</f>
        <v>135747643.37497935</v>
      </c>
      <c r="F24" s="17">
        <f>AVERAGEIFS($E$39:$E$1048576,$B$39:$B$1048576,F$16,$C$39:$C$1048576,$B24,$D$39:$D$1048576,$B$15)*WindFarmLGCs!F24/WindFarmLGCs!W24</f>
        <v>160714307.98725352</v>
      </c>
      <c r="G24" s="48">
        <f t="shared" si="1"/>
        <v>164569770.90000001</v>
      </c>
      <c r="H24" s="48">
        <f t="shared" si="1"/>
        <v>163077316.80000001</v>
      </c>
      <c r="I24" s="48">
        <f t="shared" si="1"/>
        <v>174302409.80000001</v>
      </c>
      <c r="J24" s="48">
        <f t="shared" si="1"/>
        <v>184477598.90000001</v>
      </c>
      <c r="K24" s="48">
        <f t="shared" si="1"/>
        <v>186348159.30000001</v>
      </c>
      <c r="L24" s="48">
        <f t="shared" si="1"/>
        <v>196662966.90000001</v>
      </c>
      <c r="M24" s="48">
        <f t="shared" si="1"/>
        <v>208181135.09999999</v>
      </c>
      <c r="N24" s="48">
        <f t="shared" si="1"/>
        <v>227146141.5</v>
      </c>
      <c r="O24" s="48">
        <f t="shared" si="1"/>
        <v>230640026.5</v>
      </c>
      <c r="P24" s="49">
        <f>'Spot Prices'!P24/'Spot Prices'!O24*WindFarmRevenue!O24</f>
        <v>247549151.00321007</v>
      </c>
      <c r="Q24" s="49">
        <f>'Spot Prices'!Q24/'Spot Prices'!P24*WindFarmRevenue!P24</f>
        <v>280280406.37696046</v>
      </c>
      <c r="R24" s="49">
        <f>'Spot Prices'!R24/'Spot Prices'!Q24*WindFarmRevenue!Q24</f>
        <v>279619765.21348369</v>
      </c>
      <c r="S24" s="49">
        <f>'Spot Prices'!S24/'Spot Prices'!R24*WindFarmRevenue!R24</f>
        <v>301808509.16309178</v>
      </c>
      <c r="T24" s="49">
        <f>'Spot Prices'!T24/'Spot Prices'!S24*WindFarmRevenue!S24</f>
        <v>298083363.70897621</v>
      </c>
      <c r="V24" s="48">
        <f t="shared" si="2"/>
        <v>22233938.98</v>
      </c>
      <c r="W24" s="48">
        <f t="shared" si="2"/>
        <v>79093350.840000004</v>
      </c>
    </row>
    <row r="26" spans="2:23" x14ac:dyDescent="0.3">
      <c r="B26" s="1" t="str">
        <f>"Adjusted "&amp;B15</f>
        <v>Adjusted Golden Plains Revenue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20">
        <f t="shared" ref="E28:O28" si="4">(E17*(1+E6))*($E$26)</f>
        <v>186378618.43794098</v>
      </c>
      <c r="F28" s="20">
        <f t="shared" si="4"/>
        <v>222464416.96639153</v>
      </c>
      <c r="G28" s="20">
        <f t="shared" si="4"/>
        <v>211811716.73689619</v>
      </c>
      <c r="H28" s="20">
        <f t="shared" si="4"/>
        <v>203108803.78537595</v>
      </c>
      <c r="I28" s="20">
        <f t="shared" si="4"/>
        <v>244791226.45933941</v>
      </c>
      <c r="J28" s="20">
        <f t="shared" si="4"/>
        <v>264881742.90469536</v>
      </c>
      <c r="K28" s="20">
        <f t="shared" si="4"/>
        <v>241503884.76001397</v>
      </c>
      <c r="L28" s="20">
        <f t="shared" si="4"/>
        <v>264565319.75156417</v>
      </c>
      <c r="M28" s="20">
        <f t="shared" si="4"/>
        <v>265277338.99937493</v>
      </c>
      <c r="N28" s="20">
        <f t="shared" si="4"/>
        <v>327950213.81134319</v>
      </c>
      <c r="O28" s="20">
        <f t="shared" si="4"/>
        <v>308540986.37306941</v>
      </c>
      <c r="P28" s="21">
        <f>(O28*'Spot Prices'!P5/'Spot Prices'!O5)*($E$26)</f>
        <v>322897208.3166182</v>
      </c>
      <c r="Q28" s="21">
        <f>(P28*'Spot Prices'!Q5/'Spot Prices'!P5)*($E$26)</f>
        <v>355810533.86000419</v>
      </c>
      <c r="R28" s="21">
        <f>(Q28*'Spot Prices'!R5/'Spot Prices'!Q5)*($E$26)</f>
        <v>354074990.31440628</v>
      </c>
      <c r="S28" s="21">
        <f>(R28*'Spot Prices'!S5/'Spot Prices'!R5)*($E$26)</f>
        <v>367310082.06518686</v>
      </c>
      <c r="T28" s="21">
        <f>(S28*'Spot Prices'!T5/'Spot Prices'!S5)*($E$26)</f>
        <v>363083014.1507706</v>
      </c>
    </row>
    <row r="29" spans="2:23" x14ac:dyDescent="0.3">
      <c r="B29" s="3">
        <v>0.95</v>
      </c>
      <c r="C29" s="20">
        <f t="shared" si="3"/>
        <v>0</v>
      </c>
      <c r="D29" s="20"/>
      <c r="E29" s="20">
        <f t="shared" ref="E29:O29" si="5">(E18*(1+E7))*($E$26)</f>
        <v>157722608.28965744</v>
      </c>
      <c r="F29" s="20">
        <f t="shared" si="5"/>
        <v>167505401.50911164</v>
      </c>
      <c r="G29" s="20">
        <f t="shared" si="5"/>
        <v>152272198.87588754</v>
      </c>
      <c r="H29" s="20">
        <f t="shared" si="5"/>
        <v>161935141.27155271</v>
      </c>
      <c r="I29" s="20">
        <f t="shared" si="5"/>
        <v>185287089.06395906</v>
      </c>
      <c r="J29" s="20">
        <f t="shared" si="5"/>
        <v>207807470.40163773</v>
      </c>
      <c r="K29" s="20">
        <f t="shared" si="5"/>
        <v>196877704.29308122</v>
      </c>
      <c r="L29" s="20">
        <f t="shared" si="5"/>
        <v>209270312.54862478</v>
      </c>
      <c r="M29" s="20">
        <f t="shared" si="5"/>
        <v>216290742.85583785</v>
      </c>
      <c r="N29" s="20">
        <f t="shared" si="5"/>
        <v>258342473.65745118</v>
      </c>
      <c r="O29" s="20">
        <f t="shared" si="5"/>
        <v>245154951.1530166</v>
      </c>
      <c r="P29" s="21">
        <f>(O29*'Spot Prices'!P6/'Spot Prices'!O6)*($E$26)</f>
        <v>263156998.04633486</v>
      </c>
      <c r="Q29" s="21">
        <f>(P29*'Spot Prices'!Q6/'Spot Prices'!P6)*($E$26)</f>
        <v>292445372.5279339</v>
      </c>
      <c r="R29" s="21">
        <f>(Q29*'Spot Prices'!R6/'Spot Prices'!Q6)*($E$26)</f>
        <v>295639666.98362398</v>
      </c>
      <c r="S29" s="21">
        <f>(R29*'Spot Prices'!S6/'Spot Prices'!R6)*($E$26)</f>
        <v>311533894.41287613</v>
      </c>
      <c r="T29" s="21">
        <f>(S29*'Spot Prices'!T6/'Spot Prices'!S6)*($E$26)</f>
        <v>311557068.27981675</v>
      </c>
    </row>
    <row r="30" spans="2:23" x14ac:dyDescent="0.3">
      <c r="B30" s="5">
        <v>0.75</v>
      </c>
      <c r="C30" s="51">
        <f t="shared" si="3"/>
        <v>0</v>
      </c>
      <c r="D30" s="51"/>
      <c r="E30" s="51">
        <f t="shared" ref="E30:O30" si="6">(E19*(1+E8))*($E$26)</f>
        <v>144393182.14481255</v>
      </c>
      <c r="F30" s="51">
        <f t="shared" si="6"/>
        <v>147384795.27502832</v>
      </c>
      <c r="G30" s="51">
        <f t="shared" si="6"/>
        <v>127520183.70016204</v>
      </c>
      <c r="H30" s="51">
        <f t="shared" si="6"/>
        <v>140371303.64866143</v>
      </c>
      <c r="I30" s="51">
        <f t="shared" si="6"/>
        <v>161867943.79193684</v>
      </c>
      <c r="J30" s="51">
        <f t="shared" si="6"/>
        <v>180288794.12019426</v>
      </c>
      <c r="K30" s="51">
        <f t="shared" si="6"/>
        <v>174330022.87426403</v>
      </c>
      <c r="L30" s="51">
        <f t="shared" si="6"/>
        <v>185937478.14996937</v>
      </c>
      <c r="M30" s="51">
        <f t="shared" si="6"/>
        <v>191604122.80305779</v>
      </c>
      <c r="N30" s="51">
        <f t="shared" si="6"/>
        <v>226672220.58225375</v>
      </c>
      <c r="O30" s="51">
        <f t="shared" si="6"/>
        <v>216438051.17238584</v>
      </c>
      <c r="P30" s="52">
        <f>(O30*'Spot Prices'!P7/'Spot Prices'!O7)*($E$26)</f>
        <v>233135018.49014419</v>
      </c>
      <c r="Q30" s="52">
        <f>(P30*'Spot Prices'!Q7/'Spot Prices'!P7)*($E$26)</f>
        <v>265411367.26854044</v>
      </c>
      <c r="R30" s="52">
        <f>(Q30*'Spot Prices'!R7/'Spot Prices'!Q7)*($E$26)</f>
        <v>267219513.92861515</v>
      </c>
      <c r="S30" s="52">
        <f>(R30*'Spot Prices'!S7/'Spot Prices'!R7)*($E$26)</f>
        <v>288546386.55949068</v>
      </c>
      <c r="T30" s="52">
        <f>(S30*'Spot Prices'!T7/'Spot Prices'!S7)*($E$26)</f>
        <v>287454996.22883147</v>
      </c>
    </row>
    <row r="31" spans="2:23" x14ac:dyDescent="0.3">
      <c r="B31" s="7">
        <v>0.5</v>
      </c>
      <c r="C31" s="43">
        <f t="shared" si="3"/>
        <v>0</v>
      </c>
      <c r="D31" s="43"/>
      <c r="E31" s="43">
        <f t="shared" ref="E31:O31" si="7">(E20*(1+E9))*($E$26)</f>
        <v>135135525.12886617</v>
      </c>
      <c r="F31" s="43">
        <f t="shared" si="7"/>
        <v>133951612.20029986</v>
      </c>
      <c r="G31" s="43">
        <f t="shared" si="7"/>
        <v>111439403.3073076</v>
      </c>
      <c r="H31" s="43">
        <f t="shared" si="7"/>
        <v>125991576.05940282</v>
      </c>
      <c r="I31" s="43">
        <f t="shared" si="7"/>
        <v>146224379.08232853</v>
      </c>
      <c r="J31" s="43">
        <f t="shared" si="7"/>
        <v>162722458.52709383</v>
      </c>
      <c r="K31" s="43">
        <f t="shared" si="7"/>
        <v>159538151.97249055</v>
      </c>
      <c r="L31" s="43">
        <f t="shared" si="7"/>
        <v>169465261.80493057</v>
      </c>
      <c r="M31" s="43">
        <f t="shared" si="7"/>
        <v>173274817.79909045</v>
      </c>
      <c r="N31" s="43">
        <f t="shared" si="7"/>
        <v>204571643.12442312</v>
      </c>
      <c r="O31" s="43">
        <f t="shared" si="7"/>
        <v>194578604.31273797</v>
      </c>
      <c r="P31" s="44">
        <f>(O31*'Spot Prices'!P8/'Spot Prices'!O8)*($E$26)</f>
        <v>211192519.44802037</v>
      </c>
      <c r="Q31" s="44">
        <f>(P31*'Spot Prices'!Q8/'Spot Prices'!P8)*($E$26)</f>
        <v>241850793.65880203</v>
      </c>
      <c r="R31" s="44">
        <f>(Q31*'Spot Prices'!R8/'Spot Prices'!Q8)*($E$26)</f>
        <v>244333324.6964047</v>
      </c>
      <c r="S31" s="44">
        <f>(R31*'Spot Prices'!S8/'Spot Prices'!R8)*($E$26)</f>
        <v>267090131.09402236</v>
      </c>
      <c r="T31" s="44">
        <f>(S31*'Spot Prices'!T8/'Spot Prices'!S8)*($E$26)</f>
        <v>264990642.51001814</v>
      </c>
    </row>
    <row r="32" spans="2:23" x14ac:dyDescent="0.3">
      <c r="B32" s="5">
        <v>0.25</v>
      </c>
      <c r="C32" s="51">
        <f t="shared" si="3"/>
        <v>0</v>
      </c>
      <c r="D32" s="51"/>
      <c r="E32" s="51">
        <f t="shared" ref="E32:O32" si="8">(E21*(1+E10))*($E$26)</f>
        <v>126189935.70305276</v>
      </c>
      <c r="F32" s="51">
        <f t="shared" si="8"/>
        <v>122404905.75710496</v>
      </c>
      <c r="G32" s="51">
        <f t="shared" si="8"/>
        <v>96385166.251694307</v>
      </c>
      <c r="H32" s="51">
        <f t="shared" si="8"/>
        <v>113170137.45088623</v>
      </c>
      <c r="I32" s="51">
        <f t="shared" si="8"/>
        <v>131219625.79434644</v>
      </c>
      <c r="J32" s="51">
        <f t="shared" si="8"/>
        <v>147348037.5507569</v>
      </c>
      <c r="K32" s="51">
        <f t="shared" si="8"/>
        <v>145370899.79564276</v>
      </c>
      <c r="L32" s="51">
        <f t="shared" si="8"/>
        <v>154489840.20289111</v>
      </c>
      <c r="M32" s="51">
        <f t="shared" si="8"/>
        <v>157532360.77693659</v>
      </c>
      <c r="N32" s="51">
        <f t="shared" si="8"/>
        <v>185106740.52313364</v>
      </c>
      <c r="O32" s="51">
        <f t="shared" si="8"/>
        <v>175840080.94966057</v>
      </c>
      <c r="P32" s="52">
        <f>(O32*'Spot Prices'!P9/'Spot Prices'!O9)*($E$26)</f>
        <v>188028004.70764232</v>
      </c>
      <c r="Q32" s="52">
        <f>(P32*'Spot Prices'!Q9/'Spot Prices'!P9)*($E$26)</f>
        <v>213866794.68943584</v>
      </c>
      <c r="R32" s="52">
        <f>(Q32*'Spot Prices'!R9/'Spot Prices'!Q9)*($E$26)</f>
        <v>212472506.84629822</v>
      </c>
      <c r="S32" s="52">
        <f>(R32*'Spot Prices'!S9/'Spot Prices'!R9)*($E$26)</f>
        <v>230459503.25055736</v>
      </c>
      <c r="T32" s="52">
        <f>(S32*'Spot Prices'!T9/'Spot Prices'!S9)*($E$26)</f>
        <v>226158144.99617124</v>
      </c>
    </row>
    <row r="33" spans="2:20" x14ac:dyDescent="0.3">
      <c r="B33" s="3">
        <v>0.05</v>
      </c>
      <c r="C33" s="20">
        <f t="shared" si="3"/>
        <v>0</v>
      </c>
      <c r="D33" s="20"/>
      <c r="E33" s="20">
        <f t="shared" ref="E33:O33" si="9">(E22*(1+E11))*($E$26)</f>
        <v>115462716.40327741</v>
      </c>
      <c r="F33" s="20">
        <f t="shared" si="9"/>
        <v>108289379.95130526</v>
      </c>
      <c r="G33" s="20">
        <f t="shared" si="9"/>
        <v>77559233.532807812</v>
      </c>
      <c r="H33" s="20">
        <f t="shared" si="9"/>
        <v>97220850.344614103</v>
      </c>
      <c r="I33" s="20">
        <f t="shared" si="9"/>
        <v>113714316.56226619</v>
      </c>
      <c r="J33" s="20">
        <f t="shared" si="9"/>
        <v>128422129.677451</v>
      </c>
      <c r="K33" s="20">
        <f t="shared" si="9"/>
        <v>128241919.56175737</v>
      </c>
      <c r="L33" s="20">
        <f t="shared" si="9"/>
        <v>134687231.10104975</v>
      </c>
      <c r="M33" s="20">
        <f t="shared" si="9"/>
        <v>136986241.5994322</v>
      </c>
      <c r="N33" s="20">
        <f t="shared" si="9"/>
        <v>162653169.80965376</v>
      </c>
      <c r="O33" s="20">
        <f t="shared" si="9"/>
        <v>152933465.47754297</v>
      </c>
      <c r="P33" s="21">
        <f>(O33*'Spot Prices'!P10/'Spot Prices'!O10)*($E$26)</f>
        <v>159592181.40288061</v>
      </c>
      <c r="Q33" s="21">
        <f>(P33*'Spot Prices'!Q10/'Spot Prices'!P10)*($E$26)</f>
        <v>177952808.34615451</v>
      </c>
      <c r="R33" s="21">
        <f>(Q33*'Spot Prices'!R10/'Spot Prices'!Q10)*($E$26)</f>
        <v>164817156.49645168</v>
      </c>
      <c r="S33" s="21">
        <f>(R33*'Spot Prices'!S10/'Spot Prices'!R10)*($E$26)</f>
        <v>175307455.73364127</v>
      </c>
      <c r="T33" s="21">
        <f>(S33*'Spot Prices'!T10/'Spot Prices'!S10)*($E$26)</f>
        <v>166127949.82675311</v>
      </c>
    </row>
    <row r="34" spans="2:20" x14ac:dyDescent="0.3">
      <c r="B34" s="3">
        <v>0</v>
      </c>
      <c r="C34" s="20">
        <f t="shared" si="3"/>
        <v>0</v>
      </c>
      <c r="D34" s="20"/>
      <c r="E34" s="20">
        <f t="shared" ref="E34:O34" si="10">(E23*(1+E12))*($E$26)</f>
        <v>96956566.800416023</v>
      </c>
      <c r="F34" s="20">
        <f t="shared" si="10"/>
        <v>93031494.442598641</v>
      </c>
      <c r="G34" s="20">
        <f t="shared" si="10"/>
        <v>45759495.32189811</v>
      </c>
      <c r="H34" s="20">
        <f t="shared" si="10"/>
        <v>62395433.969227552</v>
      </c>
      <c r="I34" s="20">
        <f t="shared" si="10"/>
        <v>74045192.847051591</v>
      </c>
      <c r="J34" s="20">
        <f t="shared" si="10"/>
        <v>100435723.67133693</v>
      </c>
      <c r="K34" s="20">
        <f t="shared" si="10"/>
        <v>107047153.50750321</v>
      </c>
      <c r="L34" s="20">
        <f t="shared" si="10"/>
        <v>105318504.2359927</v>
      </c>
      <c r="M34" s="20">
        <f t="shared" si="10"/>
        <v>111200232.75380585</v>
      </c>
      <c r="N34" s="20">
        <f t="shared" si="10"/>
        <v>123508396.51591046</v>
      </c>
      <c r="O34" s="20">
        <f t="shared" si="10"/>
        <v>122997261.05802006</v>
      </c>
      <c r="P34" s="21">
        <f>(O34*'Spot Prices'!P11/'Spot Prices'!O11)*($E$26)</f>
        <v>121156970.62176771</v>
      </c>
      <c r="Q34" s="21">
        <f>(P34*'Spot Prices'!Q11/'Spot Prices'!P11)*($E$26)</f>
        <v>139269284.65075296</v>
      </c>
      <c r="R34" s="21">
        <f>(Q34*'Spot Prices'!R11/'Spot Prices'!Q11)*($E$26)</f>
        <v>127216355.93239513</v>
      </c>
      <c r="S34" s="21">
        <f>(R34*'Spot Prices'!S11/'Spot Prices'!R11)*($E$26)</f>
        <v>135853966.66965619</v>
      </c>
      <c r="T34" s="21">
        <f>(S34*'Spot Prices'!T11/'Spot Prices'!S11)*($E$26)</f>
        <v>116708721.13377501</v>
      </c>
    </row>
    <row r="35" spans="2:20" x14ac:dyDescent="0.3">
      <c r="B35" s="9" t="s">
        <v>29</v>
      </c>
      <c r="C35" s="51">
        <f t="shared" si="3"/>
        <v>0</v>
      </c>
      <c r="D35" s="51"/>
      <c r="E35" s="51">
        <f t="shared" ref="E35:O35" si="11">(E24*(1+E13))*($E$26)</f>
        <v>135708096.96412969</v>
      </c>
      <c r="F35" s="51">
        <f t="shared" si="11"/>
        <v>135505963.37240779</v>
      </c>
      <c r="G35" s="51">
        <f t="shared" si="11"/>
        <v>112699186.00544661</v>
      </c>
      <c r="H35" s="51">
        <f t="shared" si="11"/>
        <v>127346247.32189839</v>
      </c>
      <c r="I35" s="51">
        <f t="shared" si="11"/>
        <v>147370945.10312983</v>
      </c>
      <c r="J35" s="51">
        <f t="shared" si="11"/>
        <v>164726974.70905137</v>
      </c>
      <c r="K35" s="51">
        <f t="shared" si="11"/>
        <v>160581099.68613264</v>
      </c>
      <c r="L35" s="51">
        <f t="shared" si="11"/>
        <v>170649802.03807631</v>
      </c>
      <c r="M35" s="51">
        <f t="shared" si="11"/>
        <v>174895378.01350874</v>
      </c>
      <c r="N35" s="51">
        <f t="shared" si="11"/>
        <v>206770865.39617789</v>
      </c>
      <c r="O35" s="51">
        <f t="shared" si="11"/>
        <v>196702694.08648479</v>
      </c>
      <c r="P35" s="52">
        <f>(O35*'Spot Prices'!P12/'Spot Prices'!O12)*($E$26)</f>
        <v>211123739.7085256</v>
      </c>
      <c r="Q35" s="52">
        <f>(P35*'Spot Prices'!Q12/'Spot Prices'!P12)*($E$26)</f>
        <v>239038782.08235845</v>
      </c>
      <c r="R35" s="52">
        <f>(Q35*'Spot Prices'!R12/'Spot Prices'!Q12)*($E$26)</f>
        <v>238475350.40637261</v>
      </c>
      <c r="S35" s="52">
        <f>(R35*'Spot Prices'!S12/'Spot Prices'!R12)*($E$26)</f>
        <v>257399150.31880063</v>
      </c>
      <c r="T35" s="52">
        <f>(S35*'Spot Prices'!T12/'Spot Prices'!S12)*($E$26)</f>
        <v>254222138.25455445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8D8F-90E5-46BC-9D0F-BCEDCC011D18}">
  <dimension ref="A4:W1468"/>
  <sheetViews>
    <sheetView topLeftCell="A13" workbookViewId="0">
      <selection activeCell="E27" sqref="E2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2.6640625" bestFit="1" customWidth="1"/>
    <col min="23" max="23" width="10.109375" bestFit="1" customWidth="1"/>
  </cols>
  <sheetData>
    <row r="4" spans="1:23" x14ac:dyDescent="0.3">
      <c r="B4" s="1" t="s">
        <v>30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</row>
    <row r="5" spans="1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6">
        <f>VLOOKUP($B6,$J$39:$U$45,C$4+1,FALSE)</f>
        <v>57.636999999999972</v>
      </c>
      <c r="D6" s="16">
        <f t="shared" ref="D6:M6" si="0">VLOOKUP($B6,$J$39:$U$45,D$4+1,FALSE)</f>
        <v>49.818999999999946</v>
      </c>
      <c r="E6" s="16">
        <f t="shared" si="0"/>
        <v>45.777999999999949</v>
      </c>
      <c r="F6" s="16">
        <f t="shared" si="0"/>
        <v>34.632200000000012</v>
      </c>
      <c r="G6" s="16">
        <f t="shared" si="0"/>
        <v>31.311899999999994</v>
      </c>
      <c r="H6" s="16">
        <f t="shared" si="0"/>
        <v>27.3782</v>
      </c>
      <c r="I6" s="16">
        <f t="shared" si="0"/>
        <v>22.933400000000002</v>
      </c>
      <c r="J6" s="16">
        <f t="shared" si="0"/>
        <v>18.974</v>
      </c>
      <c r="K6" s="16">
        <f t="shared" si="0"/>
        <v>17.897500000000004</v>
      </c>
      <c r="L6" s="16">
        <f t="shared" si="0"/>
        <v>17.1966</v>
      </c>
      <c r="M6" s="16">
        <f t="shared" si="0"/>
        <v>18.9956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</row>
    <row r="7" spans="1:23" x14ac:dyDescent="0.3">
      <c r="A7" s="3">
        <v>0.05</v>
      </c>
      <c r="B7" s="3">
        <v>0.95</v>
      </c>
      <c r="C7" s="16">
        <f t="shared" ref="C7:M12" si="1">VLOOKUP($B7,$J$39:$U$45,C$4+1,FALSE)</f>
        <v>50.694051321874696</v>
      </c>
      <c r="D7" s="16">
        <f t="shared" si="1"/>
        <v>43.094964846874788</v>
      </c>
      <c r="E7" s="16">
        <f t="shared" si="1"/>
        <v>41.381785187499936</v>
      </c>
      <c r="F7" s="16">
        <f t="shared" si="1"/>
        <v>32.563489243750006</v>
      </c>
      <c r="G7" s="16">
        <f t="shared" si="1"/>
        <v>29.05603120624999</v>
      </c>
      <c r="H7" s="16">
        <f t="shared" si="1"/>
        <v>23.947108287500001</v>
      </c>
      <c r="I7" s="16">
        <f t="shared" si="1"/>
        <v>19.635811900000007</v>
      </c>
      <c r="J7" s="16">
        <f t="shared" si="1"/>
        <v>16.720925818750004</v>
      </c>
      <c r="K7" s="16">
        <f t="shared" si="1"/>
        <v>15.67138478750001</v>
      </c>
      <c r="L7" s="16">
        <f t="shared" si="1"/>
        <v>14.832466875000012</v>
      </c>
      <c r="M7" s="16">
        <f t="shared" si="1"/>
        <v>16.330187937500011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</row>
    <row r="8" spans="1:23" x14ac:dyDescent="0.3">
      <c r="A8" s="3">
        <v>0.25</v>
      </c>
      <c r="B8" s="5">
        <v>0.75</v>
      </c>
      <c r="C8" s="61">
        <f t="shared" si="1"/>
        <v>42.468974609374939</v>
      </c>
      <c r="D8" s="61">
        <f t="shared" si="1"/>
        <v>32.835740234374995</v>
      </c>
      <c r="E8" s="61">
        <f t="shared" si="1"/>
        <v>29.692085937499989</v>
      </c>
      <c r="F8" s="61">
        <f t="shared" si="1"/>
        <v>22.660227343750012</v>
      </c>
      <c r="G8" s="61">
        <f t="shared" si="1"/>
        <v>19.915903906249994</v>
      </c>
      <c r="H8" s="61">
        <f t="shared" si="1"/>
        <v>14.490754687500001</v>
      </c>
      <c r="I8" s="61">
        <f t="shared" si="1"/>
        <v>12.079324999999997</v>
      </c>
      <c r="J8" s="61">
        <f t="shared" si="1"/>
        <v>11.246174218749999</v>
      </c>
      <c r="K8" s="61">
        <f t="shared" si="1"/>
        <v>10.2691046875</v>
      </c>
      <c r="L8" s="61">
        <f t="shared" si="1"/>
        <v>9.5615843749999989</v>
      </c>
      <c r="M8" s="61">
        <f t="shared" si="1"/>
        <v>10.220135937499998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</row>
    <row r="9" spans="1:23" x14ac:dyDescent="0.3">
      <c r="A9" s="3">
        <v>0.5</v>
      </c>
      <c r="B9" s="7">
        <v>0.5</v>
      </c>
      <c r="C9" s="62">
        <f t="shared" si="1"/>
        <v>35.197062499999987</v>
      </c>
      <c r="D9" s="62">
        <f t="shared" si="1"/>
        <v>25.5115625</v>
      </c>
      <c r="E9" s="62">
        <f t="shared" si="1"/>
        <v>18.321249999999992</v>
      </c>
      <c r="F9" s="62">
        <f t="shared" si="1"/>
        <v>12.188387500000001</v>
      </c>
      <c r="G9" s="62">
        <f t="shared" si="1"/>
        <v>11.242962500000001</v>
      </c>
      <c r="H9" s="62">
        <f t="shared" si="1"/>
        <v>9.1115750000000002</v>
      </c>
      <c r="I9" s="62">
        <f t="shared" si="1"/>
        <v>8.9181249999999999</v>
      </c>
      <c r="J9" s="62">
        <f t="shared" si="1"/>
        <v>8.5445124999999997</v>
      </c>
      <c r="K9" s="62">
        <f t="shared" si="1"/>
        <v>7.5581000000000005</v>
      </c>
      <c r="L9" s="62">
        <f t="shared" si="1"/>
        <v>7.5354749999999999</v>
      </c>
      <c r="M9" s="62">
        <f t="shared" si="1"/>
        <v>7.5893750000000004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</row>
    <row r="10" spans="1:23" x14ac:dyDescent="0.3">
      <c r="A10" s="3">
        <v>0.75</v>
      </c>
      <c r="B10" s="5">
        <v>0.25</v>
      </c>
      <c r="C10" s="61">
        <f t="shared" si="1"/>
        <v>27.456126953125001</v>
      </c>
      <c r="D10" s="61">
        <f t="shared" si="1"/>
        <v>18.864923828124997</v>
      </c>
      <c r="E10" s="61">
        <f t="shared" si="1"/>
        <v>11.6905703125</v>
      </c>
      <c r="F10" s="61">
        <f t="shared" si="1"/>
        <v>7.4750398437500003</v>
      </c>
      <c r="G10" s="61">
        <f t="shared" si="1"/>
        <v>7.1172164062499998</v>
      </c>
      <c r="H10" s="61">
        <f t="shared" si="1"/>
        <v>6.8796921874999999</v>
      </c>
      <c r="I10" s="61">
        <f t="shared" si="1"/>
        <v>6.8054562499999998</v>
      </c>
      <c r="J10" s="61">
        <f t="shared" si="1"/>
        <v>6.7079679687500002</v>
      </c>
      <c r="K10" s="61">
        <f t="shared" si="1"/>
        <v>5.7817984375</v>
      </c>
      <c r="L10" s="61">
        <f t="shared" si="1"/>
        <v>6.031865625</v>
      </c>
      <c r="M10" s="61">
        <f t="shared" si="1"/>
        <v>5.6837234375000003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</row>
    <row r="11" spans="1:23" x14ac:dyDescent="0.3">
      <c r="A11" s="3">
        <v>0.95</v>
      </c>
      <c r="B11" s="3">
        <v>0.05</v>
      </c>
      <c r="C11" s="16">
        <f t="shared" si="1"/>
        <v>24.662665240625</v>
      </c>
      <c r="D11" s="16">
        <f t="shared" si="1"/>
        <v>16.163354215624999</v>
      </c>
      <c r="E11" s="16">
        <f t="shared" si="1"/>
        <v>9.3770910624999999</v>
      </c>
      <c r="F11" s="16">
        <f t="shared" si="1"/>
        <v>6.1275237437500003</v>
      </c>
      <c r="G11" s="16">
        <f t="shared" si="1"/>
        <v>5.3977177062499999</v>
      </c>
      <c r="H11" s="16">
        <f t="shared" si="1"/>
        <v>5.2583517874999997</v>
      </c>
      <c r="I11" s="16">
        <f t="shared" si="1"/>
        <v>5.0611421500000002</v>
      </c>
      <c r="J11" s="16">
        <f t="shared" si="1"/>
        <v>5.0734205687500005</v>
      </c>
      <c r="K11" s="16">
        <f t="shared" si="1"/>
        <v>4.5590195375000002</v>
      </c>
      <c r="L11" s="16">
        <f t="shared" si="1"/>
        <v>4.5282431249999995</v>
      </c>
      <c r="M11" s="16">
        <f t="shared" si="1"/>
        <v>4.0527614375000001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</row>
    <row r="12" spans="1:23" x14ac:dyDescent="0.3">
      <c r="A12" s="3">
        <v>1</v>
      </c>
      <c r="B12" s="3">
        <v>0</v>
      </c>
      <c r="C12" s="16">
        <f t="shared" si="1"/>
        <v>21.599</v>
      </c>
      <c r="D12" s="16">
        <f t="shared" si="1"/>
        <v>13.901</v>
      </c>
      <c r="E12" s="16">
        <f t="shared" si="1"/>
        <v>7.7720000000000002</v>
      </c>
      <c r="F12" s="16">
        <f t="shared" si="1"/>
        <v>5.5972</v>
      </c>
      <c r="G12" s="16">
        <f t="shared" si="1"/>
        <v>4.7908999999999997</v>
      </c>
      <c r="H12" s="16">
        <f t="shared" si="1"/>
        <v>4.7321999999999997</v>
      </c>
      <c r="I12" s="16">
        <f t="shared" si="1"/>
        <v>4.8235999999999999</v>
      </c>
      <c r="J12" s="16">
        <f t="shared" si="1"/>
        <v>4.7209000000000003</v>
      </c>
      <c r="K12" s="16">
        <f t="shared" si="1"/>
        <v>4.4062000000000001</v>
      </c>
      <c r="L12" s="16">
        <f t="shared" si="1"/>
        <v>4.2580999999999998</v>
      </c>
      <c r="M12" s="16">
        <f t="shared" si="1"/>
        <v>3.8039000000000001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</row>
    <row r="13" spans="1:23" x14ac:dyDescent="0.3">
      <c r="B13" s="9" t="s">
        <v>29</v>
      </c>
      <c r="C13" s="61">
        <f>SUMPRODUCT(C6:C12,$A$28:$A$34)/SUM($A$28:$A$34)</f>
        <v>35.46549832921643</v>
      </c>
      <c r="D13" s="61">
        <f>SUMPRODUCT(D6:D12,$A$28:$A$34)/SUM($A$28:$A$34)</f>
        <v>26.485001511955346</v>
      </c>
      <c r="E13" s="61">
        <f>SUMPRODUCT(E6:E12,$A$28:$A$34)/SUM($A$28:$A$34)</f>
        <v>21.242895855968651</v>
      </c>
      <c r="F13" s="61">
        <f t="shared" ref="F13:M13" si="2">SUMPRODUCT(F6:F12,$A$28:$A$34)/SUM($A$28:$A$34)</f>
        <v>15.48697765696935</v>
      </c>
      <c r="G13" s="61">
        <f t="shared" si="2"/>
        <v>13.907076482216102</v>
      </c>
      <c r="H13" s="61">
        <f t="shared" si="2"/>
        <v>11.213764104168945</v>
      </c>
      <c r="I13" s="61">
        <f t="shared" si="2"/>
        <v>9.9084511920730147</v>
      </c>
      <c r="J13" s="61">
        <f t="shared" si="2"/>
        <v>9.2713229112963251</v>
      </c>
      <c r="K13" s="61">
        <f t="shared" si="2"/>
        <v>8.3476791291388057</v>
      </c>
      <c r="L13" s="61">
        <f t="shared" si="2"/>
        <v>8.1073338368162382</v>
      </c>
      <c r="M13" s="61">
        <f t="shared" si="2"/>
        <v>8.3139930062639493</v>
      </c>
      <c r="N13" s="46"/>
      <c r="O13" s="46"/>
      <c r="P13" s="46"/>
      <c r="Q13" s="46"/>
      <c r="R13" s="46"/>
      <c r="S13" s="46"/>
      <c r="T13" s="46"/>
    </row>
    <row r="15" spans="1:23" x14ac:dyDescent="0.3">
      <c r="B15" t="s">
        <v>25</v>
      </c>
      <c r="P15" t="s">
        <v>69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3</v>
      </c>
      <c r="W16" s="2" t="s">
        <v>4</v>
      </c>
    </row>
    <row r="17" spans="1:23" x14ac:dyDescent="0.3">
      <c r="A17" s="3">
        <v>0</v>
      </c>
      <c r="B17" s="3">
        <v>1</v>
      </c>
      <c r="C17" s="17">
        <f t="shared" ref="C17:C24" si="3">AVERAGEIFS($E$39:$E$1048576,$B$39:$B$1048576,C$16,$C$39:$C$1048576,$B17,$D$39:$D$1048576,$B$15)</f>
        <v>0</v>
      </c>
      <c r="D17" s="15"/>
      <c r="E17" s="36">
        <f>V17*E$25/V$20</f>
        <v>3394544.4287241274</v>
      </c>
      <c r="F17" s="36">
        <f>W17*F$25/W$20</f>
        <v>3460347.700045323</v>
      </c>
      <c r="G17" s="15">
        <f t="shared" ref="G17:O24" si="4">AVERAGEIFS($E$39:$E$1048576,$B$39:$B$1048576,G$16,$C$39:$C$1048576,$B17,$D$39:$D$1048576,$B$15)</f>
        <v>3396095.9909999999</v>
      </c>
      <c r="H17" s="15">
        <f t="shared" si="4"/>
        <v>3341760.2949999999</v>
      </c>
      <c r="I17" s="15">
        <f t="shared" si="4"/>
        <v>3350373.2960000001</v>
      </c>
      <c r="J17" s="15">
        <f t="shared" si="4"/>
        <v>3369330.1239999998</v>
      </c>
      <c r="K17" s="15">
        <f t="shared" si="4"/>
        <v>3371797.4169999999</v>
      </c>
      <c r="L17" s="15">
        <f t="shared" si="4"/>
        <v>3335018.3059999999</v>
      </c>
      <c r="M17" s="15">
        <f t="shared" si="4"/>
        <v>3324006.2710000002</v>
      </c>
      <c r="N17" s="15">
        <f t="shared" si="4"/>
        <v>3352201.429</v>
      </c>
      <c r="O17" s="15">
        <f t="shared" si="4"/>
        <v>3332650.0249999999</v>
      </c>
      <c r="P17" s="36">
        <v>3334220</v>
      </c>
      <c r="Q17" s="36">
        <v>3409863</v>
      </c>
      <c r="R17" s="36">
        <v>3442433</v>
      </c>
      <c r="S17" s="36">
        <v>3367652</v>
      </c>
      <c r="T17" s="36">
        <v>3335604</v>
      </c>
      <c r="V17" s="15">
        <f>AVERAGEIFS($E$39:$E$1048576,$B$39:$B$1048576,E$16,$C$39:$C$1048576,$B17,$D$39:$D$1048576,$B$15)</f>
        <v>1977830.9720000001</v>
      </c>
      <c r="W17" s="15">
        <f>AVERAGEIFS($E$39:$E$1048576,$B$39:$B$1048576,F$16,$C$39:$C$1048576,$B17,$D$39:$D$1048576,$B$15)</f>
        <v>2882821.53</v>
      </c>
    </row>
    <row r="18" spans="1:23" x14ac:dyDescent="0.3">
      <c r="A18" s="3">
        <v>0.05</v>
      </c>
      <c r="B18" s="3">
        <v>0.95</v>
      </c>
      <c r="C18" s="17">
        <f t="shared" si="3"/>
        <v>0</v>
      </c>
      <c r="D18" s="15"/>
      <c r="E18" s="36">
        <f t="shared" ref="E18:F24" si="5">V18*E$25/V$20</f>
        <v>3223040.0707948585</v>
      </c>
      <c r="F18" s="36">
        <f t="shared" si="5"/>
        <v>3216758.0404474591</v>
      </c>
      <c r="G18" s="15">
        <f t="shared" si="4"/>
        <v>3217709.4739999999</v>
      </c>
      <c r="H18" s="15">
        <f t="shared" si="4"/>
        <v>3223548.92</v>
      </c>
      <c r="I18" s="15">
        <f t="shared" si="4"/>
        <v>3219172.3390000002</v>
      </c>
      <c r="J18" s="15">
        <f t="shared" si="4"/>
        <v>3227495.1949999998</v>
      </c>
      <c r="K18" s="15">
        <f t="shared" si="4"/>
        <v>3221338.1540000006</v>
      </c>
      <c r="L18" s="15">
        <f t="shared" si="4"/>
        <v>3208936.3730000001</v>
      </c>
      <c r="M18" s="15">
        <f t="shared" si="4"/>
        <v>3209890.7579999999</v>
      </c>
      <c r="N18" s="15">
        <f t="shared" si="4"/>
        <v>3215725.26</v>
      </c>
      <c r="O18" s="15">
        <f t="shared" si="4"/>
        <v>3228481.7770000002</v>
      </c>
      <c r="P18" s="36">
        <v>3209179</v>
      </c>
      <c r="Q18" s="36">
        <v>3220800</v>
      </c>
      <c r="R18" s="36">
        <v>3217652</v>
      </c>
      <c r="S18" s="36">
        <v>3213438</v>
      </c>
      <c r="T18" s="36">
        <v>3219148</v>
      </c>
      <c r="V18" s="15">
        <f t="shared" ref="V18:W23" si="6">AVERAGEIFS($E$39:$E$1048576,$B$39:$B$1048576,E$16,$C$39:$C$1048576,$B18,$D$39:$D$1048576,$B$15)</f>
        <v>1877903.9750000003</v>
      </c>
      <c r="W18" s="15">
        <f t="shared" si="6"/>
        <v>2679886.5720000002</v>
      </c>
    </row>
    <row r="19" spans="1:23" x14ac:dyDescent="0.3">
      <c r="A19" s="3">
        <v>0.25</v>
      </c>
      <c r="B19" s="5">
        <v>0.75</v>
      </c>
      <c r="C19" s="48">
        <f t="shared" si="3"/>
        <v>0</v>
      </c>
      <c r="D19" s="47"/>
      <c r="E19" s="50">
        <f t="shared" si="5"/>
        <v>3128515.883974649</v>
      </c>
      <c r="F19" s="50">
        <f t="shared" si="5"/>
        <v>3121845.8615505951</v>
      </c>
      <c r="G19" s="47">
        <f t="shared" si="4"/>
        <v>3124315.9130000002</v>
      </c>
      <c r="H19" s="47">
        <f t="shared" si="4"/>
        <v>3125050.8280000002</v>
      </c>
      <c r="I19" s="47">
        <f t="shared" si="4"/>
        <v>3119604.6140000001</v>
      </c>
      <c r="J19" s="47">
        <f t="shared" si="4"/>
        <v>3130708.2930000001</v>
      </c>
      <c r="K19" s="47">
        <f t="shared" si="4"/>
        <v>3136385.662</v>
      </c>
      <c r="L19" s="47">
        <f t="shared" si="4"/>
        <v>3120646.1039999998</v>
      </c>
      <c r="M19" s="47">
        <f t="shared" si="4"/>
        <v>3128844.8849999998</v>
      </c>
      <c r="N19" s="47">
        <f t="shared" si="4"/>
        <v>3116605.656</v>
      </c>
      <c r="O19" s="47">
        <f t="shared" si="4"/>
        <v>3131768.3659999999</v>
      </c>
      <c r="P19" s="47">
        <v>3133453</v>
      </c>
      <c r="Q19" s="47">
        <v>3121229</v>
      </c>
      <c r="R19" s="47">
        <v>3134196</v>
      </c>
      <c r="S19" s="47">
        <v>3118162</v>
      </c>
      <c r="T19" s="47">
        <v>3121542</v>
      </c>
      <c r="V19" s="15">
        <f t="shared" si="6"/>
        <v>1822829.4669999999</v>
      </c>
      <c r="W19" s="15">
        <f t="shared" si="6"/>
        <v>2600815.0750000002</v>
      </c>
    </row>
    <row r="20" spans="1:23" x14ac:dyDescent="0.3">
      <c r="A20" s="3">
        <v>0.5</v>
      </c>
      <c r="B20" s="7">
        <v>0.5</v>
      </c>
      <c r="C20" s="39">
        <f t="shared" si="3"/>
        <v>0</v>
      </c>
      <c r="D20" s="42"/>
      <c r="E20" s="45">
        <f t="shared" si="5"/>
        <v>3057956.7986666667</v>
      </c>
      <c r="F20" s="45">
        <f t="shared" si="5"/>
        <v>3057563.9336666665</v>
      </c>
      <c r="G20" s="42">
        <f t="shared" si="4"/>
        <v>3059540.58</v>
      </c>
      <c r="H20" s="42">
        <f t="shared" si="4"/>
        <v>3054744.5320000001</v>
      </c>
      <c r="I20" s="42">
        <f t="shared" si="4"/>
        <v>3054191.08</v>
      </c>
      <c r="J20" s="42">
        <f t="shared" si="4"/>
        <v>3064934.784</v>
      </c>
      <c r="K20" s="42">
        <f t="shared" si="4"/>
        <v>3068024.747</v>
      </c>
      <c r="L20" s="42">
        <f t="shared" si="4"/>
        <v>3059857.6320000002</v>
      </c>
      <c r="M20" s="42">
        <f t="shared" si="4"/>
        <v>3060441.8969999999</v>
      </c>
      <c r="N20" s="42">
        <f t="shared" si="4"/>
        <v>3052392.2719999999</v>
      </c>
      <c r="O20" s="42">
        <f t="shared" si="4"/>
        <v>3070930.659</v>
      </c>
      <c r="P20" s="42">
        <v>3059084</v>
      </c>
      <c r="Q20" s="42">
        <v>3054082</v>
      </c>
      <c r="R20" s="42">
        <v>3054401</v>
      </c>
      <c r="S20" s="42">
        <v>3069471</v>
      </c>
      <c r="T20" s="42">
        <v>3060854</v>
      </c>
      <c r="V20" s="15">
        <f t="shared" si="6"/>
        <v>1781718.223</v>
      </c>
      <c r="W20" s="15">
        <f t="shared" si="6"/>
        <v>2547261.6919999998</v>
      </c>
    </row>
    <row r="21" spans="1:23" x14ac:dyDescent="0.3">
      <c r="A21" s="3">
        <v>0.75</v>
      </c>
      <c r="B21" s="5">
        <v>0.25</v>
      </c>
      <c r="C21" s="48">
        <f t="shared" si="3"/>
        <v>0</v>
      </c>
      <c r="D21" s="47"/>
      <c r="E21" s="50">
        <f t="shared" si="5"/>
        <v>2991368.6005070927</v>
      </c>
      <c r="F21" s="50">
        <f t="shared" si="5"/>
        <v>2995940.1662648437</v>
      </c>
      <c r="G21" s="47">
        <f t="shared" si="4"/>
        <v>2997227.3659999999</v>
      </c>
      <c r="H21" s="47">
        <f t="shared" si="4"/>
        <v>2988732.4589999998</v>
      </c>
      <c r="I21" s="47">
        <f t="shared" si="4"/>
        <v>2996702.6519999998</v>
      </c>
      <c r="J21" s="47">
        <f t="shared" si="4"/>
        <v>2996489.8190000001</v>
      </c>
      <c r="K21" s="47">
        <f t="shared" si="4"/>
        <v>3004082.0660000001</v>
      </c>
      <c r="L21" s="47">
        <f t="shared" si="4"/>
        <v>2984101.8369999998</v>
      </c>
      <c r="M21" s="47">
        <f t="shared" si="4"/>
        <v>2990346.7379999999</v>
      </c>
      <c r="N21" s="47">
        <f t="shared" si="4"/>
        <v>2991060.352</v>
      </c>
      <c r="O21" s="47">
        <f t="shared" si="4"/>
        <v>3004534.5580000002</v>
      </c>
      <c r="P21" s="47">
        <v>2987980</v>
      </c>
      <c r="Q21" s="47">
        <v>2990745</v>
      </c>
      <c r="R21" s="47">
        <v>2992996</v>
      </c>
      <c r="S21" s="47">
        <v>2985048</v>
      </c>
      <c r="T21" s="47">
        <v>2992054</v>
      </c>
      <c r="V21" s="15">
        <f t="shared" si="6"/>
        <v>1742920.6159999999</v>
      </c>
      <c r="W21" s="15">
        <f t="shared" si="6"/>
        <v>2495922.827</v>
      </c>
    </row>
    <row r="22" spans="1:23" x14ac:dyDescent="0.3">
      <c r="A22" s="3">
        <v>0.95</v>
      </c>
      <c r="B22" s="3">
        <v>0.05</v>
      </c>
      <c r="C22" s="17">
        <f t="shared" si="3"/>
        <v>0</v>
      </c>
      <c r="D22" s="15"/>
      <c r="E22" s="36">
        <f t="shared" si="5"/>
        <v>2894817.6579971206</v>
      </c>
      <c r="F22" s="36">
        <f t="shared" si="5"/>
        <v>2901491.5826323759</v>
      </c>
      <c r="G22" s="15">
        <f t="shared" si="4"/>
        <v>2901354.9330000002</v>
      </c>
      <c r="H22" s="15">
        <f t="shared" si="4"/>
        <v>2900771.4750000001</v>
      </c>
      <c r="I22" s="15">
        <f t="shared" si="4"/>
        <v>2899793.8569999994</v>
      </c>
      <c r="J22" s="15">
        <f t="shared" si="4"/>
        <v>2901161.554</v>
      </c>
      <c r="K22" s="15">
        <f t="shared" si="4"/>
        <v>2895030.031</v>
      </c>
      <c r="L22" s="15">
        <f t="shared" si="4"/>
        <v>2883432.182</v>
      </c>
      <c r="M22" s="15">
        <f t="shared" si="4"/>
        <v>2900626.31</v>
      </c>
      <c r="N22" s="15">
        <f t="shared" si="4"/>
        <v>2901927.2770000002</v>
      </c>
      <c r="O22" s="15">
        <f t="shared" si="4"/>
        <v>2907364.1719999998</v>
      </c>
      <c r="P22" s="36">
        <v>2892133</v>
      </c>
      <c r="Q22" s="36">
        <v>2888314</v>
      </c>
      <c r="R22" s="36">
        <v>2886931</v>
      </c>
      <c r="S22" s="36">
        <v>2894583</v>
      </c>
      <c r="T22" s="36">
        <v>2886005</v>
      </c>
      <c r="V22" s="15">
        <f t="shared" si="6"/>
        <v>1686665.2189999998</v>
      </c>
      <c r="W22" s="15">
        <f t="shared" si="6"/>
        <v>2417237.5520000001</v>
      </c>
    </row>
    <row r="23" spans="1:23" x14ac:dyDescent="0.3">
      <c r="A23" s="3">
        <v>1</v>
      </c>
      <c r="B23" s="3">
        <v>0</v>
      </c>
      <c r="C23" s="17">
        <f t="shared" si="3"/>
        <v>0</v>
      </c>
      <c r="D23" s="15"/>
      <c r="E23" s="36">
        <f t="shared" si="5"/>
        <v>2737152.9111271896</v>
      </c>
      <c r="F23" s="36">
        <f t="shared" si="5"/>
        <v>2733268.7281535598</v>
      </c>
      <c r="G23" s="15">
        <f t="shared" si="4"/>
        <v>2790208.8360000001</v>
      </c>
      <c r="H23" s="15">
        <f t="shared" si="4"/>
        <v>2776803.4950000001</v>
      </c>
      <c r="I23" s="15">
        <f t="shared" si="4"/>
        <v>2747544.0329999998</v>
      </c>
      <c r="J23" s="15">
        <f t="shared" si="4"/>
        <v>2767288.8629999999</v>
      </c>
      <c r="K23" s="15">
        <f t="shared" si="4"/>
        <v>2741359.713</v>
      </c>
      <c r="L23" s="15">
        <f t="shared" si="4"/>
        <v>2719623.128</v>
      </c>
      <c r="M23" s="15">
        <f t="shared" si="4"/>
        <v>2750487.1170000001</v>
      </c>
      <c r="N23" s="15">
        <f t="shared" si="4"/>
        <v>2786528.3689999999</v>
      </c>
      <c r="O23" s="15">
        <f t="shared" si="4"/>
        <v>2770686.898</v>
      </c>
      <c r="P23" s="36">
        <v>2786014</v>
      </c>
      <c r="Q23" s="36">
        <v>2765268</v>
      </c>
      <c r="R23" s="36">
        <v>2721706</v>
      </c>
      <c r="S23" s="36">
        <v>2722032</v>
      </c>
      <c r="T23" s="36">
        <v>2760471</v>
      </c>
      <c r="V23" s="15">
        <f t="shared" si="6"/>
        <v>1594801.87</v>
      </c>
      <c r="W23" s="15">
        <f t="shared" si="6"/>
        <v>2277090.807</v>
      </c>
    </row>
    <row r="24" spans="1:23" x14ac:dyDescent="0.3">
      <c r="B24" s="9" t="s">
        <v>29</v>
      </c>
      <c r="C24" s="48">
        <f t="shared" si="3"/>
        <v>0</v>
      </c>
      <c r="D24" s="47"/>
      <c r="E24" s="50">
        <f t="shared" si="5"/>
        <v>3060883.6849494069</v>
      </c>
      <c r="F24" s="50">
        <f t="shared" si="5"/>
        <v>3059621.7100615352</v>
      </c>
      <c r="G24" s="47">
        <f t="shared" si="4"/>
        <v>3060554.3739999998</v>
      </c>
      <c r="H24" s="47">
        <f t="shared" si="4"/>
        <v>3057919.057</v>
      </c>
      <c r="I24" s="47">
        <f t="shared" si="4"/>
        <v>3057018.591</v>
      </c>
      <c r="J24" s="47">
        <f t="shared" si="4"/>
        <v>3062606.6230000001</v>
      </c>
      <c r="K24" s="47">
        <f t="shared" si="4"/>
        <v>3065754.6060000001</v>
      </c>
      <c r="L24" s="47">
        <f t="shared" si="4"/>
        <v>3053671.6660000002</v>
      </c>
      <c r="M24" s="47">
        <f t="shared" si="4"/>
        <v>3057934.9339999999</v>
      </c>
      <c r="N24" s="47">
        <f t="shared" si="4"/>
        <v>3054475.7050000001</v>
      </c>
      <c r="O24" s="47">
        <f t="shared" si="4"/>
        <v>3068008.7310000001</v>
      </c>
      <c r="P24" s="36">
        <v>3063886</v>
      </c>
      <c r="Q24" s="36">
        <v>3061040</v>
      </c>
      <c r="R24" s="36">
        <v>3062815</v>
      </c>
      <c r="S24" s="36">
        <v>3066133</v>
      </c>
      <c r="T24" s="36">
        <v>3065901</v>
      </c>
      <c r="V24" s="15">
        <f>AVERAGEIFS($E$39:$E$1048576,$B$39:$B$1048576,E$16,$C$39:$C$1048576,$B24,$D$39:$D$1048576,$B$15)</f>
        <v>1783423.5730000001</v>
      </c>
      <c r="W24" s="15">
        <f>AVERAGEIFS($E$39:$E$1048576,$B$39:$B$1048576,F$16,$C$39:$C$1048576,$B24,$D$39:$D$1048576,$B$15)</f>
        <v>2548976.0290000001</v>
      </c>
    </row>
    <row r="25" spans="1:23" x14ac:dyDescent="0.3">
      <c r="E25" s="37">
        <f>AVERAGE(H20:J20)</f>
        <v>3057956.7986666667</v>
      </c>
      <c r="F25" s="37">
        <f>AVERAGE(L20:N20)</f>
        <v>3057563.9336666665</v>
      </c>
    </row>
    <row r="26" spans="1:23" x14ac:dyDescent="0.3">
      <c r="B26" s="1" t="s">
        <v>68</v>
      </c>
      <c r="E26" s="3">
        <v>0.15</v>
      </c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D35" si="7">(C17*(1+C6))*($E$26)</f>
        <v>0</v>
      </c>
      <c r="D28" s="15">
        <f t="shared" si="7"/>
        <v>0</v>
      </c>
      <c r="E28" s="60">
        <f>VLOOKUP($B28,$A$17:$M$23,E$4+2)*E6*$E$26</f>
        <v>18795207.894837052</v>
      </c>
      <c r="F28" s="60">
        <f t="shared" ref="F28:M28" si="8">VLOOKUP($B28,$A$17:$M$23,F$4+2)*F6*$E$26</f>
        <v>14198866.387073962</v>
      </c>
      <c r="G28" s="60">
        <f t="shared" si="8"/>
        <v>13105011.007792257</v>
      </c>
      <c r="H28" s="60">
        <f t="shared" si="8"/>
        <v>11403582.217021352</v>
      </c>
      <c r="I28" s="60">
        <f t="shared" si="8"/>
        <v>9451578.9489603303</v>
      </c>
      <c r="J28" s="60">
        <f t="shared" si="8"/>
        <v>7875980.8329842994</v>
      </c>
      <c r="K28" s="60">
        <f t="shared" si="8"/>
        <v>7359522.8195126271</v>
      </c>
      <c r="L28" s="60">
        <f t="shared" si="8"/>
        <v>7015240.66244472</v>
      </c>
      <c r="M28" s="60">
        <f t="shared" si="8"/>
        <v>7837072.9619527804</v>
      </c>
      <c r="N28" s="60">
        <f t="shared" ref="N28:T28" si="9">VLOOKUP($B28,$A$17:$M$23,N$4+2)*N6*$E$26</f>
        <v>0</v>
      </c>
      <c r="O28" s="60">
        <f t="shared" si="9"/>
        <v>0</v>
      </c>
      <c r="P28" s="60">
        <f t="shared" si="9"/>
        <v>0</v>
      </c>
      <c r="Q28" s="60">
        <f t="shared" si="9"/>
        <v>0</v>
      </c>
      <c r="R28" s="60">
        <f t="shared" si="9"/>
        <v>0</v>
      </c>
      <c r="S28" s="60">
        <f t="shared" si="9"/>
        <v>0</v>
      </c>
      <c r="T28" s="60">
        <f t="shared" si="9"/>
        <v>0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15">
        <f t="shared" si="7"/>
        <v>0</v>
      </c>
      <c r="E29" s="60">
        <f t="shared" ref="E29:M34" si="10">VLOOKUP($B29,$A$17:$M$23,E$4+2)*E7*$E$26</f>
        <v>17968908.372032773</v>
      </c>
      <c r="F29" s="60">
        <f t="shared" si="10"/>
        <v>14172403.491282083</v>
      </c>
      <c r="G29" s="60">
        <f t="shared" si="10"/>
        <v>12645278.921048304</v>
      </c>
      <c r="H29" s="60">
        <f t="shared" si="10"/>
        <v>10419763.294367416</v>
      </c>
      <c r="I29" s="60">
        <f t="shared" si="10"/>
        <v>8540971.0087241251</v>
      </c>
      <c r="J29" s="60">
        <f t="shared" si="10"/>
        <v>7276516.069896522</v>
      </c>
      <c r="K29" s="60">
        <f t="shared" si="10"/>
        <v>6805369.4380753618</v>
      </c>
      <c r="L29" s="60">
        <f t="shared" si="10"/>
        <v>6415261.8488736013</v>
      </c>
      <c r="M29" s="60">
        <f t="shared" si="10"/>
        <v>7105165.9168135757</v>
      </c>
      <c r="N29" s="60">
        <f t="shared" ref="N29:T29" si="11">VLOOKUP($B29,$A$17:$M$23,N$4+2)*N7*$E$26</f>
        <v>0</v>
      </c>
      <c r="O29" s="60">
        <f t="shared" si="11"/>
        <v>0</v>
      </c>
      <c r="P29" s="60">
        <f t="shared" si="11"/>
        <v>0</v>
      </c>
      <c r="Q29" s="60">
        <f t="shared" si="11"/>
        <v>0</v>
      </c>
      <c r="R29" s="60">
        <f t="shared" si="11"/>
        <v>0</v>
      </c>
      <c r="S29" s="60">
        <f t="shared" si="11"/>
        <v>0</v>
      </c>
      <c r="T29" s="60">
        <f t="shared" si="11"/>
        <v>0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47">
        <f t="shared" si="7"/>
        <v>0</v>
      </c>
      <c r="E30" s="63">
        <f t="shared" si="10"/>
        <v>13322996.033549352</v>
      </c>
      <c r="F30" s="63">
        <f t="shared" si="10"/>
        <v>10183302.791375034</v>
      </c>
      <c r="G30" s="63">
        <f t="shared" si="10"/>
        <v>8953873.830965817</v>
      </c>
      <c r="H30" s="63">
        <f t="shared" si="10"/>
        <v>6496348.3334906483</v>
      </c>
      <c r="I30" s="63">
        <f t="shared" si="10"/>
        <v>5429721.7892804835</v>
      </c>
      <c r="J30" s="63">
        <f t="shared" si="10"/>
        <v>5054856.9823776977</v>
      </c>
      <c r="K30" s="63">
        <f t="shared" si="10"/>
        <v>4627384.983839293</v>
      </c>
      <c r="L30" s="63">
        <f t="shared" si="10"/>
        <v>4279911.2247101991</v>
      </c>
      <c r="M30" s="63">
        <f t="shared" si="10"/>
        <v>4584262.5243929531</v>
      </c>
      <c r="N30" s="60">
        <f t="shared" ref="N30:T30" si="12">VLOOKUP($B30,$A$17:$M$23,N$4+2)*N8*$E$26</f>
        <v>0</v>
      </c>
      <c r="O30" s="60">
        <f t="shared" si="12"/>
        <v>0</v>
      </c>
      <c r="P30" s="60">
        <f t="shared" si="12"/>
        <v>0</v>
      </c>
      <c r="Q30" s="60">
        <f t="shared" si="12"/>
        <v>0</v>
      </c>
      <c r="R30" s="60">
        <f t="shared" si="12"/>
        <v>0</v>
      </c>
      <c r="S30" s="60">
        <f t="shared" si="12"/>
        <v>0</v>
      </c>
      <c r="T30" s="60">
        <f t="shared" si="12"/>
        <v>0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2">
        <f t="shared" si="7"/>
        <v>0</v>
      </c>
      <c r="E31" s="64">
        <f t="shared" si="10"/>
        <v>8403838.6496357471</v>
      </c>
      <c r="F31" s="64">
        <f t="shared" si="10"/>
        <v>5590016.1044330439</v>
      </c>
      <c r="G31" s="64">
        <f t="shared" si="10"/>
        <v>5159745.0012252377</v>
      </c>
      <c r="H31" s="64">
        <f t="shared" si="10"/>
        <v>4175030.0863736849</v>
      </c>
      <c r="I31" s="64">
        <f t="shared" si="10"/>
        <v>4085648.6737987502</v>
      </c>
      <c r="J31" s="64">
        <f t="shared" si="10"/>
        <v>3928256.0360359196</v>
      </c>
      <c r="K31" s="64">
        <f t="shared" si="10"/>
        <v>3478265.6760451053</v>
      </c>
      <c r="L31" s="64">
        <f t="shared" si="10"/>
        <v>3458622.1034242804</v>
      </c>
      <c r="M31" s="64">
        <f t="shared" si="10"/>
        <v>3484026.1833066563</v>
      </c>
      <c r="N31" s="60">
        <f t="shared" ref="N31:T31" si="13">VLOOKUP($B31,$A$17:$M$23,N$4+2)*N9*$E$26</f>
        <v>0</v>
      </c>
      <c r="O31" s="60">
        <f t="shared" si="13"/>
        <v>0</v>
      </c>
      <c r="P31" s="60">
        <f t="shared" si="13"/>
        <v>0</v>
      </c>
      <c r="Q31" s="60">
        <f t="shared" si="13"/>
        <v>0</v>
      </c>
      <c r="R31" s="60">
        <f t="shared" si="13"/>
        <v>0</v>
      </c>
      <c r="S31" s="60">
        <f t="shared" si="13"/>
        <v>0</v>
      </c>
      <c r="T31" s="60">
        <f t="shared" si="13"/>
        <v>0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47">
        <f t="shared" si="7"/>
        <v>0</v>
      </c>
      <c r="E32" s="63">
        <f t="shared" si="10"/>
        <v>5486120.2373068091</v>
      </c>
      <c r="F32" s="63">
        <f t="shared" si="10"/>
        <v>3500388.3301705117</v>
      </c>
      <c r="G32" s="63">
        <f t="shared" si="10"/>
        <v>3335464.8711467325</v>
      </c>
      <c r="H32" s="63">
        <f t="shared" si="10"/>
        <v>3224908.165039801</v>
      </c>
      <c r="I32" s="63">
        <f t="shared" si="10"/>
        <v>3184549.9076812705</v>
      </c>
      <c r="J32" s="63">
        <f t="shared" si="10"/>
        <v>3150103.6423415984</v>
      </c>
      <c r="K32" s="63">
        <f t="shared" si="10"/>
        <v>2720092.4579923502</v>
      </c>
      <c r="L32" s="63">
        <f t="shared" si="10"/>
        <v>2823497.694376166</v>
      </c>
      <c r="M32" s="63">
        <f t="shared" si="10"/>
        <v>2667523.3507764735</v>
      </c>
      <c r="N32" s="60">
        <f t="shared" ref="N32:T32" si="14">VLOOKUP($B32,$A$17:$M$23,N$4+2)*N10*$E$26</f>
        <v>0</v>
      </c>
      <c r="O32" s="60">
        <f t="shared" si="14"/>
        <v>0</v>
      </c>
      <c r="P32" s="60">
        <f t="shared" si="14"/>
        <v>0</v>
      </c>
      <c r="Q32" s="60">
        <f t="shared" si="14"/>
        <v>0</v>
      </c>
      <c r="R32" s="60">
        <f t="shared" si="14"/>
        <v>0</v>
      </c>
      <c r="S32" s="60">
        <f t="shared" si="14"/>
        <v>0</v>
      </c>
      <c r="T32" s="60">
        <f t="shared" si="14"/>
        <v>0</v>
      </c>
    </row>
    <row r="33" spans="1:21" x14ac:dyDescent="0.3">
      <c r="A33" s="10">
        <v>9.2906736271479939</v>
      </c>
      <c r="B33" s="3">
        <v>0.05</v>
      </c>
      <c r="C33" s="20">
        <f t="shared" si="7"/>
        <v>0</v>
      </c>
      <c r="D33" s="15">
        <f t="shared" si="7"/>
        <v>0</v>
      </c>
      <c r="E33" s="60">
        <f t="shared" si="10"/>
        <v>4533411.0362894749</v>
      </c>
      <c r="F33" s="60">
        <f t="shared" si="10"/>
        <v>2956614.1906110789</v>
      </c>
      <c r="G33" s="60">
        <f t="shared" si="10"/>
        <v>2605243.110206726</v>
      </c>
      <c r="H33" s="60">
        <f t="shared" si="10"/>
        <v>2542583.1338363537</v>
      </c>
      <c r="I33" s="60">
        <f t="shared" si="10"/>
        <v>2443903.3219540487</v>
      </c>
      <c r="J33" s="60">
        <f t="shared" si="10"/>
        <v>2456166.0761782187</v>
      </c>
      <c r="K33" s="60">
        <f t="shared" si="10"/>
        <v>2202921.5371470279</v>
      </c>
      <c r="L33" s="60">
        <f t="shared" si="10"/>
        <v>2179626.6104399525</v>
      </c>
      <c r="M33" s="60">
        <f t="shared" si="10"/>
        <v>1951338.2223915067</v>
      </c>
      <c r="N33" s="60">
        <f t="shared" ref="N33:T33" si="15">VLOOKUP($B33,$A$17:$M$23,N$4+2)*N11*$E$26</f>
        <v>0</v>
      </c>
      <c r="O33" s="60">
        <f t="shared" si="15"/>
        <v>0</v>
      </c>
      <c r="P33" s="60">
        <f t="shared" si="15"/>
        <v>0</v>
      </c>
      <c r="Q33" s="60">
        <f t="shared" si="15"/>
        <v>0</v>
      </c>
      <c r="R33" s="60">
        <f t="shared" si="15"/>
        <v>0</v>
      </c>
      <c r="S33" s="60">
        <f t="shared" si="15"/>
        <v>0</v>
      </c>
      <c r="T33" s="60">
        <f t="shared" si="15"/>
        <v>0</v>
      </c>
    </row>
    <row r="34" spans="1:21" x14ac:dyDescent="0.3">
      <c r="A34">
        <v>0</v>
      </c>
      <c r="B34" s="3">
        <v>0</v>
      </c>
      <c r="C34" s="20">
        <f t="shared" si="7"/>
        <v>0</v>
      </c>
      <c r="D34" s="15">
        <f t="shared" si="7"/>
        <v>0</v>
      </c>
      <c r="E34" s="60">
        <f t="shared" si="10"/>
        <v>3957359.8950065877</v>
      </c>
      <c r="F34" s="60">
        <f t="shared" si="10"/>
        <v>2905238.7220040518</v>
      </c>
      <c r="G34" s="60">
        <f t="shared" si="10"/>
        <v>2440553.4424922848</v>
      </c>
      <c r="H34" s="60">
        <f t="shared" si="10"/>
        <v>2372081.7101998497</v>
      </c>
      <c r="I34" s="60">
        <f t="shared" si="10"/>
        <v>2424129.0945878397</v>
      </c>
      <c r="J34" s="60">
        <f t="shared" si="10"/>
        <v>2385940.5873587402</v>
      </c>
      <c r="K34" s="60">
        <f t="shared" si="10"/>
        <v>2228522.0668178098</v>
      </c>
      <c r="L34" s="60">
        <f t="shared" si="10"/>
        <v>2130126.21731679</v>
      </c>
      <c r="M34" s="60">
        <f t="shared" si="10"/>
        <v>1896628.1181385352</v>
      </c>
      <c r="N34" s="60">
        <f t="shared" ref="N34:T34" si="16">VLOOKUP($B34,$A$17:$M$23,N$4+2)*N12*$E$26</f>
        <v>0</v>
      </c>
      <c r="O34" s="60">
        <f t="shared" si="16"/>
        <v>0</v>
      </c>
      <c r="P34" s="60">
        <f t="shared" si="16"/>
        <v>0</v>
      </c>
      <c r="Q34" s="60">
        <f t="shared" si="16"/>
        <v>0</v>
      </c>
      <c r="R34" s="60">
        <f t="shared" si="16"/>
        <v>0</v>
      </c>
      <c r="S34" s="60">
        <f t="shared" si="16"/>
        <v>0</v>
      </c>
      <c r="T34" s="60">
        <f t="shared" si="16"/>
        <v>0</v>
      </c>
    </row>
    <row r="35" spans="1:21" x14ac:dyDescent="0.3">
      <c r="B35" s="9" t="s">
        <v>29</v>
      </c>
      <c r="C35" s="51">
        <f t="shared" si="7"/>
        <v>0</v>
      </c>
      <c r="D35" s="47">
        <f t="shared" si="7"/>
        <v>0</v>
      </c>
      <c r="E35" s="63">
        <f>SUMPRODUCT(E28:E34,$A$28:$A$34)/SUM($A$28:$A$34)</f>
        <v>9605872.9118576217</v>
      </c>
      <c r="F35" s="63">
        <f t="shared" ref="F35:M35" si="17">SUMPRODUCT(F28:F34,$A$28:$A$34)/SUM($A$28:$A$34)</f>
        <v>6993429.3756202338</v>
      </c>
      <c r="G35" s="63">
        <f t="shared" si="17"/>
        <v>6287344.4043077035</v>
      </c>
      <c r="H35" s="63">
        <f t="shared" si="17"/>
        <v>5072153.0256154332</v>
      </c>
      <c r="I35" s="63">
        <f t="shared" si="17"/>
        <v>4493068.3853183845</v>
      </c>
      <c r="J35" s="63">
        <f t="shared" si="17"/>
        <v>4216845.1197722703</v>
      </c>
      <c r="K35" s="63">
        <f t="shared" si="17"/>
        <v>3797994.5038526468</v>
      </c>
      <c r="L35" s="63">
        <f t="shared" si="17"/>
        <v>3673180.3565094732</v>
      </c>
      <c r="M35" s="63">
        <f t="shared" si="17"/>
        <v>3769448.5141917872</v>
      </c>
      <c r="N35" s="47"/>
      <c r="O35" s="47"/>
      <c r="P35" s="50"/>
      <c r="Q35" s="50"/>
      <c r="R35" s="50"/>
      <c r="S35" s="50"/>
      <c r="T35" s="50"/>
    </row>
    <row r="38" spans="1:21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  <c r="J38" s="11" t="s">
        <v>67</v>
      </c>
      <c r="K38" s="11" t="s">
        <v>1</v>
      </c>
      <c r="L38" s="11" t="s">
        <v>2</v>
      </c>
      <c r="M38" s="11" t="s">
        <v>3</v>
      </c>
      <c r="N38" s="11" t="s">
        <v>4</v>
      </c>
      <c r="O38" s="11" t="s">
        <v>5</v>
      </c>
      <c r="P38" s="11" t="s">
        <v>6</v>
      </c>
      <c r="Q38" s="11" t="s">
        <v>7</v>
      </c>
      <c r="R38" s="11" t="s">
        <v>8</v>
      </c>
      <c r="S38" s="11" t="s">
        <v>9</v>
      </c>
      <c r="T38" s="11" t="s">
        <v>10</v>
      </c>
      <c r="U38" s="11" t="s">
        <v>11</v>
      </c>
    </row>
    <row r="39" spans="1:21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8">IF(RIGHT(D39,5)="(MWh)",E39,0)</f>
        <v>0</v>
      </c>
      <c r="J39" s="3">
        <v>1</v>
      </c>
      <c r="K39" s="4">
        <f>[2]Functions!D26</f>
        <v>57.636999999999972</v>
      </c>
      <c r="L39" s="4">
        <f>[2]Functions!E26</f>
        <v>49.818999999999946</v>
      </c>
      <c r="M39" s="4">
        <f>[2]Functions!F26</f>
        <v>45.777999999999949</v>
      </c>
      <c r="N39" s="4">
        <f>[2]Functions!G26</f>
        <v>34.632200000000012</v>
      </c>
      <c r="O39" s="4">
        <f>[2]Functions!H26</f>
        <v>31.311899999999994</v>
      </c>
      <c r="P39" s="4">
        <f>[2]Functions!I26</f>
        <v>27.3782</v>
      </c>
      <c r="Q39" s="4">
        <f>[2]Functions!J26</f>
        <v>22.933400000000002</v>
      </c>
      <c r="R39" s="4">
        <f>[2]Functions!K26</f>
        <v>18.974</v>
      </c>
      <c r="S39" s="4">
        <f>[2]Functions!L26</f>
        <v>17.897500000000004</v>
      </c>
      <c r="T39" s="4">
        <f>[2]Functions!M26</f>
        <v>17.1966</v>
      </c>
      <c r="U39" s="4">
        <f>[2]Functions!N26</f>
        <v>18.9956</v>
      </c>
    </row>
    <row r="40" spans="1:21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8"/>
        <v>0</v>
      </c>
      <c r="J40" s="3">
        <v>0.95</v>
      </c>
      <c r="K40" s="4">
        <f>[2]Functions!D27</f>
        <v>50.694051321874696</v>
      </c>
      <c r="L40" s="4">
        <f>[2]Functions!E27</f>
        <v>43.094964846874788</v>
      </c>
      <c r="M40" s="4">
        <f>[2]Functions!F27</f>
        <v>41.381785187499936</v>
      </c>
      <c r="N40" s="4">
        <f>[2]Functions!G27</f>
        <v>32.563489243750006</v>
      </c>
      <c r="O40" s="4">
        <f>[2]Functions!H27</f>
        <v>29.05603120624999</v>
      </c>
      <c r="P40" s="4">
        <f>[2]Functions!I27</f>
        <v>23.947108287500001</v>
      </c>
      <c r="Q40" s="4">
        <f>[2]Functions!J27</f>
        <v>19.635811900000007</v>
      </c>
      <c r="R40" s="4">
        <f>[2]Functions!K27</f>
        <v>16.720925818750004</v>
      </c>
      <c r="S40" s="4">
        <f>[2]Functions!L27</f>
        <v>15.67138478750001</v>
      </c>
      <c r="T40" s="4">
        <f>[2]Functions!M27</f>
        <v>14.832466875000012</v>
      </c>
      <c r="U40" s="4">
        <f>[2]Functions!N27</f>
        <v>16.330187937500011</v>
      </c>
    </row>
    <row r="41" spans="1:21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8"/>
        <v>0</v>
      </c>
      <c r="J41" s="3">
        <v>0.75</v>
      </c>
      <c r="K41" s="4">
        <f>[2]Functions!D28</f>
        <v>42.468974609374939</v>
      </c>
      <c r="L41" s="4">
        <f>[2]Functions!E28</f>
        <v>32.835740234374995</v>
      </c>
      <c r="M41" s="4">
        <f>[2]Functions!F28</f>
        <v>29.692085937499989</v>
      </c>
      <c r="N41" s="4">
        <f>[2]Functions!G28</f>
        <v>22.660227343750012</v>
      </c>
      <c r="O41" s="4">
        <f>[2]Functions!H28</f>
        <v>19.915903906249994</v>
      </c>
      <c r="P41" s="4">
        <f>[2]Functions!I28</f>
        <v>14.490754687500001</v>
      </c>
      <c r="Q41" s="4">
        <f>[2]Functions!J28</f>
        <v>12.079324999999997</v>
      </c>
      <c r="R41" s="4">
        <f>[2]Functions!K28</f>
        <v>11.246174218749999</v>
      </c>
      <c r="S41" s="4">
        <f>[2]Functions!L28</f>
        <v>10.2691046875</v>
      </c>
      <c r="T41" s="4">
        <f>[2]Functions!M28</f>
        <v>9.5615843749999989</v>
      </c>
      <c r="U41" s="4">
        <f>[2]Functions!N28</f>
        <v>10.220135937499998</v>
      </c>
    </row>
    <row r="42" spans="1:21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8"/>
        <v>0</v>
      </c>
      <c r="J42" s="3">
        <v>0.5</v>
      </c>
      <c r="K42" s="4">
        <f>[2]Functions!D29</f>
        <v>35.197062499999987</v>
      </c>
      <c r="L42" s="4">
        <f>[2]Functions!E29</f>
        <v>25.5115625</v>
      </c>
      <c r="M42" s="4">
        <f>[2]Functions!F29</f>
        <v>18.321249999999992</v>
      </c>
      <c r="N42" s="4">
        <f>[2]Functions!G29</f>
        <v>12.188387500000001</v>
      </c>
      <c r="O42" s="4">
        <f>[2]Functions!H29</f>
        <v>11.242962500000001</v>
      </c>
      <c r="P42" s="4">
        <f>[2]Functions!I29</f>
        <v>9.1115750000000002</v>
      </c>
      <c r="Q42" s="4">
        <f>[2]Functions!J29</f>
        <v>8.9181249999999999</v>
      </c>
      <c r="R42" s="4">
        <f>[2]Functions!K29</f>
        <v>8.5445124999999997</v>
      </c>
      <c r="S42" s="4">
        <f>[2]Functions!L29</f>
        <v>7.5581000000000005</v>
      </c>
      <c r="T42" s="4">
        <f>[2]Functions!M29</f>
        <v>7.5354749999999999</v>
      </c>
      <c r="U42" s="4">
        <f>[2]Functions!N29</f>
        <v>7.5893750000000004</v>
      </c>
    </row>
    <row r="43" spans="1:21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8"/>
        <v>0</v>
      </c>
      <c r="J43" s="3">
        <v>0.25</v>
      </c>
      <c r="K43" s="4">
        <f>[2]Functions!D30</f>
        <v>27.456126953125001</v>
      </c>
      <c r="L43" s="4">
        <f>[2]Functions!E30</f>
        <v>18.864923828124997</v>
      </c>
      <c r="M43" s="4">
        <f>[2]Functions!F30</f>
        <v>11.6905703125</v>
      </c>
      <c r="N43" s="4">
        <f>[2]Functions!G30</f>
        <v>7.4750398437500003</v>
      </c>
      <c r="O43" s="4">
        <f>[2]Functions!H30</f>
        <v>7.1172164062499998</v>
      </c>
      <c r="P43" s="4">
        <f>[2]Functions!I30</f>
        <v>6.8796921874999999</v>
      </c>
      <c r="Q43" s="4">
        <f>[2]Functions!J30</f>
        <v>6.8054562499999998</v>
      </c>
      <c r="R43" s="4">
        <f>[2]Functions!K30</f>
        <v>6.7079679687500002</v>
      </c>
      <c r="S43" s="4">
        <f>[2]Functions!L30</f>
        <v>5.7817984375</v>
      </c>
      <c r="T43" s="4">
        <f>[2]Functions!M30</f>
        <v>6.031865625</v>
      </c>
      <c r="U43" s="4">
        <f>[2]Functions!N30</f>
        <v>5.6837234375000003</v>
      </c>
    </row>
    <row r="44" spans="1:21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8"/>
        <v>0</v>
      </c>
      <c r="J44" s="3">
        <v>0.05</v>
      </c>
      <c r="K44" s="4">
        <f>[2]Functions!D31</f>
        <v>24.662665240625</v>
      </c>
      <c r="L44" s="4">
        <f>[2]Functions!E31</f>
        <v>16.163354215624999</v>
      </c>
      <c r="M44" s="4">
        <f>[2]Functions!F31</f>
        <v>9.3770910624999999</v>
      </c>
      <c r="N44" s="4">
        <f>[2]Functions!G31</f>
        <v>6.1275237437500003</v>
      </c>
      <c r="O44" s="4">
        <f>[2]Functions!H31</f>
        <v>5.3977177062499999</v>
      </c>
      <c r="P44" s="4">
        <f>[2]Functions!I31</f>
        <v>5.2583517874999997</v>
      </c>
      <c r="Q44" s="4">
        <f>[2]Functions!J31</f>
        <v>5.0611421500000002</v>
      </c>
      <c r="R44" s="4">
        <f>[2]Functions!K31</f>
        <v>5.0734205687500005</v>
      </c>
      <c r="S44" s="4">
        <f>[2]Functions!L31</f>
        <v>4.5590195375000002</v>
      </c>
      <c r="T44" s="4">
        <f>[2]Functions!M31</f>
        <v>4.5282431249999995</v>
      </c>
      <c r="U44" s="4">
        <f>[2]Functions!N31</f>
        <v>4.0527614375000001</v>
      </c>
    </row>
    <row r="45" spans="1:21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8"/>
        <v>0</v>
      </c>
      <c r="J45" s="3">
        <v>0</v>
      </c>
      <c r="K45" s="4">
        <f>[2]Functions!D32</f>
        <v>21.599</v>
      </c>
      <c r="L45" s="4">
        <f>[2]Functions!E32</f>
        <v>13.901</v>
      </c>
      <c r="M45" s="4">
        <f>[2]Functions!F32</f>
        <v>7.7720000000000002</v>
      </c>
      <c r="N45" s="4">
        <f>[2]Functions!G32</f>
        <v>5.5972</v>
      </c>
      <c r="O45" s="4">
        <f>[2]Functions!H32</f>
        <v>4.7908999999999997</v>
      </c>
      <c r="P45" s="4">
        <f>[2]Functions!I32</f>
        <v>4.7321999999999997</v>
      </c>
      <c r="Q45" s="4">
        <f>[2]Functions!J32</f>
        <v>4.8235999999999999</v>
      </c>
      <c r="R45" s="4">
        <f>[2]Functions!K32</f>
        <v>4.7209000000000003</v>
      </c>
      <c r="S45" s="4">
        <f>[2]Functions!L32</f>
        <v>4.4062000000000001</v>
      </c>
      <c r="T45" s="4">
        <f>[2]Functions!M32</f>
        <v>4.2580999999999998</v>
      </c>
      <c r="U45" s="4">
        <f>[2]Functions!N32</f>
        <v>3.8039000000000001</v>
      </c>
    </row>
    <row r="46" spans="1:21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8"/>
        <v>0</v>
      </c>
    </row>
    <row r="47" spans="1:21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8"/>
        <v>0</v>
      </c>
    </row>
    <row r="48" spans="1:21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8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8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8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8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8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8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8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8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8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8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8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8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8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8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8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8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8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8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8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8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8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8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8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8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8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8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8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8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8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8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8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8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8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8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8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8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8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8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8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8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8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8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8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8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8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8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8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8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8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8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8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8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8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8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8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9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9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9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9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9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9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9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9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9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9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9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9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9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9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9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9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9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9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9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9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9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9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9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9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9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9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9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9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9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9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9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9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9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9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9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9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9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9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9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9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9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9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9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9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9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9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9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9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9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9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9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9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9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9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9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9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9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9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9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9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9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9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9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9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20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20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20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20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20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20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20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20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20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20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20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20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20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20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20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20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20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20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20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20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20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20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20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20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20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20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20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20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20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20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20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20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20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20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20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20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20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20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20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20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20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20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20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20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20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20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20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20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20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20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20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20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20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20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20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20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20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20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20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20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20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20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20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20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21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21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21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21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21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21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21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21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21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21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21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21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21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21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21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21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21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21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21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21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21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21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21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21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21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21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21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21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21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21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21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21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21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21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21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21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21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21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21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21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21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21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21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21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21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21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21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21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21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21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21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21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21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21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21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21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21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21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21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21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21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21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21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21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22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22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22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22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22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22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22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22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22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22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22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22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22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22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22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22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22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22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22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22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22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22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22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22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22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22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22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22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22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22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22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22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22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22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22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22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22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22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22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22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22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22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22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22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22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22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22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22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22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22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22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22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22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22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22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22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22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22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22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22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22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22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22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22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23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23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23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23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23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23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23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23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23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23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23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23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23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23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23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23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23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23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23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23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23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23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23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23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23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23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23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23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23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23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23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23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23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23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23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23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23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23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23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23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23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23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23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23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23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23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23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23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23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23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23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23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23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23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23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23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23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23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23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23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23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23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23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23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4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4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4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4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4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4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4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4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4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4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4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4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4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4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4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4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4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4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4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4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4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4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4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4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4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4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4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4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4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4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4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4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4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4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4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4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4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4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4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4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4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4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4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4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4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4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4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4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4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4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4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4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4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4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4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4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4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4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4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4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4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4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4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4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5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5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5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5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5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5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5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5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5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5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5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5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5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5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5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5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5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5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5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5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5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5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5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5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5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5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5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5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5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5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5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5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5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5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5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5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5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5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5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5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5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5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5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5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5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5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5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5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5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5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5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5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5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5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5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5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5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5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5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5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5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5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5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5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6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6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6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6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6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6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6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6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6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6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6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6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6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6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6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6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6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6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6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6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6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6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6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6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6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6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6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6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6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6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6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6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6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6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6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6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6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6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6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6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6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6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6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6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6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6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6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6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6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6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6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6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6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6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6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6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6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6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6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6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6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6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6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6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7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7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7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7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7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7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7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7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7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7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7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7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7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7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7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7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7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7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7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7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7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7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7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7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7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7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7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7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7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7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7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7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7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7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7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7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7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7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7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7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7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7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7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7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7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7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7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7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7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7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7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7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7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7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7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7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7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7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7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7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7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7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7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7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8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8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8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8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8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8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8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8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8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8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8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8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8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8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8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8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8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8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8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8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8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8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8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8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8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8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8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8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8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8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8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8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8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8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8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8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8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8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8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8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8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8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8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8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8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8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8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8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8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8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8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8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8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8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8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8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8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8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8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8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8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8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8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8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9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9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9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9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9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9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9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9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9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9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9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9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9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9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9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9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9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9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9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9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9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9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9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9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9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9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9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9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9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9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9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9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9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9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9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9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9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9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9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9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9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9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9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9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9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9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9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9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9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9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9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9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9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9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9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9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9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9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9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9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9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9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9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9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30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30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30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30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30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30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30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30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30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30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30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30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30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30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30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30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30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30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30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30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30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30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30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30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30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30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30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30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30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30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30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30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30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30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30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30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30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30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30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30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30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30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30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30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30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30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30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30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30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30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30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30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30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30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30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30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30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30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30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30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30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30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30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30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31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31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31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31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31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31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31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31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31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31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31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31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31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31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31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31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31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31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31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31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31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31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31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31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31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31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31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31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31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31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31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31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31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31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31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31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31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31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31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31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31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31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31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31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31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31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31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31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31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31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31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31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31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31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31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31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31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31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31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31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31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31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31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31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32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32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32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32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32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32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32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32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32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32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32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32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32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32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32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32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32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32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32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32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32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32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32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32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32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32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32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32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32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32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32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32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32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32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32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32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32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32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32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32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32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32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32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32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32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32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32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32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32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32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32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32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32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32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32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32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32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32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32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32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32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32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32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32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33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33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33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33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33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33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33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33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33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33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33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33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33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33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33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33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33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33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33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33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33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33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33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33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33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33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33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33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33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33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33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33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33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33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33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33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33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33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33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33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33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33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33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33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33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33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33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33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33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33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33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33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33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33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33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33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33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33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33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33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33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33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33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33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4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4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4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4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4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4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4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4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4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4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4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4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4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4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4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4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4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4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4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4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4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4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4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4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4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4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4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4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4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4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4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4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4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4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4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4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4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4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4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4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4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4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4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4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4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4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4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4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4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4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4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4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4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4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4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4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4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4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4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4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4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4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4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4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5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5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5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5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5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5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5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5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5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5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5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5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5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5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5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5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5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5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5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5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5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5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5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5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5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5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5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5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5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5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5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5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5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5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5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5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5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5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5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5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5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5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5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5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5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5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5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5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5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5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5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5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5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5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5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5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5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5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5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5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5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5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5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5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6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6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6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6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6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6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6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6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6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6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6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6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6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6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6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6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6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6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6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6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6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6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6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6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6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6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6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6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6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6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6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6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6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6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6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6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6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6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6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6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6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6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6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6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6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6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6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6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6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6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6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6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6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6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6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6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6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6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6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6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6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6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6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6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7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7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7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7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7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7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7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7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7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7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7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7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7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7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7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7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7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7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7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7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7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7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7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7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7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7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7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7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7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7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7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7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7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7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7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7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7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7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7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7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7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7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7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7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7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7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7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7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7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7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7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7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7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7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7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7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7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7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7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7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7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7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7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7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8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8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8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8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8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8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8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8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8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8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8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8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8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8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8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8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8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8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8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8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8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8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8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8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8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8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8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8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8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8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8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8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8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8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8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8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8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8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8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8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8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8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8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8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8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8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8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8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8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8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8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8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8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8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8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8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8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8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8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8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8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8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8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8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9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9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9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9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9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9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9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9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9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9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9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9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9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9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9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9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9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9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9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9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9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9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9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9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9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9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9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9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9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9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9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9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9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9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9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9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9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9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9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9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9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9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9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9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9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9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9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9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9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9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9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9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9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9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9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9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9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9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9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9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9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9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9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9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40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40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40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40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40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40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40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40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40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40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40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40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40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40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40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40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40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40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40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40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40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4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886B-CB90-4EAE-A9A5-A1242E079F08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-2.707682188700089E-2</v>
      </c>
      <c r="K6" s="14">
        <f>'Spot Prices'!K29</f>
        <v>-7.0356481385946745E-2</v>
      </c>
      <c r="L6" s="14">
        <f>'Spot Prices'!L29</f>
        <v>-6.2112118915123915E-2</v>
      </c>
      <c r="M6" s="14">
        <f>'Spot Prices'!M29</f>
        <v>-6.9063791746274972E-2</v>
      </c>
      <c r="N6" s="14">
        <f>'Spot Prices'!N29</f>
        <v>-8.8118410167702388E-3</v>
      </c>
      <c r="O6" s="14">
        <f>'Spot Prices'!O29</f>
        <v>-6.6249221704253514E-2</v>
      </c>
      <c r="P6" s="14">
        <f>'Spot Prices'!P29</f>
        <v>-6.6249221704253514E-2</v>
      </c>
      <c r="Q6" s="14">
        <f>'Spot Prices'!Q29</f>
        <v>-6.6249221704253514E-2</v>
      </c>
      <c r="R6" s="14">
        <f>'Spot Prices'!R29</f>
        <v>-6.6249221704253514E-2</v>
      </c>
      <c r="S6" s="14">
        <f>'Spot Prices'!S29</f>
        <v>-6.6249221704253514E-2</v>
      </c>
      <c r="T6" s="14">
        <f>'Spot Prices'!T29</f>
        <v>-6.6249221704253514E-2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-6.8254090889995456E-2</v>
      </c>
      <c r="K7" s="14">
        <f>'Spot Prices'!K30</f>
        <v>-0.11180964081406086</v>
      </c>
      <c r="L7" s="14">
        <f>'Spot Prices'!L30</f>
        <v>-0.10939493391806532</v>
      </c>
      <c r="M7" s="14">
        <f>'Spot Prices'!M30</f>
        <v>-0.12947574442401111</v>
      </c>
      <c r="N7" s="14">
        <f>'Spot Prices'!N30</f>
        <v>-7.0637463138707668E-2</v>
      </c>
      <c r="O7" s="14">
        <f>'Spot Prices'!O30</f>
        <v>-0.12232387246950638</v>
      </c>
      <c r="P7" s="14">
        <f>'Spot Prices'!P30</f>
        <v>-0.12232387246950638</v>
      </c>
      <c r="Q7" s="14">
        <f>'Spot Prices'!Q30</f>
        <v>-0.12232387246950649</v>
      </c>
      <c r="R7" s="14">
        <f>'Spot Prices'!R30</f>
        <v>-0.12232387246950649</v>
      </c>
      <c r="S7" s="14">
        <f>'Spot Prices'!S30</f>
        <v>-0.12232387246950638</v>
      </c>
      <c r="T7" s="14">
        <f>'Spot Prices'!T30</f>
        <v>-0.12232387246950638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-9.9563870000832222E-2</v>
      </c>
      <c r="K8" s="46">
        <f>'Spot Prices'!K31</f>
        <v>-0.13412127643991212</v>
      </c>
      <c r="L8" s="46">
        <f>'Spot Prices'!L31</f>
        <v>-0.12657506718378619</v>
      </c>
      <c r="M8" s="46">
        <f>'Spot Prices'!M31</f>
        <v>-0.15085775705829008</v>
      </c>
      <c r="N8" s="46">
        <f>'Spot Prices'!N31</f>
        <v>-8.4978918131081826E-2</v>
      </c>
      <c r="O8" s="46">
        <f>'Spot Prices'!O31</f>
        <v>-0.13750829031540812</v>
      </c>
      <c r="P8" s="46">
        <f>'Spot Prices'!P31</f>
        <v>-0.13750829031540812</v>
      </c>
      <c r="Q8" s="46">
        <f>'Spot Prices'!Q31</f>
        <v>-0.13750829031540812</v>
      </c>
      <c r="R8" s="46">
        <f>'Spot Prices'!R31</f>
        <v>-0.13750829031540812</v>
      </c>
      <c r="S8" s="46">
        <f>'Spot Prices'!S31</f>
        <v>-0.13750829031540823</v>
      </c>
      <c r="T8" s="46">
        <f>'Spot Prices'!T31</f>
        <v>-0.13750829031540812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-0.11057490781087875</v>
      </c>
      <c r="K9" s="41">
        <f>'Spot Prices'!K32</f>
        <v>-0.14146185960568947</v>
      </c>
      <c r="L9" s="41">
        <f>'Spot Prices'!L32</f>
        <v>-0.1354988687452493</v>
      </c>
      <c r="M9" s="41">
        <f>'Spot Prices'!M32</f>
        <v>-0.16540932232235739</v>
      </c>
      <c r="N9" s="41">
        <f>'Spot Prices'!N32</f>
        <v>-9.066506822769782E-2</v>
      </c>
      <c r="O9" s="41">
        <f>'Spot Prices'!O32</f>
        <v>-0.15324534971814097</v>
      </c>
      <c r="P9" s="41">
        <f>'Spot Prices'!P32</f>
        <v>-0.15324534971814097</v>
      </c>
      <c r="Q9" s="41">
        <f>'Spot Prices'!Q32</f>
        <v>-0.15324534971814108</v>
      </c>
      <c r="R9" s="41">
        <f>'Spot Prices'!R32</f>
        <v>-0.15324534971814108</v>
      </c>
      <c r="S9" s="41">
        <f>'Spot Prices'!S32</f>
        <v>-0.15324534971814108</v>
      </c>
      <c r="T9" s="41">
        <f>'Spot Prices'!T32</f>
        <v>-0.15324534971814108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-0.1208891199290455</v>
      </c>
      <c r="K10" s="46">
        <f>'Spot Prices'!K33</f>
        <v>-0.14810155327490959</v>
      </c>
      <c r="L10" s="46">
        <f>'Spot Prices'!L33</f>
        <v>-0.14002567546267997</v>
      </c>
      <c r="M10" s="46">
        <f>'Spot Prices'!M33</f>
        <v>-0.17148745421136313</v>
      </c>
      <c r="N10" s="46">
        <f>'Spot Prices'!N33</f>
        <v>-9.7031792099038339E-2</v>
      </c>
      <c r="O10" s="46">
        <f>'Spot Prices'!O33</f>
        <v>-0.15980456433561374</v>
      </c>
      <c r="P10" s="46">
        <f>'Spot Prices'!P33</f>
        <v>-0.15980456433561363</v>
      </c>
      <c r="Q10" s="46">
        <f>'Spot Prices'!Q33</f>
        <v>-0.15980456433561363</v>
      </c>
      <c r="R10" s="46">
        <f>'Spot Prices'!R33</f>
        <v>-0.15980456433561374</v>
      </c>
      <c r="S10" s="46">
        <f>'Spot Prices'!S33</f>
        <v>-0.15980456433561385</v>
      </c>
      <c r="T10" s="46">
        <f>'Spot Prices'!T33</f>
        <v>-0.15980456433561385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-0.14379602728030905</v>
      </c>
      <c r="K11" s="14">
        <f>'Spot Prices'!K34</f>
        <v>-0.16142872522415197</v>
      </c>
      <c r="L11" s="14">
        <f>'Spot Prices'!L34</f>
        <v>-0.15902890158055494</v>
      </c>
      <c r="M11" s="14">
        <f>'Spot Prices'!M34</f>
        <v>-0.19155923372400463</v>
      </c>
      <c r="N11" s="14">
        <f>'Spot Prices'!N34</f>
        <v>-0.10864118891812402</v>
      </c>
      <c r="O11" s="14">
        <f>'Spot Prices'!O34</f>
        <v>-0.17499030255231729</v>
      </c>
      <c r="P11" s="14">
        <f>'Spot Prices'!P34</f>
        <v>-0.17499030255231729</v>
      </c>
      <c r="Q11" s="14">
        <f>'Spot Prices'!Q34</f>
        <v>-0.1749903025523174</v>
      </c>
      <c r="R11" s="14">
        <f>'Spot Prices'!R34</f>
        <v>-0.1749903025523174</v>
      </c>
      <c r="S11" s="14">
        <f>'Spot Prices'!S34</f>
        <v>-0.1749903025523174</v>
      </c>
      <c r="T11" s="14">
        <f>'Spot Prices'!T34</f>
        <v>-0.1749903025523174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-0.21455151972462549</v>
      </c>
      <c r="K12" s="14">
        <f>'Spot Prices'!K35</f>
        <v>-0.19881048441424565</v>
      </c>
      <c r="L12" s="14">
        <f>'Spot Prices'!L35</f>
        <v>-0.24139031607809225</v>
      </c>
      <c r="M12" s="14">
        <f>'Spot Prices'!M35</f>
        <v>-0.218492972680286</v>
      </c>
      <c r="N12" s="14">
        <f>'Spot Prices'!N35</f>
        <v>-0.15673287279469184</v>
      </c>
      <c r="O12" s="14">
        <f>'Spot Prices'!O35</f>
        <v>-0.22811745261763405</v>
      </c>
      <c r="P12" s="14">
        <f>'Spot Prices'!P35</f>
        <v>-0.22811745261763394</v>
      </c>
      <c r="Q12" s="14">
        <f>'Spot Prices'!Q35</f>
        <v>-0.22811745261763405</v>
      </c>
      <c r="R12" s="14">
        <f>'Spot Prices'!R35</f>
        <v>-0.22811745261763394</v>
      </c>
      <c r="S12" s="14">
        <f>'Spot Prices'!S35</f>
        <v>-0.22811745261763394</v>
      </c>
      <c r="T12" s="14">
        <f>'Spot Prices'!T35</f>
        <v>-0.22811745261763394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-0.10706245261602132</v>
      </c>
      <c r="K13" s="46">
        <f>'Spot Prices'!K36</f>
        <v>-0.13827375441034129</v>
      </c>
      <c r="L13" s="46">
        <f>'Spot Prices'!L36</f>
        <v>-0.13227281817196912</v>
      </c>
      <c r="M13" s="46">
        <f>'Spot Prices'!M36</f>
        <v>-0.15988844075858466</v>
      </c>
      <c r="N13" s="46">
        <f>'Spot Prices'!N36</f>
        <v>-8.9701176384817005E-2</v>
      </c>
      <c r="O13" s="46">
        <f>'Spot Prices'!O36</f>
        <v>-0.14714415762311406</v>
      </c>
      <c r="P13" s="46">
        <f>'Spot Prices'!P36</f>
        <v>-0.14714415762311417</v>
      </c>
      <c r="Q13" s="46">
        <f>'Spot Prices'!Q36</f>
        <v>-0.14714415762311417</v>
      </c>
      <c r="R13" s="46">
        <f>'Spot Prices'!R36</f>
        <v>-0.14714415762311428</v>
      </c>
      <c r="S13" s="46">
        <f>'Spot Prices'!S36</f>
        <v>-0.14714415762311428</v>
      </c>
      <c r="T13" s="46">
        <f>'Spot Prices'!T36</f>
        <v>-0.14714415762311439</v>
      </c>
    </row>
    <row r="15" spans="2:23" x14ac:dyDescent="0.3">
      <c r="B15" s="1" t="str">
        <f>D105</f>
        <v>Golden Plains Average Price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AVERAGEIFS($E$39:$E$1048576,$B$39:$B$1048576,E$16,$C$39:$C$1048576,$B17,$D$39:$D$1048576,$B$15)*WindFarmLGCs!E17/WindFarmLGCs!V17</f>
        <v>105.88977359848589</v>
      </c>
      <c r="F17" s="16">
        <f>AVERAGEIFS($E$39:$E$1048576,$B$39:$B$1048576,F$16,$C$39:$C$1048576,$B17,$D$39:$D$1048576,$B$15)*WindFarmLGCs!F17/WindFarmLGCs!W17</f>
        <v>88.68130571690044</v>
      </c>
      <c r="G17" s="16">
        <f t="shared" ref="G17:O24" si="1">AVERAGEIFS($E$39:$E$1048576,$B$39:$B$1048576,G$16,$C$39:$C$1048576,$B17,$D$39:$D$1048576,$B$15)</f>
        <v>72.864744000000002</v>
      </c>
      <c r="H17" s="16">
        <f t="shared" si="1"/>
        <v>76.508369000000002</v>
      </c>
      <c r="I17" s="16">
        <f t="shared" si="1"/>
        <v>83.343643</v>
      </c>
      <c r="J17" s="16">
        <f t="shared" si="1"/>
        <v>88.802004999999994</v>
      </c>
      <c r="K17" s="16">
        <f t="shared" si="1"/>
        <v>83.432719000000006</v>
      </c>
      <c r="L17" s="16">
        <f t="shared" si="1"/>
        <v>92.487181000000007</v>
      </c>
      <c r="M17" s="16">
        <f t="shared" si="1"/>
        <v>92.698639999999997</v>
      </c>
      <c r="N17" s="16">
        <f t="shared" si="1"/>
        <v>110.492789</v>
      </c>
      <c r="O17" s="16">
        <f t="shared" si="1"/>
        <v>108.43234</v>
      </c>
      <c r="P17" s="65">
        <f>'Spot Prices'!P17/'Spot Prices'!O17*WindFarmAvPrice!O17</f>
        <v>113.47762995384782</v>
      </c>
      <c r="Q17" s="65">
        <f>'Spot Prices'!Q17/'Spot Prices'!P17*WindFarmAvPrice!P17</f>
        <v>125.0445499530464</v>
      </c>
      <c r="R17" s="65">
        <f>'Spot Prices'!R17/'Spot Prices'!Q17*WindFarmAvPrice!Q17</f>
        <v>124.4346178657952</v>
      </c>
      <c r="S17" s="65">
        <f>'Spot Prices'!S17/'Spot Prices'!R17*WindFarmAvPrice!R17</f>
        <v>129.08590256388905</v>
      </c>
      <c r="T17" s="65">
        <f>'Spot Prices'!T17/'Spot Prices'!S17*WindFarmAvPrice!S17</f>
        <v>127.60035968452304</v>
      </c>
      <c r="V17" s="17">
        <f>AVERAGEIFS($E$39:$E$1048576,$B$39:$B$1048576,V$16,$C$39:$C$1048576,$B17,$D$39:$D$1048576,$B$15)</f>
        <v>62.835909000000001</v>
      </c>
      <c r="W17" s="17">
        <f t="shared" ref="V17:W24" si="2">AVERAGEIFS($E$39:$E$1048576,$B$39:$B$1048576,W$16,$C$39:$C$1048576,$B17,$D$39:$D$1048576,$B$15)</f>
        <v>61.696666</v>
      </c>
    </row>
    <row r="18" spans="2:23" x14ac:dyDescent="0.3">
      <c r="B18" s="3">
        <v>0.95</v>
      </c>
      <c r="C18" s="17">
        <f t="shared" si="0"/>
        <v>0</v>
      </c>
      <c r="D18" s="17"/>
      <c r="E18" s="16">
        <f>AVERAGEIFS($E$39:$E$1048576,$B$39:$B$1048576,E$16,$C$39:$C$1048576,$B18,$D$39:$D$1048576,$B$15)*WindFarmLGCs!E18/WindFarmLGCs!V18</f>
        <v>87.97858370607841</v>
      </c>
      <c r="F18" s="16">
        <f>AVERAGEIFS($E$39:$E$1048576,$B$39:$B$1048576,F$16,$C$39:$C$1048576,$B18,$D$39:$D$1048576,$B$15)*WindFarmLGCs!F18/WindFarmLGCs!W18</f>
        <v>75.10645515022965</v>
      </c>
      <c r="G18" s="16">
        <f t="shared" si="1"/>
        <v>63.604109000000001</v>
      </c>
      <c r="H18" s="16">
        <f t="shared" si="1"/>
        <v>62.843774000000003</v>
      </c>
      <c r="I18" s="16">
        <f t="shared" si="1"/>
        <v>68.601892000000007</v>
      </c>
      <c r="J18" s="16">
        <f t="shared" si="1"/>
        <v>72.658219000000003</v>
      </c>
      <c r="K18" s="16">
        <f t="shared" si="1"/>
        <v>72.068810999999997</v>
      </c>
      <c r="L18" s="16">
        <f t="shared" si="1"/>
        <v>76.847931000000003</v>
      </c>
      <c r="M18" s="16">
        <f t="shared" si="1"/>
        <v>81.174425999999997</v>
      </c>
      <c r="N18" s="16">
        <f t="shared" si="1"/>
        <v>90.840806999999998</v>
      </c>
      <c r="O18" s="16">
        <f t="shared" si="1"/>
        <v>90.720577000000006</v>
      </c>
      <c r="P18" s="65">
        <f>'Spot Prices'!P18/'Spot Prices'!O18*WindFarmAvPrice!O18</f>
        <v>97.382306953491891</v>
      </c>
      <c r="Q18" s="65">
        <f>'Spot Prices'!Q18/'Spot Prices'!P18*WindFarmAvPrice!P18</f>
        <v>108.22058788506608</v>
      </c>
      <c r="R18" s="65">
        <f>'Spot Prices'!R18/'Spot Prices'!Q18*WindFarmAvPrice!Q18</f>
        <v>109.40264941294947</v>
      </c>
      <c r="S18" s="65">
        <f>'Spot Prices'!S18/'Spot Prices'!R18*WindFarmAvPrice!R18</f>
        <v>115.28437228482808</v>
      </c>
      <c r="T18" s="65">
        <f>'Spot Prices'!T18/'Spot Prices'!S18*WindFarmAvPrice!S18</f>
        <v>115.29294786761882</v>
      </c>
      <c r="V18" s="17">
        <f>AVERAGEIFS($E$39:$E$1048576,$B$39:$B$1048576,V$16,$C$39:$C$1048576,$B18,$D$39:$D$1048576,$B$15)</f>
        <v>50.200076000000003</v>
      </c>
      <c r="W18" s="17">
        <f t="shared" si="2"/>
        <v>51.260713000000003</v>
      </c>
    </row>
    <row r="19" spans="2:23" x14ac:dyDescent="0.3">
      <c r="B19" s="5">
        <v>0.75</v>
      </c>
      <c r="C19" s="48">
        <f t="shared" si="0"/>
        <v>0</v>
      </c>
      <c r="D19" s="48"/>
      <c r="E19" s="66">
        <f>AVERAGEIFS($E$39:$E$1048576,$B$39:$B$1048576,E$16,$C$39:$C$1048576,$B19,$D$39:$D$1048576,$B$15)*WindFarmLGCs!E19/WindFarmLGCs!V19</f>
        <v>80.934995438271329</v>
      </c>
      <c r="F19" s="66">
        <f>AVERAGEIFS($E$39:$E$1048576,$B$39:$B$1048576,F$16,$C$39:$C$1048576,$B19,$D$39:$D$1048576,$B$15)*WindFarmLGCs!F19/WindFarmLGCs!W19</f>
        <v>67.747606829886635</v>
      </c>
      <c r="G19" s="66">
        <f t="shared" si="1"/>
        <v>57.754384000000002</v>
      </c>
      <c r="H19" s="66">
        <f t="shared" si="1"/>
        <v>57.359270000000002</v>
      </c>
      <c r="I19" s="66">
        <f t="shared" si="1"/>
        <v>61.827388999999997</v>
      </c>
      <c r="J19" s="66">
        <f t="shared" si="1"/>
        <v>65.428612000000001</v>
      </c>
      <c r="K19" s="66">
        <f t="shared" si="1"/>
        <v>65.686575000000005</v>
      </c>
      <c r="L19" s="66">
        <f t="shared" si="1"/>
        <v>69.711599000000007</v>
      </c>
      <c r="M19" s="66">
        <f t="shared" si="1"/>
        <v>73.749397000000002</v>
      </c>
      <c r="N19" s="66">
        <f t="shared" si="1"/>
        <v>81.128977000000006</v>
      </c>
      <c r="O19" s="66">
        <f t="shared" si="1"/>
        <v>81.813676999999998</v>
      </c>
      <c r="P19" s="67">
        <f>'Spot Prices'!P19/'Spot Prices'!O19*WindFarmAvPrice!O19</f>
        <v>88.125137871206192</v>
      </c>
      <c r="Q19" s="67">
        <f>'Spot Prices'!Q19/'Spot Prices'!P19*WindFarmAvPrice!P19</f>
        <v>100.32561167602653</v>
      </c>
      <c r="R19" s="67">
        <f>'Spot Prices'!R19/'Spot Prices'!Q19*WindFarmAvPrice!Q19</f>
        <v>101.00909189595401</v>
      </c>
      <c r="S19" s="67">
        <f>'Spot Prices'!S19/'Spot Prices'!R19*WindFarmAvPrice!R19</f>
        <v>109.07065897896611</v>
      </c>
      <c r="T19" s="67">
        <f>'Spot Prices'!T19/'Spot Prices'!S19*WindFarmAvPrice!S19</f>
        <v>108.65811296171168</v>
      </c>
      <c r="V19" s="48">
        <f t="shared" si="2"/>
        <v>45.717576000000001</v>
      </c>
      <c r="W19" s="48">
        <f t="shared" si="2"/>
        <v>47.156767000000002</v>
      </c>
    </row>
    <row r="20" spans="2:23" x14ac:dyDescent="0.3">
      <c r="B20" s="7">
        <v>0.5</v>
      </c>
      <c r="C20" s="39">
        <f t="shared" si="0"/>
        <v>0</v>
      </c>
      <c r="D20" s="39"/>
      <c r="E20" s="68">
        <f>AVERAGEIFS($E$39:$E$1048576,$B$39:$B$1048576,E$16,$C$39:$C$1048576,$B20,$D$39:$D$1048576,$B$15)*WindFarmLGCs!E20/WindFarmLGCs!V20</f>
        <v>75.842510225603334</v>
      </c>
      <c r="F20" s="68">
        <f>AVERAGEIFS($E$39:$E$1048576,$B$39:$B$1048576,F$16,$C$39:$C$1048576,$B20,$D$39:$D$1048576,$B$15)*WindFarmLGCs!F20/WindFarmLGCs!W20</f>
        <v>62.472462111331851</v>
      </c>
      <c r="G20" s="68">
        <f t="shared" si="1"/>
        <v>53.446190000000001</v>
      </c>
      <c r="H20" s="68">
        <f t="shared" si="1"/>
        <v>53.212879999999998</v>
      </c>
      <c r="I20" s="68">
        <f t="shared" si="1"/>
        <v>56.574527000000003</v>
      </c>
      <c r="J20" s="68">
        <f t="shared" si="1"/>
        <v>59.746547999999997</v>
      </c>
      <c r="K20" s="68">
        <f t="shared" si="1"/>
        <v>60.629709000000005</v>
      </c>
      <c r="L20" s="68">
        <f t="shared" si="1"/>
        <v>64.289473999999998</v>
      </c>
      <c r="M20" s="68">
        <f t="shared" si="1"/>
        <v>67.972566</v>
      </c>
      <c r="N20" s="68">
        <f t="shared" si="1"/>
        <v>73.711229000000003</v>
      </c>
      <c r="O20" s="68">
        <f t="shared" si="1"/>
        <v>74.934731999999997</v>
      </c>
      <c r="P20" s="69">
        <f>'Spot Prices'!P20/'Spot Prices'!O20*WindFarmAvPrice!O20</f>
        <v>81.332965158935394</v>
      </c>
      <c r="Q20" s="69">
        <f>'Spot Prices'!Q20/'Spot Prices'!P20*WindFarmAvPrice!P20</f>
        <v>93.139862272222175</v>
      </c>
      <c r="R20" s="69">
        <f>'Spot Prices'!R20/'Spot Prices'!Q20*WindFarmAvPrice!Q20</f>
        <v>94.095917017508782</v>
      </c>
      <c r="S20" s="69">
        <f>'Spot Prices'!S20/'Spot Prices'!R20*WindFarmAvPrice!R20</f>
        <v>102.85985688954399</v>
      </c>
      <c r="T20" s="69">
        <f>'Spot Prices'!T20/'Spot Prices'!S20*WindFarmAvPrice!S20</f>
        <v>102.05131673717166</v>
      </c>
      <c r="V20" s="39">
        <f t="shared" si="2"/>
        <v>42.786665999999997</v>
      </c>
      <c r="W20" s="39">
        <f t="shared" si="2"/>
        <v>44.189630999999999</v>
      </c>
    </row>
    <row r="21" spans="2:23" x14ac:dyDescent="0.3">
      <c r="B21" s="5">
        <v>0.25</v>
      </c>
      <c r="C21" s="48">
        <f t="shared" si="0"/>
        <v>0</v>
      </c>
      <c r="D21" s="48"/>
      <c r="E21" s="66">
        <f>AVERAGEIFS($E$39:$E$1048576,$B$39:$B$1048576,E$16,$C$39:$C$1048576,$B21,$D$39:$D$1048576,$B$15)*WindFarmLGCs!E21/WindFarmLGCs!V21</f>
        <v>71.012376383793693</v>
      </c>
      <c r="F21" s="66">
        <f>AVERAGEIFS($E$39:$E$1048576,$B$39:$B$1048576,F$16,$C$39:$C$1048576,$B21,$D$39:$D$1048576,$B$15)*WindFarmLGCs!F21/WindFarmLGCs!W21</f>
        <v>57.942298473272373</v>
      </c>
      <c r="G21" s="66">
        <f t="shared" si="1"/>
        <v>49.574193999999999</v>
      </c>
      <c r="H21" s="66">
        <f t="shared" si="1"/>
        <v>49.169029999999999</v>
      </c>
      <c r="I21" s="66">
        <f t="shared" si="1"/>
        <v>51.966873999999997</v>
      </c>
      <c r="J21" s="66">
        <f t="shared" si="1"/>
        <v>54.820939000000003</v>
      </c>
      <c r="K21" s="66">
        <f t="shared" si="1"/>
        <v>55.794977000000003</v>
      </c>
      <c r="L21" s="66">
        <f t="shared" si="1"/>
        <v>58.892699</v>
      </c>
      <c r="M21" s="66">
        <f t="shared" si="1"/>
        <v>62.256520999999999</v>
      </c>
      <c r="N21" s="66">
        <f t="shared" si="1"/>
        <v>67.190578000000002</v>
      </c>
      <c r="O21" s="66">
        <f t="shared" si="1"/>
        <v>68.235971000000006</v>
      </c>
      <c r="P21" s="67">
        <f>'Spot Prices'!P21/'Spot Prices'!O21*WindFarmAvPrice!O21</f>
        <v>72.965579901499197</v>
      </c>
      <c r="Q21" s="67">
        <f>'Spot Prices'!Q21/'Spot Prices'!P21*WindFarmAvPrice!P21</f>
        <v>82.992502741562632</v>
      </c>
      <c r="R21" s="67">
        <f>'Spot Prices'!R21/'Spot Prices'!Q21*WindFarmAvPrice!Q21</f>
        <v>82.451439610129995</v>
      </c>
      <c r="S21" s="67">
        <f>'Spot Prices'!S21/'Spot Prices'!R21*WindFarmAvPrice!R21</f>
        <v>89.431419136922315</v>
      </c>
      <c r="T21" s="67">
        <f>'Spot Prices'!T21/'Spot Prices'!S21*WindFarmAvPrice!S21</f>
        <v>87.762247037354598</v>
      </c>
      <c r="V21" s="48">
        <f t="shared" si="2"/>
        <v>40.105105999999999</v>
      </c>
      <c r="W21" s="48">
        <f t="shared" si="2"/>
        <v>41.375354000000002</v>
      </c>
    </row>
    <row r="22" spans="2:23" x14ac:dyDescent="0.3">
      <c r="B22" s="3">
        <v>0.05</v>
      </c>
      <c r="C22" s="17">
        <f t="shared" si="0"/>
        <v>0</v>
      </c>
      <c r="D22" s="17"/>
      <c r="E22" s="16">
        <f>AVERAGEIFS($E$39:$E$1048576,$B$39:$B$1048576,E$16,$C$39:$C$1048576,$B22,$D$39:$D$1048576,$B$15)*WindFarmLGCs!E22/WindFarmLGCs!V22</f>
        <v>65.113375972228127</v>
      </c>
      <c r="F22" s="16">
        <f>AVERAGEIFS($E$39:$E$1048576,$B$39:$B$1048576,F$16,$C$39:$C$1048576,$B22,$D$39:$D$1048576,$B$15)*WindFarmLGCs!F22/WindFarmLGCs!W22</f>
        <v>52.813131131677594</v>
      </c>
      <c r="G22" s="16">
        <f t="shared" si="1"/>
        <v>45.052605999999997</v>
      </c>
      <c r="H22" s="16">
        <f t="shared" si="1"/>
        <v>44.336599</v>
      </c>
      <c r="I22" s="16">
        <f t="shared" si="1"/>
        <v>46.685620999999998</v>
      </c>
      <c r="J22" s="16">
        <f t="shared" si="1"/>
        <v>49.224623999999999</v>
      </c>
      <c r="K22" s="16">
        <f t="shared" si="1"/>
        <v>50.133386999999999</v>
      </c>
      <c r="L22" s="16">
        <f t="shared" si="1"/>
        <v>52.647655000000007</v>
      </c>
      <c r="M22" s="16">
        <f t="shared" si="1"/>
        <v>55.662869999999998</v>
      </c>
      <c r="N22" s="16">
        <f t="shared" si="1"/>
        <v>60.044801</v>
      </c>
      <c r="O22" s="16">
        <f t="shared" si="1"/>
        <v>60.662655000000001</v>
      </c>
      <c r="P22" s="65">
        <f>'Spot Prices'!P22/'Spot Prices'!O22*WindFarmAvPrice!O22</f>
        <v>63.303904157994644</v>
      </c>
      <c r="Q22" s="65">
        <f>'Spot Prices'!Q22/'Spot Prices'!P22*WindFarmAvPrice!P22</f>
        <v>70.586838435104085</v>
      </c>
      <c r="R22" s="65">
        <f>'Spot Prices'!R22/'Spot Prices'!Q22*WindFarmAvPrice!Q22</f>
        <v>65.376445053443319</v>
      </c>
      <c r="S22" s="65">
        <f>'Spot Prices'!S22/'Spot Prices'!R22*WindFarmAvPrice!R22</f>
        <v>69.537531716099508</v>
      </c>
      <c r="T22" s="65">
        <f>'Spot Prices'!T22/'Spot Prices'!S22*WindFarmAvPrice!S22</f>
        <v>65.896384906529647</v>
      </c>
      <c r="V22" s="17">
        <f t="shared" si="2"/>
        <v>36.836015000000003</v>
      </c>
      <c r="W22" s="17">
        <f t="shared" si="2"/>
        <v>37.938302</v>
      </c>
    </row>
    <row r="23" spans="2:23" x14ac:dyDescent="0.3">
      <c r="B23" s="3">
        <v>0</v>
      </c>
      <c r="C23" s="17">
        <f t="shared" si="0"/>
        <v>0</v>
      </c>
      <c r="D23" s="17"/>
      <c r="E23" s="16">
        <f>AVERAGEIFS($E$39:$E$1048576,$B$39:$B$1048576,E$16,$C$39:$C$1048576,$B23,$D$39:$D$1048576,$B$15)*WindFarmLGCs!E23/WindFarmLGCs!V23</f>
        <v>56.728973949922917</v>
      </c>
      <c r="F23" s="16">
        <f>AVERAGEIFS($E$39:$E$1048576,$B$39:$B$1048576,F$16,$C$39:$C$1048576,$B23,$D$39:$D$1048576,$B$15)*WindFarmLGCs!F23/WindFarmLGCs!W23</f>
        <v>44.76223164363244</v>
      </c>
      <c r="G23" s="16">
        <f t="shared" si="1"/>
        <v>37.430554000000001</v>
      </c>
      <c r="H23" s="16">
        <f t="shared" si="1"/>
        <v>38.955826000000002</v>
      </c>
      <c r="I23" s="16">
        <f t="shared" si="1"/>
        <v>40.532243999999999</v>
      </c>
      <c r="J23" s="16">
        <f t="shared" si="1"/>
        <v>41.872503999999999</v>
      </c>
      <c r="K23" s="16">
        <f t="shared" si="1"/>
        <v>44.229669000000001</v>
      </c>
      <c r="L23" s="16">
        <f t="shared" si="1"/>
        <v>45.885010000000001</v>
      </c>
      <c r="M23" s="16">
        <f t="shared" si="1"/>
        <v>48.558684</v>
      </c>
      <c r="N23" s="16">
        <f t="shared" si="1"/>
        <v>50.255170999999997</v>
      </c>
      <c r="O23" s="16">
        <f t="shared" si="1"/>
        <v>51.280093000000001</v>
      </c>
      <c r="P23" s="65">
        <f>'Spot Prices'!P23/'Spot Prices'!O23*WindFarmAvPrice!O23</f>
        <v>50.512837990365966</v>
      </c>
      <c r="Q23" s="65">
        <f>'Spot Prices'!Q23/'Spot Prices'!P23*WindFarmAvPrice!P23</f>
        <v>58.06423498784411</v>
      </c>
      <c r="R23" s="65">
        <f>'Spot Prices'!R23/'Spot Prices'!Q23*WindFarmAvPrice!Q23</f>
        <v>53.039120604945751</v>
      </c>
      <c r="S23" s="65">
        <f>'Spot Prices'!S23/'Spot Prices'!R23*WindFarmAvPrice!R23</f>
        <v>56.640318534837888</v>
      </c>
      <c r="T23" s="65">
        <f>'Spot Prices'!T23/'Spot Prices'!S23*WindFarmAvPrice!S23</f>
        <v>48.658271104328833</v>
      </c>
      <c r="V23" s="17">
        <f t="shared" si="2"/>
        <v>31.561684</v>
      </c>
      <c r="W23" s="17">
        <f t="shared" si="2"/>
        <v>33.053131</v>
      </c>
    </row>
    <row r="24" spans="2:23" x14ac:dyDescent="0.3">
      <c r="B24" s="9" t="s">
        <v>29</v>
      </c>
      <c r="C24" s="48">
        <f t="shared" si="0"/>
        <v>0</v>
      </c>
      <c r="D24" s="48"/>
      <c r="E24" s="16">
        <f>AVERAGEIFS($E$39:$E$1048576,$B$39:$B$1048576,E$16,$C$39:$C$1048576,$B24,$D$39:$D$1048576,$B$15)*WindFarmLGCs!E24/WindFarmLGCs!V24</f>
        <v>76.137886574238976</v>
      </c>
      <c r="F24" s="16">
        <f>AVERAGEIFS($E$39:$E$1048576,$B$39:$B$1048576,F$16,$C$39:$C$1048576,$B24,$D$39:$D$1048576,$B$15)*WindFarmLGCs!F24/WindFarmLGCs!W24</f>
        <v>63.077993229275911</v>
      </c>
      <c r="G24" s="66">
        <f t="shared" si="1"/>
        <v>53.789659999999998</v>
      </c>
      <c r="H24" s="66">
        <f t="shared" si="1"/>
        <v>53.347287000000001</v>
      </c>
      <c r="I24" s="66">
        <f t="shared" si="1"/>
        <v>57.036273999999999</v>
      </c>
      <c r="J24" s="66">
        <f t="shared" si="1"/>
        <v>60.256523999999999</v>
      </c>
      <c r="K24" s="66">
        <f t="shared" si="1"/>
        <v>60.800739</v>
      </c>
      <c r="L24" s="66">
        <f t="shared" si="1"/>
        <v>64.425872999999996</v>
      </c>
      <c r="M24" s="66">
        <f t="shared" si="1"/>
        <v>68.097599000000002</v>
      </c>
      <c r="N24" s="66">
        <f t="shared" si="1"/>
        <v>74.389549000000002</v>
      </c>
      <c r="O24" s="66">
        <f t="shared" si="1"/>
        <v>75.205246000000002</v>
      </c>
      <c r="P24" s="67">
        <f>'Spot Prices'!P24/'Spot Prices'!O24*WindFarmAvPrice!O24</f>
        <v>80.718837405646752</v>
      </c>
      <c r="Q24" s="67">
        <f>'Spot Prices'!Q24/'Spot Prices'!P24*WindFarmAvPrice!P24</f>
        <v>91.391582070249541</v>
      </c>
      <c r="R24" s="67">
        <f>'Spot Prices'!R24/'Spot Prices'!Q24*WindFarmAvPrice!Q24</f>
        <v>91.17616550977236</v>
      </c>
      <c r="S24" s="67">
        <f>'Spot Prices'!S24/'Spot Prices'!R24*WindFarmAvPrice!R24</f>
        <v>98.41129278791324</v>
      </c>
      <c r="T24" s="67">
        <f>'Spot Prices'!T24/'Spot Prices'!S24*WindFarmAvPrice!S24</f>
        <v>97.196627300253212</v>
      </c>
      <c r="V24" s="48">
        <f t="shared" si="2"/>
        <v>43.065548999999997</v>
      </c>
      <c r="W24" s="48">
        <f t="shared" si="2"/>
        <v>44.361732000000003</v>
      </c>
    </row>
    <row r="26" spans="2:23" x14ac:dyDescent="0.3">
      <c r="B26" s="1" t="str">
        <f>"Adjusted "&amp;B15</f>
        <v>Adjusted Golden Plains Average Price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4">
        <f t="shared" ref="E28:O28" si="4">(E17*(1+E6))*($E$26)</f>
        <v>107.72045268289656</v>
      </c>
      <c r="F28" s="4">
        <f t="shared" si="4"/>
        <v>85.296393366965404</v>
      </c>
      <c r="G28" s="4">
        <f t="shared" si="4"/>
        <v>68.232534573363523</v>
      </c>
      <c r="H28" s="4">
        <f t="shared" si="4"/>
        <v>69.261756940009121</v>
      </c>
      <c r="I28" s="4">
        <f t="shared" si="4"/>
        <v>80.859676589741412</v>
      </c>
      <c r="J28" s="4">
        <f t="shared" si="4"/>
        <v>86.397528927406427</v>
      </c>
      <c r="K28" s="4">
        <f t="shared" si="4"/>
        <v>77.562686458697584</v>
      </c>
      <c r="L28" s="4">
        <f t="shared" si="4"/>
        <v>86.742606215603416</v>
      </c>
      <c r="M28" s="4">
        <f t="shared" si="4"/>
        <v>86.296520431877084</v>
      </c>
      <c r="N28" s="4">
        <f t="shared" si="4"/>
        <v>109.51914410983247</v>
      </c>
      <c r="O28" s="4">
        <f t="shared" si="4"/>
        <v>101.248781867429</v>
      </c>
      <c r="P28" s="18">
        <f>(O28*'Spot Prices'!P5/'Spot Prices'!O5)*($E$26)</f>
        <v>105.95982528856212</v>
      </c>
      <c r="Q28" s="18">
        <f>(P28*'Spot Prices'!Q5/'Spot Prices'!P5)*($E$26)</f>
        <v>116.76044584029843</v>
      </c>
      <c r="R28" s="18">
        <f>(Q28*'Spot Prices'!R5/'Spot Prices'!Q5)*($E$26)</f>
        <v>116.19092127912005</v>
      </c>
      <c r="S28" s="18">
        <f>(R28*'Spot Prices'!S5/'Spot Prices'!R5)*($E$26)</f>
        <v>120.53406198604027</v>
      </c>
      <c r="T28" s="18">
        <f>(S28*'Spot Prices'!T5/'Spot Prices'!S5)*($E$26)</f>
        <v>119.14693516624057</v>
      </c>
    </row>
    <row r="29" spans="2:23" x14ac:dyDescent="0.3">
      <c r="B29" s="3">
        <v>0.95</v>
      </c>
      <c r="C29" s="20">
        <f t="shared" si="3"/>
        <v>0</v>
      </c>
      <c r="D29" s="20"/>
      <c r="E29" s="4">
        <f t="shared" ref="E29:O29" si="5">(E18*(1+E7))*($E$26)</f>
        <v>87.985094036078976</v>
      </c>
      <c r="F29" s="4">
        <f t="shared" si="5"/>
        <v>65.66783210959106</v>
      </c>
      <c r="G29" s="4">
        <f t="shared" si="5"/>
        <v>49.70356567742666</v>
      </c>
      <c r="H29" s="4">
        <f t="shared" si="5"/>
        <v>52.814613052989671</v>
      </c>
      <c r="I29" s="4">
        <f t="shared" si="5"/>
        <v>60.521895873106629</v>
      </c>
      <c r="J29" s="4">
        <f t="shared" si="5"/>
        <v>67.698998316468803</v>
      </c>
      <c r="K29" s="4">
        <f t="shared" si="5"/>
        <v>64.010823128193564</v>
      </c>
      <c r="L29" s="4">
        <f t="shared" si="5"/>
        <v>68.441156666514956</v>
      </c>
      <c r="M29" s="4">
        <f t="shared" si="5"/>
        <v>70.664306765458193</v>
      </c>
      <c r="N29" s="4">
        <f t="shared" si="5"/>
        <v>84.424042844047037</v>
      </c>
      <c r="O29" s="4">
        <f t="shared" si="5"/>
        <v>79.623284708691969</v>
      </c>
      <c r="P29" s="18">
        <f>(O29*'Spot Prices'!P6/'Spot Prices'!O6)*($E$26)</f>
        <v>85.470126056926631</v>
      </c>
      <c r="Q29" s="18">
        <f>(P29*'Spot Prices'!Q6/'Spot Prices'!P6)*($E$26)</f>
        <v>94.982626494038257</v>
      </c>
      <c r="R29" s="18">
        <f>(Q29*'Spot Prices'!R6/'Spot Prices'!Q6)*($E$26)</f>
        <v>96.020093678333708</v>
      </c>
      <c r="S29" s="18">
        <f>(R29*'Spot Prices'!S6/'Spot Prices'!R6)*($E$26)</f>
        <v>101.18234143173166</v>
      </c>
      <c r="T29" s="18">
        <f>(S29*'Spot Prices'!T6/'Spot Prices'!S6)*($E$26)</f>
        <v>101.18986801602675</v>
      </c>
    </row>
    <row r="30" spans="2:23" x14ac:dyDescent="0.3">
      <c r="B30" s="5">
        <v>0.75</v>
      </c>
      <c r="C30" s="51">
        <f t="shared" si="3"/>
        <v>0</v>
      </c>
      <c r="D30" s="51"/>
      <c r="E30" s="6">
        <f t="shared" ref="E30:O30" si="6">(E19*(1+E8))*($E$26)</f>
        <v>80.923505863899322</v>
      </c>
      <c r="F30" s="6">
        <f t="shared" si="6"/>
        <v>57.845476749336271</v>
      </c>
      <c r="G30" s="6">
        <f t="shared" si="6"/>
        <v>41.640728592867291</v>
      </c>
      <c r="H30" s="6">
        <f t="shared" si="6"/>
        <v>45.891613171494903</v>
      </c>
      <c r="I30" s="6">
        <f t="shared" si="6"/>
        <v>52.972665290500004</v>
      </c>
      <c r="J30" s="6">
        <f t="shared" si="6"/>
        <v>58.914286180497108</v>
      </c>
      <c r="K30" s="6">
        <f t="shared" si="6"/>
        <v>56.87660771603398</v>
      </c>
      <c r="L30" s="6">
        <f t="shared" si="6"/>
        <v>60.887848673085841</v>
      </c>
      <c r="M30" s="6">
        <f t="shared" si="6"/>
        <v>62.623728384178612</v>
      </c>
      <c r="N30" s="6">
        <f t="shared" si="6"/>
        <v>74.234724305458585</v>
      </c>
      <c r="O30" s="6">
        <f t="shared" si="6"/>
        <v>70.563618151312966</v>
      </c>
      <c r="P30" s="70">
        <f>(O30*'Spot Prices'!P7/'Spot Prices'!O7)*($E$26)</f>
        <v>76.007200828726994</v>
      </c>
      <c r="Q30" s="70">
        <f>(P30*'Spot Prices'!Q7/'Spot Prices'!P7)*($E$26)</f>
        <v>86.530008339608557</v>
      </c>
      <c r="R30" s="70">
        <f>(Q30*'Spot Prices'!R7/'Spot Prices'!Q7)*($E$26)</f>
        <v>87.119504363029421</v>
      </c>
      <c r="S30" s="70">
        <f>(R30*'Spot Prices'!S7/'Spot Prices'!R7)*($E$26)</f>
        <v>94.072539139193537</v>
      </c>
      <c r="T30" s="70">
        <f>(S30*'Spot Prices'!T7/'Spot Prices'!S7)*($E$26)</f>
        <v>93.716721619448208</v>
      </c>
    </row>
    <row r="31" spans="2:23" x14ac:dyDescent="0.3">
      <c r="B31" s="7">
        <v>0.5</v>
      </c>
      <c r="C31" s="43">
        <f t="shared" si="3"/>
        <v>0</v>
      </c>
      <c r="D31" s="43"/>
      <c r="E31" s="71">
        <f t="shared" ref="E31:O31" si="7">(E20*(1+E9))*($E$26)</f>
        <v>75.771003848488704</v>
      </c>
      <c r="F31" s="71">
        <f t="shared" si="7"/>
        <v>52.593499222847704</v>
      </c>
      <c r="G31" s="71">
        <f t="shared" si="7"/>
        <v>36.422609427119845</v>
      </c>
      <c r="H31" s="71">
        <f t="shared" si="7"/>
        <v>41.237758389757111</v>
      </c>
      <c r="I31" s="71">
        <f t="shared" si="7"/>
        <v>47.811138349340524</v>
      </c>
      <c r="J31" s="71">
        <f t="shared" si="7"/>
        <v>53.140078962881752</v>
      </c>
      <c r="K31" s="71">
        <f t="shared" si="7"/>
        <v>52.0529176175082</v>
      </c>
      <c r="L31" s="71">
        <f t="shared" si="7"/>
        <v>55.578323000772883</v>
      </c>
      <c r="M31" s="71">
        <f t="shared" si="7"/>
        <v>56.729269921428291</v>
      </c>
      <c r="N31" s="71">
        <f t="shared" si="7"/>
        <v>67.028195393567543</v>
      </c>
      <c r="O31" s="71">
        <f t="shared" si="7"/>
        <v>63.451332788624832</v>
      </c>
      <c r="P31" s="72">
        <f>(O31*'Spot Prices'!P8/'Spot Prices'!O8)*($E$26)</f>
        <v>68.869066469540968</v>
      </c>
      <c r="Q31" s="72">
        <f>(P31*'Spot Prices'!Q8/'Spot Prices'!P8)*($E$26)</f>
        <v>78.866611505616007</v>
      </c>
      <c r="R31" s="72">
        <f>(Q31*'Spot Prices'!R8/'Spot Prices'!Q8)*($E$26)</f>
        <v>79.676155307111472</v>
      </c>
      <c r="S31" s="72">
        <f>(R31*'Spot Prices'!S8/'Spot Prices'!R8)*($E$26)</f>
        <v>87.097062148547892</v>
      </c>
      <c r="T31" s="72">
        <f>(S31*'Spot Prices'!T8/'Spot Prices'!S8)*($E$26)</f>
        <v>86.412427014587024</v>
      </c>
    </row>
    <row r="32" spans="2:23" x14ac:dyDescent="0.3">
      <c r="B32" s="5">
        <v>0.25</v>
      </c>
      <c r="C32" s="51">
        <f t="shared" si="3"/>
        <v>0</v>
      </c>
      <c r="D32" s="51"/>
      <c r="E32" s="6">
        <f t="shared" ref="E32:O32" si="8">(E21*(1+E10))*($E$26)</f>
        <v>70.949321966250537</v>
      </c>
      <c r="F32" s="6">
        <f t="shared" si="8"/>
        <v>48.046671678872237</v>
      </c>
      <c r="G32" s="6">
        <f t="shared" si="8"/>
        <v>31.522344887376043</v>
      </c>
      <c r="H32" s="6">
        <f t="shared" si="8"/>
        <v>37.042342955616036</v>
      </c>
      <c r="I32" s="6">
        <f t="shared" si="8"/>
        <v>42.984124103567645</v>
      </c>
      <c r="J32" s="6">
        <f t="shared" si="8"/>
        <v>48.193683930606113</v>
      </c>
      <c r="K32" s="6">
        <f t="shared" si="8"/>
        <v>47.531654241362148</v>
      </c>
      <c r="L32" s="6">
        <f t="shared" si="8"/>
        <v>50.646209042704704</v>
      </c>
      <c r="M32" s="6">
        <f t="shared" si="8"/>
        <v>51.580308705653735</v>
      </c>
      <c r="N32" s="6">
        <f t="shared" si="8"/>
        <v>60.670955804489786</v>
      </c>
      <c r="O32" s="6">
        <f t="shared" si="8"/>
        <v>57.331551382327433</v>
      </c>
      <c r="P32" s="70">
        <f>(O32*'Spot Prices'!P9/'Spot Prices'!O9)*($E$26)</f>
        <v>61.30534719384471</v>
      </c>
      <c r="Q32" s="70">
        <f>(P32*'Spot Prices'!Q9/'Spot Prices'!P9)*($E$26)</f>
        <v>69.729921997824988</v>
      </c>
      <c r="R32" s="70">
        <f>(Q32*'Spot Prices'!R9/'Spot Prices'!Q9)*($E$26)</f>
        <v>69.275323224388998</v>
      </c>
      <c r="S32" s="70">
        <f>(R32*'Spot Prices'!S9/'Spot Prices'!R9)*($E$26)</f>
        <v>75.13987016383075</v>
      </c>
      <c r="T32" s="70">
        <f>(S32*'Spot Prices'!T9/'Spot Prices'!S9)*($E$26)</f>
        <v>73.737439384435618</v>
      </c>
    </row>
    <row r="33" spans="2:20" x14ac:dyDescent="0.3">
      <c r="B33" s="3">
        <v>0.05</v>
      </c>
      <c r="C33" s="20">
        <f t="shared" si="3"/>
        <v>0</v>
      </c>
      <c r="D33" s="20"/>
      <c r="E33" s="4">
        <f t="shared" ref="E33:O33" si="9">(E22*(1+E11))*($E$26)</f>
        <v>65.001158926988467</v>
      </c>
      <c r="F33" s="4">
        <f t="shared" si="9"/>
        <v>42.528240291908439</v>
      </c>
      <c r="G33" s="4">
        <f t="shared" si="9"/>
        <v>25.415695435159741</v>
      </c>
      <c r="H33" s="4">
        <f t="shared" si="9"/>
        <v>31.870264630085895</v>
      </c>
      <c r="I33" s="4">
        <f t="shared" si="9"/>
        <v>37.228565067036556</v>
      </c>
      <c r="J33" s="4">
        <f t="shared" si="9"/>
        <v>42.146318624433043</v>
      </c>
      <c r="K33" s="4">
        <f t="shared" si="9"/>
        <v>42.040418245420923</v>
      </c>
      <c r="L33" s="4">
        <f t="shared" si="9"/>
        <v>44.275156254557999</v>
      </c>
      <c r="M33" s="4">
        <f t="shared" si="9"/>
        <v>45.000133275921115</v>
      </c>
      <c r="N33" s="4">
        <f t="shared" si="9"/>
        <v>53.521462431007841</v>
      </c>
      <c r="O33" s="4">
        <f t="shared" si="9"/>
        <v>50.047278647923157</v>
      </c>
      <c r="P33" s="18">
        <f>(O33*'Spot Prices'!P10/'Spot Prices'!O10)*($E$26)</f>
        <v>52.226334816644261</v>
      </c>
      <c r="Q33" s="18">
        <f>(P33*'Spot Prices'!Q10/'Spot Prices'!P10)*($E$26)</f>
        <v>58.234826221133673</v>
      </c>
      <c r="R33" s="18">
        <f>(Q33*'Spot Prices'!R10/'Spot Prices'!Q10)*($E$26)</f>
        <v>53.936201153746318</v>
      </c>
      <c r="S33" s="18">
        <f>(R33*'Spot Prices'!S10/'Spot Prices'!R10)*($E$26)</f>
        <v>57.369138002357886</v>
      </c>
      <c r="T33" s="18">
        <f>(S33*'Spot Prices'!T10/'Spot Prices'!S10)*($E$26)</f>
        <v>54.36515657463206</v>
      </c>
    </row>
    <row r="34" spans="2:20" x14ac:dyDescent="0.3">
      <c r="B34" s="3">
        <v>0</v>
      </c>
      <c r="C34" s="20">
        <f t="shared" si="3"/>
        <v>0</v>
      </c>
      <c r="D34" s="20"/>
      <c r="E34" s="4">
        <f t="shared" ref="E34:O34" si="10">(E23*(1+E12))*($E$26)</f>
        <v>57.316015470109541</v>
      </c>
      <c r="F34" s="4">
        <f t="shared" si="10"/>
        <v>36.167632266948978</v>
      </c>
      <c r="G34" s="4">
        <f t="shared" si="10"/>
        <v>14.776299388345659</v>
      </c>
      <c r="H34" s="4">
        <f t="shared" si="10"/>
        <v>21.67440526834752</v>
      </c>
      <c r="I34" s="4">
        <f t="shared" si="10"/>
        <v>24.969135413401794</v>
      </c>
      <c r="J34" s="4">
        <f t="shared" si="10"/>
        <v>32.88869463212454</v>
      </c>
      <c r="K34" s="4">
        <f t="shared" si="10"/>
        <v>35.436347080628259</v>
      </c>
      <c r="L34" s="4">
        <f t="shared" si="10"/>
        <v>34.808812932853577</v>
      </c>
      <c r="M34" s="4">
        <f t="shared" si="10"/>
        <v>37.94895278339736</v>
      </c>
      <c r="N34" s="4">
        <f t="shared" si="10"/>
        <v>42.378533676381508</v>
      </c>
      <c r="O34" s="4">
        <f t="shared" si="10"/>
        <v>39.582208814844634</v>
      </c>
      <c r="P34" s="18">
        <f>(O34*'Spot Prices'!P11/'Spot Prices'!O11)*($E$26)</f>
        <v>38.989978063516432</v>
      </c>
      <c r="Q34" s="18">
        <f>(P34*'Spot Prices'!Q11/'Spot Prices'!P11)*($E$26)</f>
        <v>44.81876961422541</v>
      </c>
      <c r="R34" s="18">
        <f>(Q34*'Spot Prices'!R11/'Spot Prices'!Q11)*($E$26)</f>
        <v>40.939971523466056</v>
      </c>
      <c r="S34" s="18">
        <f>(R34*'Spot Prices'!S11/'Spot Prices'!R11)*($E$26)</f>
        <v>43.719673355219307</v>
      </c>
      <c r="T34" s="18">
        <f>(S34*'Spot Prices'!T11/'Spot Prices'!S11)*($E$26)</f>
        <v>37.558470251231107</v>
      </c>
    </row>
    <row r="35" spans="2:20" x14ac:dyDescent="0.3">
      <c r="B35" s="9" t="s">
        <v>29</v>
      </c>
      <c r="C35" s="51">
        <f t="shared" si="3"/>
        <v>0</v>
      </c>
      <c r="D35" s="51"/>
      <c r="E35" s="6">
        <f t="shared" ref="E35:O35" si="11">(E24*(1+E13))*($E$26)</f>
        <v>76.115705856630697</v>
      </c>
      <c r="F35" s="6">
        <f t="shared" si="11"/>
        <v>53.184090123507602</v>
      </c>
      <c r="G35" s="6">
        <f t="shared" si="11"/>
        <v>36.835749751352004</v>
      </c>
      <c r="H35" s="6">
        <f t="shared" si="11"/>
        <v>41.658625108395789</v>
      </c>
      <c r="I35" s="6">
        <f t="shared" si="11"/>
        <v>48.223599514119115</v>
      </c>
      <c r="J35" s="6">
        <f t="shared" si="11"/>
        <v>53.805312754443847</v>
      </c>
      <c r="K35" s="6">
        <f t="shared" si="11"/>
        <v>52.393592547546739</v>
      </c>
      <c r="L35" s="6">
        <f t="shared" si="11"/>
        <v>55.904081215100625</v>
      </c>
      <c r="M35" s="6">
        <f t="shared" si="11"/>
        <v>57.209580076486645</v>
      </c>
      <c r="N35" s="6">
        <f t="shared" si="11"/>
        <v>67.716718943964011</v>
      </c>
      <c r="O35" s="6">
        <f t="shared" si="11"/>
        <v>64.13923342849094</v>
      </c>
      <c r="P35" s="70">
        <f>(O35*'Spot Prices'!P12/'Spot Prices'!O12)*($E$26)</f>
        <v>68.841532071275751</v>
      </c>
      <c r="Q35" s="70">
        <f>(P35*'Spot Prices'!Q12/'Spot Prices'!P12)*($E$26)</f>
        <v>77.943844712678967</v>
      </c>
      <c r="R35" s="70">
        <f>(Q35*'Spot Prices'!R12/'Spot Prices'!Q12)*($E$26)</f>
        <v>77.760125440531255</v>
      </c>
      <c r="S35" s="70">
        <f>(R35*'Spot Prices'!S12/'Spot Prices'!R12)*($E$26)</f>
        <v>83.930646010034081</v>
      </c>
      <c r="T35" s="70">
        <f>(S35*'Spot Prices'!T12/'Spot Prices'!S12)*($E$26)</f>
        <v>82.894711452349654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171-C121-457C-8B80-04DF1A43D640}">
  <dimension ref="A4:W1468"/>
  <sheetViews>
    <sheetView workbookViewId="0">
      <selection activeCell="E7" sqref="E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71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[3]SpotandLGC!E28</f>
        <v>32.574706311493351</v>
      </c>
      <c r="F6" s="16">
        <f>[3]SpotandLGC!F28</f>
        <v>23.628578651490063</v>
      </c>
      <c r="G6" s="16">
        <f>[3]SpotandLGC!G28</f>
        <v>22.680760944889897</v>
      </c>
      <c r="H6" s="16">
        <f>[3]SpotandLGC!H28</f>
        <v>18.990249552868313</v>
      </c>
      <c r="I6" s="16">
        <f>[3]SpotandLGC!I28</f>
        <v>16.493162754542606</v>
      </c>
      <c r="J6" s="16">
        <f>[3]SpotandLGC!J28</f>
        <v>14.106856968966149</v>
      </c>
      <c r="K6" s="16">
        <f>[3]SpotandLGC!K28</f>
        <v>13.108210423767943</v>
      </c>
      <c r="L6" s="16">
        <f>[3]SpotandLGC!L28</f>
        <v>12.640354911084613</v>
      </c>
      <c r="M6" s="16">
        <f>[3]SpotandLGC!M28</f>
        <v>13.334198176863715</v>
      </c>
      <c r="N6" s="14"/>
      <c r="O6" s="14"/>
      <c r="P6" s="14"/>
      <c r="Q6" s="14"/>
      <c r="R6" s="14"/>
      <c r="S6" s="14"/>
      <c r="T6" s="14"/>
    </row>
    <row r="7" spans="1:23" x14ac:dyDescent="0.3">
      <c r="A7" s="3">
        <v>0.05</v>
      </c>
      <c r="B7" s="3">
        <v>0.95</v>
      </c>
      <c r="C7" s="14"/>
      <c r="D7" s="14"/>
      <c r="E7" s="16">
        <f>[3]SpotandLGC!E29</f>
        <v>30.517595912883156</v>
      </c>
      <c r="F7" s="16">
        <f>[3]SpotandLGC!F29</f>
        <v>23.799596774954971</v>
      </c>
      <c r="G7" s="16">
        <f>[3]SpotandLGC!G29</f>
        <v>21.783852573811377</v>
      </c>
      <c r="H7" s="16">
        <f>[3]SpotandLGC!H29</f>
        <v>18.02117012842854</v>
      </c>
      <c r="I7" s="16">
        <f>[3]SpotandLGC!I29</f>
        <v>14.581347908781586</v>
      </c>
      <c r="J7" s="16">
        <f>[3]SpotandLGC!J29</f>
        <v>12.901185407068279</v>
      </c>
      <c r="K7" s="16">
        <f>[3]SpotandLGC!K29</f>
        <v>11.989023470712848</v>
      </c>
      <c r="L7" s="16">
        <f>[3]SpotandLGC!L29</f>
        <v>11.847766326130332</v>
      </c>
      <c r="M7" s="16">
        <f>[3]SpotandLGC!M29</f>
        <v>12.413529562022489</v>
      </c>
      <c r="N7" s="14"/>
      <c r="O7" s="14"/>
      <c r="P7" s="14"/>
      <c r="Q7" s="14"/>
      <c r="R7" s="14"/>
      <c r="S7" s="14"/>
      <c r="T7" s="14"/>
    </row>
    <row r="8" spans="1:23" x14ac:dyDescent="0.3">
      <c r="A8" s="3">
        <v>0.25</v>
      </c>
      <c r="B8" s="5">
        <v>0.75</v>
      </c>
      <c r="C8" s="46"/>
      <c r="D8" s="46"/>
      <c r="E8" s="66">
        <f>[3]SpotandLGC!E30</f>
        <v>25.407644331333305</v>
      </c>
      <c r="F8" s="66">
        <f>[3]SpotandLGC!F30</f>
        <v>18.717864880899707</v>
      </c>
      <c r="G8" s="66">
        <f>[3]SpotandLGC!G30</f>
        <v>16.497680589900259</v>
      </c>
      <c r="H8" s="66">
        <f>[3]SpotandLGC!H30</f>
        <v>12.631662520898526</v>
      </c>
      <c r="I8" s="66">
        <f>[3]SpotandLGC!I30</f>
        <v>11.27846067276147</v>
      </c>
      <c r="J8" s="66">
        <f>[3]SpotandLGC!J30</f>
        <v>10.265328851291295</v>
      </c>
      <c r="K8" s="66">
        <f>[3]SpotandLGC!K30</f>
        <v>9.4871148428200822</v>
      </c>
      <c r="L8" s="66">
        <f>[3]SpotandLGC!L30</f>
        <v>8.7695673208905944</v>
      </c>
      <c r="M8" s="66">
        <f>[3]SpotandLGC!M30</f>
        <v>9.0851691722796488</v>
      </c>
      <c r="N8" s="46"/>
      <c r="O8" s="46"/>
      <c r="P8" s="46"/>
      <c r="Q8" s="46"/>
      <c r="R8" s="46"/>
      <c r="S8" s="46"/>
      <c r="T8" s="46"/>
    </row>
    <row r="9" spans="1:23" x14ac:dyDescent="0.3">
      <c r="A9" s="3">
        <v>0.5</v>
      </c>
      <c r="B9" s="7">
        <v>0.5</v>
      </c>
      <c r="C9" s="41"/>
      <c r="D9" s="41"/>
      <c r="E9" s="68">
        <f>[3]SpotandLGC!E31</f>
        <v>19.325099056631018</v>
      </c>
      <c r="F9" s="68">
        <f>[3]SpotandLGC!F31</f>
        <v>12.978748561363242</v>
      </c>
      <c r="G9" s="68">
        <f>[3]SpotandLGC!G31</f>
        <v>12.757497910056509</v>
      </c>
      <c r="H9" s="68">
        <f>[3]SpotandLGC!H31</f>
        <v>10.262342717115098</v>
      </c>
      <c r="I9" s="68">
        <f>[3]SpotandLGC!I31</f>
        <v>9.2093317293928809</v>
      </c>
      <c r="J9" s="68">
        <f>[3]SpotandLGC!J31</f>
        <v>8.7715012016317253</v>
      </c>
      <c r="K9" s="68">
        <f>[3]SpotandLGC!K31</f>
        <v>8.0532202134526774</v>
      </c>
      <c r="L9" s="68">
        <f>[3]SpotandLGC!L31</f>
        <v>7.8880414066080453</v>
      </c>
      <c r="M9" s="68">
        <f>[3]SpotandLGC!M31</f>
        <v>7.9293170950169261</v>
      </c>
      <c r="N9" s="41"/>
      <c r="O9" s="41"/>
      <c r="P9" s="41"/>
      <c r="Q9" s="41"/>
      <c r="R9" s="41"/>
      <c r="S9" s="41"/>
      <c r="T9" s="41"/>
    </row>
    <row r="10" spans="1:23" x14ac:dyDescent="0.3">
      <c r="A10" s="3">
        <v>0.75</v>
      </c>
      <c r="B10" s="5">
        <v>0.25</v>
      </c>
      <c r="C10" s="46"/>
      <c r="D10" s="46"/>
      <c r="E10" s="66">
        <f>[3]SpotandLGC!E32</f>
        <v>16.200132732692506</v>
      </c>
      <c r="F10" s="66">
        <f>[3]SpotandLGC!F32</f>
        <v>12.918206486003292</v>
      </c>
      <c r="G10" s="66">
        <f>[3]SpotandLGC!G32</f>
        <v>11.247421574690049</v>
      </c>
      <c r="H10" s="66">
        <f>[3]SpotandLGC!H32</f>
        <v>9.2845426804878066</v>
      </c>
      <c r="I10" s="66">
        <f>[3]SpotandLGC!I32</f>
        <v>7.7042453865867522</v>
      </c>
      <c r="J10" s="66">
        <f>[3]SpotandLGC!J32</f>
        <v>8.210274409525967</v>
      </c>
      <c r="K10" s="66">
        <f>[3]SpotandLGC!K32</f>
        <v>7.1235806556589329</v>
      </c>
      <c r="L10" s="66">
        <f>[3]SpotandLGC!L32</f>
        <v>7.121599365542127</v>
      </c>
      <c r="M10" s="66">
        <f>[3]SpotandLGC!M32</f>
        <v>7.3273166980430968</v>
      </c>
      <c r="N10" s="46"/>
      <c r="O10" s="46"/>
      <c r="P10" s="46"/>
      <c r="Q10" s="46"/>
      <c r="R10" s="46"/>
      <c r="S10" s="46"/>
      <c r="T10" s="46"/>
    </row>
    <row r="11" spans="1:23" x14ac:dyDescent="0.3">
      <c r="A11" s="3">
        <v>0.95</v>
      </c>
      <c r="B11" s="3">
        <v>0.05</v>
      </c>
      <c r="C11" s="14"/>
      <c r="D11" s="14"/>
      <c r="E11" s="16">
        <f>[3]SpotandLGC!E33</f>
        <v>14.787757452438228</v>
      </c>
      <c r="F11" s="16">
        <f>[3]SpotandLGC!F33</f>
        <v>9.7567290081239193</v>
      </c>
      <c r="G11" s="16">
        <f>[3]SpotandLGC!G33</f>
        <v>8.6103319923306767</v>
      </c>
      <c r="H11" s="16">
        <f>[3]SpotandLGC!H33</f>
        <v>6.1127797717724492</v>
      </c>
      <c r="I11" s="16">
        <f>[3]SpotandLGC!I33</f>
        <v>8.7301354050010254</v>
      </c>
      <c r="J11" s="16">
        <f>[3]SpotandLGC!J33</f>
        <v>7.6716580563032792</v>
      </c>
      <c r="K11" s="16">
        <f>[3]SpotandLGC!K33</f>
        <v>5.7611007598336368</v>
      </c>
      <c r="L11" s="16">
        <f>[3]SpotandLGC!L33</f>
        <v>6.5951108013441582</v>
      </c>
      <c r="M11" s="16">
        <f>[3]SpotandLGC!M33</f>
        <v>5.8464956217462758</v>
      </c>
      <c r="N11" s="14"/>
      <c r="O11" s="14"/>
      <c r="P11" s="14"/>
      <c r="Q11" s="14"/>
      <c r="R11" s="14"/>
      <c r="S11" s="14"/>
      <c r="T11" s="14"/>
    </row>
    <row r="12" spans="1:23" x14ac:dyDescent="0.3">
      <c r="A12" s="3">
        <v>1</v>
      </c>
      <c r="B12" s="3">
        <v>0</v>
      </c>
      <c r="C12" s="14"/>
      <c r="D12" s="14"/>
      <c r="E12" s="16">
        <f>[3]SpotandLGC!E34</f>
        <v>7.7766999609490215</v>
      </c>
      <c r="F12" s="16">
        <f>[3]SpotandLGC!F34</f>
        <v>5.5986347858423473</v>
      </c>
      <c r="G12" s="16">
        <f>[3]SpotandLGC!G34</f>
        <v>4.7924486036714056</v>
      </c>
      <c r="H12" s="16">
        <f>[3]SpotandLGC!H34</f>
        <v>4.7334450455842294</v>
      </c>
      <c r="I12" s="16">
        <f>[3]SpotandLGC!I34</f>
        <v>4.8239518628507128</v>
      </c>
      <c r="J12" s="16">
        <f>[3]SpotandLGC!J34</f>
        <v>4.7216177362050908</v>
      </c>
      <c r="K12" s="16">
        <f>[3]SpotandLGC!K34</f>
        <v>4.4064185545494121</v>
      </c>
      <c r="L12" s="16">
        <f>[3]SpotandLGC!L34</f>
        <v>4.4315069164601333</v>
      </c>
      <c r="M12" s="16">
        <f>[3]SpotandLGC!M34</f>
        <v>3.8043092163017005</v>
      </c>
      <c r="N12" s="14"/>
      <c r="O12" s="14"/>
      <c r="P12" s="14"/>
      <c r="Q12" s="14"/>
      <c r="R12" s="14"/>
      <c r="S12" s="14"/>
      <c r="T12" s="14"/>
    </row>
    <row r="13" spans="1:23" x14ac:dyDescent="0.3">
      <c r="B13" s="9" t="s">
        <v>29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5" spans="1:23" x14ac:dyDescent="0.3">
      <c r="B15" s="1" t="str">
        <f>D105</f>
        <v>Golden Plains Average Price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WindFarmAvPrice!E28</f>
        <v>107.72045268289656</v>
      </c>
      <c r="F17" s="16">
        <f>WindFarmAvPrice!F28</f>
        <v>85.296393366965404</v>
      </c>
      <c r="G17" s="16">
        <f>WindFarmAvPrice!G28</f>
        <v>68.232534573363523</v>
      </c>
      <c r="H17" s="16">
        <f>WindFarmAvPrice!H28</f>
        <v>69.261756940009121</v>
      </c>
      <c r="I17" s="16">
        <f>WindFarmAvPrice!I28</f>
        <v>80.859676589741412</v>
      </c>
      <c r="J17" s="16">
        <f>WindFarmAvPrice!J28</f>
        <v>86.397528927406427</v>
      </c>
      <c r="K17" s="16">
        <f>WindFarmAvPrice!K28</f>
        <v>77.562686458697584</v>
      </c>
      <c r="L17" s="16">
        <f>WindFarmAvPrice!L28</f>
        <v>86.742606215603416</v>
      </c>
      <c r="M17" s="16">
        <f>WindFarmAvPrice!M28</f>
        <v>86.296520431877084</v>
      </c>
      <c r="N17" s="16">
        <f>WindFarmAvPrice!N28</f>
        <v>109.51914410983247</v>
      </c>
      <c r="O17" s="16">
        <f>WindFarmAvPrice!O28</f>
        <v>101.248781867429</v>
      </c>
      <c r="P17" s="16">
        <f>WindFarmAvPrice!P28</f>
        <v>105.95982528856212</v>
      </c>
      <c r="Q17" s="16">
        <f>WindFarmAvPrice!Q28</f>
        <v>116.76044584029843</v>
      </c>
      <c r="R17" s="16">
        <f>WindFarmAvPrice!R28</f>
        <v>116.19092127912005</v>
      </c>
      <c r="S17" s="16">
        <f>WindFarmAvPrice!S28</f>
        <v>120.53406198604027</v>
      </c>
      <c r="T17" s="16">
        <f>WindFarmAvPrice!T28</f>
        <v>119.14693516624057</v>
      </c>
      <c r="V17" s="17">
        <f t="shared" ref="V17:W24" si="1">AVERAGEIFS($E$39:$E$1048576,$B$39:$B$1048576,V$16,$C$39:$C$1048576,$B17,$D$39:$D$1048576,$B$15)</f>
        <v>62.835909000000001</v>
      </c>
      <c r="W17" s="17">
        <f t="shared" si="1"/>
        <v>61.696666</v>
      </c>
    </row>
    <row r="18" spans="1:23" x14ac:dyDescent="0.3">
      <c r="B18" s="3">
        <v>0.95</v>
      </c>
      <c r="C18" s="17">
        <f t="shared" si="0"/>
        <v>0</v>
      </c>
      <c r="D18" s="17"/>
      <c r="E18" s="16">
        <f>WindFarmAvPrice!E29</f>
        <v>87.985094036078976</v>
      </c>
      <c r="F18" s="16">
        <f>WindFarmAvPrice!F29</f>
        <v>65.66783210959106</v>
      </c>
      <c r="G18" s="16">
        <f>WindFarmAvPrice!G29</f>
        <v>49.70356567742666</v>
      </c>
      <c r="H18" s="16">
        <f>WindFarmAvPrice!H29</f>
        <v>52.814613052989671</v>
      </c>
      <c r="I18" s="16">
        <f>WindFarmAvPrice!I29</f>
        <v>60.521895873106629</v>
      </c>
      <c r="J18" s="16">
        <f>WindFarmAvPrice!J29</f>
        <v>67.698998316468803</v>
      </c>
      <c r="K18" s="16">
        <f>WindFarmAvPrice!K29</f>
        <v>64.010823128193564</v>
      </c>
      <c r="L18" s="16">
        <f>WindFarmAvPrice!L29</f>
        <v>68.441156666514956</v>
      </c>
      <c r="M18" s="16">
        <f>WindFarmAvPrice!M29</f>
        <v>70.664306765458193</v>
      </c>
      <c r="N18" s="16">
        <f>WindFarmAvPrice!N29</f>
        <v>84.424042844047037</v>
      </c>
      <c r="O18" s="16">
        <f>WindFarmAvPrice!O29</f>
        <v>79.623284708691969</v>
      </c>
      <c r="P18" s="16">
        <f>WindFarmAvPrice!P29</f>
        <v>85.470126056926631</v>
      </c>
      <c r="Q18" s="16">
        <f>WindFarmAvPrice!Q29</f>
        <v>94.982626494038257</v>
      </c>
      <c r="R18" s="16">
        <f>WindFarmAvPrice!R29</f>
        <v>96.020093678333708</v>
      </c>
      <c r="S18" s="16">
        <f>WindFarmAvPrice!S29</f>
        <v>101.18234143173166</v>
      </c>
      <c r="T18" s="16">
        <f>WindFarmAvPrice!T29</f>
        <v>101.18986801602675</v>
      </c>
      <c r="V18" s="17">
        <f t="shared" si="1"/>
        <v>50.200076000000003</v>
      </c>
      <c r="W18" s="17">
        <f t="shared" si="1"/>
        <v>51.260713000000003</v>
      </c>
    </row>
    <row r="19" spans="1:23" x14ac:dyDescent="0.3">
      <c r="B19" s="5">
        <v>0.75</v>
      </c>
      <c r="C19" s="48">
        <f t="shared" si="0"/>
        <v>0</v>
      </c>
      <c r="D19" s="48"/>
      <c r="E19" s="66">
        <f>WindFarmAvPrice!E30</f>
        <v>80.923505863899322</v>
      </c>
      <c r="F19" s="66">
        <f>WindFarmAvPrice!F30</f>
        <v>57.845476749336271</v>
      </c>
      <c r="G19" s="66">
        <f>WindFarmAvPrice!G30</f>
        <v>41.640728592867291</v>
      </c>
      <c r="H19" s="66">
        <f>WindFarmAvPrice!H30</f>
        <v>45.891613171494903</v>
      </c>
      <c r="I19" s="66">
        <f>WindFarmAvPrice!I30</f>
        <v>52.972665290500004</v>
      </c>
      <c r="J19" s="66">
        <f>WindFarmAvPrice!J30</f>
        <v>58.914286180497108</v>
      </c>
      <c r="K19" s="66">
        <f>WindFarmAvPrice!K30</f>
        <v>56.87660771603398</v>
      </c>
      <c r="L19" s="66">
        <f>WindFarmAvPrice!L30</f>
        <v>60.887848673085841</v>
      </c>
      <c r="M19" s="66">
        <f>WindFarmAvPrice!M30</f>
        <v>62.623728384178612</v>
      </c>
      <c r="N19" s="66">
        <f>WindFarmAvPrice!N30</f>
        <v>74.234724305458585</v>
      </c>
      <c r="O19" s="66">
        <f>WindFarmAvPrice!O30</f>
        <v>70.563618151312966</v>
      </c>
      <c r="P19" s="66">
        <f>WindFarmAvPrice!P30</f>
        <v>76.007200828726994</v>
      </c>
      <c r="Q19" s="66">
        <f>WindFarmAvPrice!Q30</f>
        <v>86.530008339608557</v>
      </c>
      <c r="R19" s="66">
        <f>WindFarmAvPrice!R30</f>
        <v>87.119504363029421</v>
      </c>
      <c r="S19" s="66">
        <f>WindFarmAvPrice!S30</f>
        <v>94.072539139193537</v>
      </c>
      <c r="T19" s="66">
        <f>WindFarmAvPrice!T30</f>
        <v>93.716721619448208</v>
      </c>
      <c r="V19" s="48">
        <f t="shared" si="1"/>
        <v>45.717576000000001</v>
      </c>
      <c r="W19" s="48">
        <f t="shared" si="1"/>
        <v>47.156767000000002</v>
      </c>
    </row>
    <row r="20" spans="1:23" x14ac:dyDescent="0.3">
      <c r="B20" s="7">
        <v>0.5</v>
      </c>
      <c r="C20" s="39">
        <f t="shared" si="0"/>
        <v>0</v>
      </c>
      <c r="D20" s="39"/>
      <c r="E20" s="68">
        <f>WindFarmAvPrice!E31</f>
        <v>75.771003848488704</v>
      </c>
      <c r="F20" s="68">
        <f>WindFarmAvPrice!F31</f>
        <v>52.593499222847704</v>
      </c>
      <c r="G20" s="68">
        <f>WindFarmAvPrice!G31</f>
        <v>36.422609427119845</v>
      </c>
      <c r="H20" s="68">
        <f>WindFarmAvPrice!H31</f>
        <v>41.237758389757111</v>
      </c>
      <c r="I20" s="68">
        <f>WindFarmAvPrice!I31</f>
        <v>47.811138349340524</v>
      </c>
      <c r="J20" s="68">
        <f>WindFarmAvPrice!J31</f>
        <v>53.140078962881752</v>
      </c>
      <c r="K20" s="68">
        <f>WindFarmAvPrice!K31</f>
        <v>52.0529176175082</v>
      </c>
      <c r="L20" s="68">
        <f>WindFarmAvPrice!L31</f>
        <v>55.578323000772883</v>
      </c>
      <c r="M20" s="68">
        <f>WindFarmAvPrice!M31</f>
        <v>56.729269921428291</v>
      </c>
      <c r="N20" s="68">
        <f>WindFarmAvPrice!N31</f>
        <v>67.028195393567543</v>
      </c>
      <c r="O20" s="68">
        <f>WindFarmAvPrice!O31</f>
        <v>63.451332788624832</v>
      </c>
      <c r="P20" s="68">
        <f>WindFarmAvPrice!P31</f>
        <v>68.869066469540968</v>
      </c>
      <c r="Q20" s="68">
        <f>WindFarmAvPrice!Q31</f>
        <v>78.866611505616007</v>
      </c>
      <c r="R20" s="68">
        <f>WindFarmAvPrice!R31</f>
        <v>79.676155307111472</v>
      </c>
      <c r="S20" s="68">
        <f>WindFarmAvPrice!S31</f>
        <v>87.097062148547892</v>
      </c>
      <c r="T20" s="68">
        <f>WindFarmAvPrice!T31</f>
        <v>86.412427014587024</v>
      </c>
      <c r="V20" s="39">
        <f t="shared" si="1"/>
        <v>42.786665999999997</v>
      </c>
      <c r="W20" s="39">
        <f t="shared" si="1"/>
        <v>44.189630999999999</v>
      </c>
    </row>
    <row r="21" spans="1:23" x14ac:dyDescent="0.3">
      <c r="B21" s="5">
        <v>0.25</v>
      </c>
      <c r="C21" s="48">
        <f t="shared" si="0"/>
        <v>0</v>
      </c>
      <c r="D21" s="48"/>
      <c r="E21" s="66">
        <f>WindFarmAvPrice!E32</f>
        <v>70.949321966250537</v>
      </c>
      <c r="F21" s="66">
        <f>WindFarmAvPrice!F32</f>
        <v>48.046671678872237</v>
      </c>
      <c r="G21" s="66">
        <f>WindFarmAvPrice!G32</f>
        <v>31.522344887376043</v>
      </c>
      <c r="H21" s="66">
        <f>WindFarmAvPrice!H32</f>
        <v>37.042342955616036</v>
      </c>
      <c r="I21" s="66">
        <f>WindFarmAvPrice!I32</f>
        <v>42.984124103567645</v>
      </c>
      <c r="J21" s="66">
        <f>WindFarmAvPrice!J32</f>
        <v>48.193683930606113</v>
      </c>
      <c r="K21" s="66">
        <f>WindFarmAvPrice!K32</f>
        <v>47.531654241362148</v>
      </c>
      <c r="L21" s="66">
        <f>WindFarmAvPrice!L32</f>
        <v>50.646209042704704</v>
      </c>
      <c r="M21" s="66">
        <f>WindFarmAvPrice!M32</f>
        <v>51.580308705653735</v>
      </c>
      <c r="N21" s="66">
        <f>WindFarmAvPrice!N32</f>
        <v>60.670955804489786</v>
      </c>
      <c r="O21" s="66">
        <f>WindFarmAvPrice!O32</f>
        <v>57.331551382327433</v>
      </c>
      <c r="P21" s="66">
        <f>WindFarmAvPrice!P32</f>
        <v>61.30534719384471</v>
      </c>
      <c r="Q21" s="66">
        <f>WindFarmAvPrice!Q32</f>
        <v>69.729921997824988</v>
      </c>
      <c r="R21" s="66">
        <f>WindFarmAvPrice!R32</f>
        <v>69.275323224388998</v>
      </c>
      <c r="S21" s="66">
        <f>WindFarmAvPrice!S32</f>
        <v>75.13987016383075</v>
      </c>
      <c r="T21" s="66">
        <f>WindFarmAvPrice!T32</f>
        <v>73.737439384435618</v>
      </c>
      <c r="V21" s="48">
        <f t="shared" si="1"/>
        <v>40.105105999999999</v>
      </c>
      <c r="W21" s="48">
        <f t="shared" si="1"/>
        <v>41.375354000000002</v>
      </c>
    </row>
    <row r="22" spans="1:23" x14ac:dyDescent="0.3">
      <c r="B22" s="3">
        <v>0.05</v>
      </c>
      <c r="C22" s="17">
        <f t="shared" si="0"/>
        <v>0</v>
      </c>
      <c r="D22" s="17"/>
      <c r="E22" s="16">
        <f>WindFarmAvPrice!E33</f>
        <v>65.001158926988467</v>
      </c>
      <c r="F22" s="16">
        <f>WindFarmAvPrice!F33</f>
        <v>42.528240291908439</v>
      </c>
      <c r="G22" s="16">
        <f>WindFarmAvPrice!G33</f>
        <v>25.415695435159741</v>
      </c>
      <c r="H22" s="16">
        <f>WindFarmAvPrice!H33</f>
        <v>31.870264630085895</v>
      </c>
      <c r="I22" s="16">
        <f>WindFarmAvPrice!I33</f>
        <v>37.228565067036556</v>
      </c>
      <c r="J22" s="16">
        <f>WindFarmAvPrice!J33</f>
        <v>42.146318624433043</v>
      </c>
      <c r="K22" s="16">
        <f>WindFarmAvPrice!K33</f>
        <v>42.040418245420923</v>
      </c>
      <c r="L22" s="16">
        <f>WindFarmAvPrice!L33</f>
        <v>44.275156254557999</v>
      </c>
      <c r="M22" s="16">
        <f>WindFarmAvPrice!M33</f>
        <v>45.000133275921115</v>
      </c>
      <c r="N22" s="16">
        <f>WindFarmAvPrice!N33</f>
        <v>53.521462431007841</v>
      </c>
      <c r="O22" s="16">
        <f>WindFarmAvPrice!O33</f>
        <v>50.047278647923157</v>
      </c>
      <c r="P22" s="16">
        <f>WindFarmAvPrice!P33</f>
        <v>52.226334816644261</v>
      </c>
      <c r="Q22" s="16">
        <f>WindFarmAvPrice!Q33</f>
        <v>58.234826221133673</v>
      </c>
      <c r="R22" s="16">
        <f>WindFarmAvPrice!R33</f>
        <v>53.936201153746318</v>
      </c>
      <c r="S22" s="16">
        <f>WindFarmAvPrice!S33</f>
        <v>57.369138002357886</v>
      </c>
      <c r="T22" s="16">
        <f>WindFarmAvPrice!T33</f>
        <v>54.36515657463206</v>
      </c>
      <c r="V22" s="17">
        <f t="shared" si="1"/>
        <v>36.836015000000003</v>
      </c>
      <c r="W22" s="17">
        <f t="shared" si="1"/>
        <v>37.938302</v>
      </c>
    </row>
    <row r="23" spans="1:23" x14ac:dyDescent="0.3">
      <c r="B23" s="3">
        <v>0</v>
      </c>
      <c r="C23" s="17">
        <f t="shared" si="0"/>
        <v>0</v>
      </c>
      <c r="D23" s="17"/>
      <c r="E23" s="16">
        <f>WindFarmAvPrice!E34</f>
        <v>57.316015470109541</v>
      </c>
      <c r="F23" s="16">
        <f>WindFarmAvPrice!F34</f>
        <v>36.167632266948978</v>
      </c>
      <c r="G23" s="16">
        <f>WindFarmAvPrice!G34</f>
        <v>14.776299388345659</v>
      </c>
      <c r="H23" s="16">
        <f>WindFarmAvPrice!H34</f>
        <v>21.67440526834752</v>
      </c>
      <c r="I23" s="16">
        <f>WindFarmAvPrice!I34</f>
        <v>24.969135413401794</v>
      </c>
      <c r="J23" s="16">
        <f>WindFarmAvPrice!J34</f>
        <v>32.88869463212454</v>
      </c>
      <c r="K23" s="16">
        <f>WindFarmAvPrice!K34</f>
        <v>35.436347080628259</v>
      </c>
      <c r="L23" s="16">
        <f>WindFarmAvPrice!L34</f>
        <v>34.808812932853577</v>
      </c>
      <c r="M23" s="16">
        <f>WindFarmAvPrice!M34</f>
        <v>37.94895278339736</v>
      </c>
      <c r="N23" s="16">
        <f>WindFarmAvPrice!N34</f>
        <v>42.378533676381508</v>
      </c>
      <c r="O23" s="16">
        <f>WindFarmAvPrice!O34</f>
        <v>39.582208814844634</v>
      </c>
      <c r="P23" s="16">
        <f>WindFarmAvPrice!P34</f>
        <v>38.989978063516432</v>
      </c>
      <c r="Q23" s="16">
        <f>WindFarmAvPrice!Q34</f>
        <v>44.81876961422541</v>
      </c>
      <c r="R23" s="16">
        <f>WindFarmAvPrice!R34</f>
        <v>40.939971523466056</v>
      </c>
      <c r="S23" s="16">
        <f>WindFarmAvPrice!S34</f>
        <v>43.719673355219307</v>
      </c>
      <c r="T23" s="16">
        <f>WindFarmAvPrice!T34</f>
        <v>37.558470251231107</v>
      </c>
      <c r="V23" s="17">
        <f t="shared" si="1"/>
        <v>31.561684</v>
      </c>
      <c r="W23" s="17">
        <f t="shared" si="1"/>
        <v>33.053131</v>
      </c>
    </row>
    <row r="24" spans="1:23" x14ac:dyDescent="0.3">
      <c r="B24" s="9" t="s">
        <v>29</v>
      </c>
      <c r="C24" s="48">
        <f t="shared" si="0"/>
        <v>0</v>
      </c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>
        <f t="shared" si="1"/>
        <v>43.065548999999997</v>
      </c>
      <c r="W24" s="48">
        <f t="shared" si="1"/>
        <v>44.361732000000003</v>
      </c>
    </row>
    <row r="26" spans="1:23" x14ac:dyDescent="0.3">
      <c r="B26" s="1" t="s">
        <v>72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4">
        <f>E17+E6</f>
        <v>140.29515899438991</v>
      </c>
      <c r="F28" s="4">
        <f t="shared" ref="F28:M28" si="3">F17+F6</f>
        <v>108.92497201845546</v>
      </c>
      <c r="G28" s="4">
        <f t="shared" si="3"/>
        <v>90.91329551825342</v>
      </c>
      <c r="H28" s="4">
        <f t="shared" si="3"/>
        <v>88.252006492877427</v>
      </c>
      <c r="I28" s="4">
        <f t="shared" si="3"/>
        <v>97.352839344284021</v>
      </c>
      <c r="J28" s="4">
        <f t="shared" si="3"/>
        <v>100.50438589637258</v>
      </c>
      <c r="K28" s="4">
        <f t="shared" si="3"/>
        <v>90.670896882465527</v>
      </c>
      <c r="L28" s="4">
        <f t="shared" si="3"/>
        <v>99.382961126688031</v>
      </c>
      <c r="M28" s="4">
        <f t="shared" si="3"/>
        <v>99.630718608740807</v>
      </c>
      <c r="N28" s="4">
        <f t="shared" ref="N28:T28" si="4">N17+N6</f>
        <v>109.51914410983247</v>
      </c>
      <c r="O28" s="4">
        <f t="shared" si="4"/>
        <v>101.248781867429</v>
      </c>
      <c r="P28" s="4">
        <f t="shared" si="4"/>
        <v>105.95982528856212</v>
      </c>
      <c r="Q28" s="4">
        <f t="shared" si="4"/>
        <v>116.76044584029843</v>
      </c>
      <c r="R28" s="4">
        <f t="shared" si="4"/>
        <v>116.19092127912005</v>
      </c>
      <c r="S28" s="4">
        <f t="shared" si="4"/>
        <v>120.53406198604027</v>
      </c>
      <c r="T28" s="4">
        <f t="shared" si="4"/>
        <v>119.14693516624057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4">
        <f t="shared" ref="E29:M34" si="5">E18+E7</f>
        <v>118.50268994896213</v>
      </c>
      <c r="F29" s="4">
        <f t="shared" si="5"/>
        <v>89.467428884546024</v>
      </c>
      <c r="G29" s="4">
        <f t="shared" si="5"/>
        <v>71.48741825123804</v>
      </c>
      <c r="H29" s="4">
        <f t="shared" si="5"/>
        <v>70.835783181418208</v>
      </c>
      <c r="I29" s="4">
        <f t="shared" si="5"/>
        <v>75.10324378188821</v>
      </c>
      <c r="J29" s="4">
        <f t="shared" si="5"/>
        <v>80.600183723537086</v>
      </c>
      <c r="K29" s="4">
        <f t="shared" si="5"/>
        <v>75.999846598906416</v>
      </c>
      <c r="L29" s="4">
        <f t="shared" si="5"/>
        <v>80.288922992645283</v>
      </c>
      <c r="M29" s="4">
        <f t="shared" si="5"/>
        <v>83.077836327480682</v>
      </c>
      <c r="N29" s="4">
        <f t="shared" ref="N29:T29" si="6">N18+N7</f>
        <v>84.424042844047037</v>
      </c>
      <c r="O29" s="4">
        <f t="shared" si="6"/>
        <v>79.623284708691969</v>
      </c>
      <c r="P29" s="4">
        <f t="shared" si="6"/>
        <v>85.470126056926631</v>
      </c>
      <c r="Q29" s="4">
        <f t="shared" si="6"/>
        <v>94.982626494038257</v>
      </c>
      <c r="R29" s="4">
        <f t="shared" si="6"/>
        <v>96.020093678333708</v>
      </c>
      <c r="S29" s="4">
        <f t="shared" si="6"/>
        <v>101.18234143173166</v>
      </c>
      <c r="T29" s="4">
        <f t="shared" si="6"/>
        <v>101.18986801602675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6">
        <f t="shared" si="5"/>
        <v>106.33115019523262</v>
      </c>
      <c r="F30" s="6">
        <f t="shared" si="5"/>
        <v>76.563341630235982</v>
      </c>
      <c r="G30" s="6">
        <f t="shared" si="5"/>
        <v>58.138409182767546</v>
      </c>
      <c r="H30" s="6">
        <f t="shared" si="5"/>
        <v>58.523275692393426</v>
      </c>
      <c r="I30" s="6">
        <f t="shared" si="5"/>
        <v>64.251125963261472</v>
      </c>
      <c r="J30" s="6">
        <f t="shared" si="5"/>
        <v>69.179615031788401</v>
      </c>
      <c r="K30" s="6">
        <f t="shared" si="5"/>
        <v>66.363722558854064</v>
      </c>
      <c r="L30" s="6">
        <f t="shared" si="5"/>
        <v>69.657415993976429</v>
      </c>
      <c r="M30" s="6">
        <f t="shared" si="5"/>
        <v>71.708897556458254</v>
      </c>
      <c r="N30" s="6">
        <f t="shared" ref="N30:T30" si="7">N19+N8</f>
        <v>74.234724305458585</v>
      </c>
      <c r="O30" s="6">
        <f t="shared" si="7"/>
        <v>70.563618151312966</v>
      </c>
      <c r="P30" s="6">
        <f t="shared" si="7"/>
        <v>76.007200828726994</v>
      </c>
      <c r="Q30" s="6">
        <f t="shared" si="7"/>
        <v>86.530008339608557</v>
      </c>
      <c r="R30" s="6">
        <f t="shared" si="7"/>
        <v>87.119504363029421</v>
      </c>
      <c r="S30" s="6">
        <f t="shared" si="7"/>
        <v>94.072539139193537</v>
      </c>
      <c r="T30" s="6">
        <f t="shared" si="7"/>
        <v>93.716721619448208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1">
        <f t="shared" si="5"/>
        <v>95.096102905119722</v>
      </c>
      <c r="F31" s="71">
        <f t="shared" si="5"/>
        <v>65.572247784210944</v>
      </c>
      <c r="G31" s="71">
        <f t="shared" si="5"/>
        <v>49.180107337176352</v>
      </c>
      <c r="H31" s="71">
        <f t="shared" si="5"/>
        <v>51.500101106872208</v>
      </c>
      <c r="I31" s="71">
        <f t="shared" si="5"/>
        <v>57.020470078733403</v>
      </c>
      <c r="J31" s="71">
        <f t="shared" si="5"/>
        <v>61.911580164513481</v>
      </c>
      <c r="K31" s="71">
        <f t="shared" si="5"/>
        <v>60.106137830960876</v>
      </c>
      <c r="L31" s="71">
        <f t="shared" si="5"/>
        <v>63.466364407380929</v>
      </c>
      <c r="M31" s="71">
        <f t="shared" si="5"/>
        <v>64.65858701644521</v>
      </c>
      <c r="N31" s="71">
        <f t="shared" ref="N31:T31" si="8">N20+N9</f>
        <v>67.028195393567543</v>
      </c>
      <c r="O31" s="71">
        <f t="shared" si="8"/>
        <v>63.451332788624832</v>
      </c>
      <c r="P31" s="71">
        <f t="shared" si="8"/>
        <v>68.869066469540968</v>
      </c>
      <c r="Q31" s="71">
        <f t="shared" si="8"/>
        <v>78.866611505616007</v>
      </c>
      <c r="R31" s="71">
        <f t="shared" si="8"/>
        <v>79.676155307111472</v>
      </c>
      <c r="S31" s="71">
        <f t="shared" si="8"/>
        <v>87.097062148547892</v>
      </c>
      <c r="T31" s="71">
        <f t="shared" si="8"/>
        <v>86.412427014587024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6">
        <f t="shared" si="5"/>
        <v>87.149454698943046</v>
      </c>
      <c r="F32" s="6">
        <f t="shared" si="5"/>
        <v>60.964878164875529</v>
      </c>
      <c r="G32" s="6">
        <f t="shared" si="5"/>
        <v>42.769766462066094</v>
      </c>
      <c r="H32" s="6">
        <f t="shared" si="5"/>
        <v>46.326885636103839</v>
      </c>
      <c r="I32" s="6">
        <f t="shared" si="5"/>
        <v>50.6883694901544</v>
      </c>
      <c r="J32" s="6">
        <f t="shared" si="5"/>
        <v>56.403958340132078</v>
      </c>
      <c r="K32" s="6">
        <f t="shared" si="5"/>
        <v>54.655234897021082</v>
      </c>
      <c r="L32" s="6">
        <f t="shared" si="5"/>
        <v>57.767808408246829</v>
      </c>
      <c r="M32" s="6">
        <f t="shared" si="5"/>
        <v>58.907625403696834</v>
      </c>
      <c r="N32" s="6">
        <f t="shared" ref="N32:T32" si="9">N21+N10</f>
        <v>60.670955804489786</v>
      </c>
      <c r="O32" s="6">
        <f t="shared" si="9"/>
        <v>57.331551382327433</v>
      </c>
      <c r="P32" s="6">
        <f t="shared" si="9"/>
        <v>61.30534719384471</v>
      </c>
      <c r="Q32" s="6">
        <f t="shared" si="9"/>
        <v>69.729921997824988</v>
      </c>
      <c r="R32" s="6">
        <f t="shared" si="9"/>
        <v>69.275323224388998</v>
      </c>
      <c r="S32" s="6">
        <f t="shared" si="9"/>
        <v>75.13987016383075</v>
      </c>
      <c r="T32" s="6">
        <f t="shared" si="9"/>
        <v>73.737439384435618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4">
        <f t="shared" si="5"/>
        <v>79.788916379426695</v>
      </c>
      <c r="F33" s="4">
        <f t="shared" si="5"/>
        <v>52.284969300032358</v>
      </c>
      <c r="G33" s="4">
        <f t="shared" si="5"/>
        <v>34.026027427490419</v>
      </c>
      <c r="H33" s="4">
        <f t="shared" si="5"/>
        <v>37.983044401858344</v>
      </c>
      <c r="I33" s="4">
        <f t="shared" si="5"/>
        <v>45.958700472037577</v>
      </c>
      <c r="J33" s="4">
        <f t="shared" si="5"/>
        <v>49.817976680736322</v>
      </c>
      <c r="K33" s="4">
        <f t="shared" si="5"/>
        <v>47.801519005254562</v>
      </c>
      <c r="L33" s="4">
        <f t="shared" si="5"/>
        <v>50.870267055902154</v>
      </c>
      <c r="M33" s="4">
        <f t="shared" si="5"/>
        <v>50.846628897667394</v>
      </c>
      <c r="N33" s="4">
        <f t="shared" ref="N33:T33" si="10">N22+N11</f>
        <v>53.521462431007841</v>
      </c>
      <c r="O33" s="4">
        <f t="shared" si="10"/>
        <v>50.047278647923157</v>
      </c>
      <c r="P33" s="4">
        <f t="shared" si="10"/>
        <v>52.226334816644261</v>
      </c>
      <c r="Q33" s="4">
        <f t="shared" si="10"/>
        <v>58.234826221133673</v>
      </c>
      <c r="R33" s="4">
        <f t="shared" si="10"/>
        <v>53.936201153746318</v>
      </c>
      <c r="S33" s="4">
        <f t="shared" si="10"/>
        <v>57.369138002357886</v>
      </c>
      <c r="T33" s="4">
        <f t="shared" si="10"/>
        <v>54.36515657463206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4">
        <f t="shared" si="5"/>
        <v>65.092715431058565</v>
      </c>
      <c r="F34" s="4">
        <f t="shared" si="5"/>
        <v>41.766267052791328</v>
      </c>
      <c r="G34" s="4">
        <f t="shared" si="5"/>
        <v>19.568747992017066</v>
      </c>
      <c r="H34" s="4">
        <f t="shared" si="5"/>
        <v>26.40785031393175</v>
      </c>
      <c r="I34" s="4">
        <f t="shared" si="5"/>
        <v>29.793087276252507</v>
      </c>
      <c r="J34" s="4">
        <f t="shared" si="5"/>
        <v>37.61031236832963</v>
      </c>
      <c r="K34" s="4">
        <f t="shared" si="5"/>
        <v>39.84276563517767</v>
      </c>
      <c r="L34" s="4">
        <f t="shared" si="5"/>
        <v>39.240319849313707</v>
      </c>
      <c r="M34" s="4">
        <f t="shared" si="5"/>
        <v>41.753261999699063</v>
      </c>
      <c r="N34" s="4">
        <f t="shared" ref="N34:T34" si="11">N23+N12</f>
        <v>42.378533676381508</v>
      </c>
      <c r="O34" s="4">
        <f t="shared" si="11"/>
        <v>39.582208814844634</v>
      </c>
      <c r="P34" s="4">
        <f t="shared" si="11"/>
        <v>38.989978063516432</v>
      </c>
      <c r="Q34" s="4">
        <f t="shared" si="11"/>
        <v>44.81876961422541</v>
      </c>
      <c r="R34" s="4">
        <f t="shared" si="11"/>
        <v>40.939971523466056</v>
      </c>
      <c r="S34" s="4">
        <f t="shared" si="11"/>
        <v>43.719673355219307</v>
      </c>
      <c r="T34" s="4">
        <f t="shared" si="11"/>
        <v>37.558470251231107</v>
      </c>
    </row>
    <row r="35" spans="1:20" x14ac:dyDescent="0.3">
      <c r="B35" s="9" t="s">
        <v>29</v>
      </c>
      <c r="C35" s="51">
        <f t="shared" si="2"/>
        <v>0</v>
      </c>
      <c r="D35" s="51"/>
      <c r="E35" s="6">
        <f>SUMPRODUCT($A$28:$A$34,E28:E34)/SUM($A$28:$A$34)</f>
        <v>97.058223472012983</v>
      </c>
      <c r="F35" s="6">
        <f t="shared" ref="F35:M35" si="12">SUMPRODUCT($A$28:$A$34,F28:F34)/SUM($A$28:$A$34)</f>
        <v>68.854695983361907</v>
      </c>
      <c r="G35" s="6">
        <f t="shared" si="12"/>
        <v>50.785871595831857</v>
      </c>
      <c r="H35" s="6">
        <f t="shared" si="12"/>
        <v>52.735257758678728</v>
      </c>
      <c r="I35" s="6">
        <f t="shared" si="12"/>
        <v>58.063752919916958</v>
      </c>
      <c r="J35" s="6">
        <f t="shared" si="12"/>
        <v>63.204785603418465</v>
      </c>
      <c r="K35" s="6">
        <f t="shared" si="12"/>
        <v>60.756591137227225</v>
      </c>
      <c r="L35" s="6">
        <f t="shared" si="12"/>
        <v>64.091416539390409</v>
      </c>
      <c r="M35" s="6">
        <f t="shared" si="12"/>
        <v>65.581660325030782</v>
      </c>
      <c r="N35" s="6">
        <f t="shared" ref="N35:T35" si="13">SUMPRODUCT($A$28:$A$34,N28:N34)/SUM($A$28:$A$34)</f>
        <v>67.784300436568628</v>
      </c>
      <c r="O35" s="6">
        <f t="shared" si="13"/>
        <v>64.134833397057847</v>
      </c>
      <c r="P35" s="6">
        <f t="shared" si="13"/>
        <v>68.776885967616977</v>
      </c>
      <c r="Q35" s="6">
        <f t="shared" si="13"/>
        <v>77.993435023591687</v>
      </c>
      <c r="R35" s="6">
        <f t="shared" si="13"/>
        <v>77.809655110662689</v>
      </c>
      <c r="S35" s="6">
        <f t="shared" si="13"/>
        <v>83.931330141701679</v>
      </c>
      <c r="T35" s="6">
        <f t="shared" si="13"/>
        <v>82.944154709157274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29E-4F65-4324-911A-DB0CA745D285}">
  <dimension ref="A4:W1468"/>
  <sheetViews>
    <sheetView topLeftCell="H6" workbookViewId="0">
      <selection activeCell="E24" sqref="E24:T24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75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PPAPrice!E28</f>
        <v>140.29515899438991</v>
      </c>
      <c r="F6" s="16">
        <f>PPAPrice!F28</f>
        <v>108.92497201845546</v>
      </c>
      <c r="G6" s="16">
        <f>PPAPrice!G28</f>
        <v>90.91329551825342</v>
      </c>
      <c r="H6" s="16">
        <f>PPAPrice!H28</f>
        <v>88.252006492877427</v>
      </c>
      <c r="I6" s="16">
        <f>PPAPrice!I28</f>
        <v>97.352839344284021</v>
      </c>
      <c r="J6" s="16">
        <f>PPAPrice!J28</f>
        <v>100.50438589637258</v>
      </c>
      <c r="K6" s="16">
        <f>PPAPrice!K28</f>
        <v>90.670896882465527</v>
      </c>
      <c r="L6" s="16">
        <f>PPAPrice!L28</f>
        <v>99.382961126688031</v>
      </c>
      <c r="M6" s="16">
        <f>PPAPrice!M28</f>
        <v>99.630718608740807</v>
      </c>
      <c r="N6" s="16">
        <f>PPAPrice!N28</f>
        <v>109.51914410983247</v>
      </c>
      <c r="O6" s="16">
        <f>PPAPrice!O28</f>
        <v>101.248781867429</v>
      </c>
      <c r="P6" s="16">
        <f>PPAPrice!P28</f>
        <v>105.95982528856212</v>
      </c>
      <c r="Q6" s="16">
        <f>PPAPrice!Q28</f>
        <v>116.76044584029843</v>
      </c>
      <c r="R6" s="16">
        <f>PPAPrice!R28</f>
        <v>116.19092127912005</v>
      </c>
      <c r="S6" s="16">
        <f>PPAPrice!S28</f>
        <v>120.53406198604027</v>
      </c>
      <c r="T6" s="16">
        <f>PPAPrice!T28</f>
        <v>119.14693516624057</v>
      </c>
    </row>
    <row r="7" spans="1:23" x14ac:dyDescent="0.3">
      <c r="A7" s="3">
        <v>0.05</v>
      </c>
      <c r="B7" s="3">
        <v>0.95</v>
      </c>
      <c r="C7" s="14"/>
      <c r="D7" s="14"/>
      <c r="E7" s="16">
        <f>PPAPrice!E29</f>
        <v>118.50268994896213</v>
      </c>
      <c r="F7" s="16">
        <f>PPAPrice!F29</f>
        <v>89.467428884546024</v>
      </c>
      <c r="G7" s="16">
        <f>PPAPrice!G29</f>
        <v>71.48741825123804</v>
      </c>
      <c r="H7" s="16">
        <f>PPAPrice!H29</f>
        <v>70.835783181418208</v>
      </c>
      <c r="I7" s="16">
        <f>PPAPrice!I29</f>
        <v>75.10324378188821</v>
      </c>
      <c r="J7" s="16">
        <f>PPAPrice!J29</f>
        <v>80.600183723537086</v>
      </c>
      <c r="K7" s="16">
        <f>PPAPrice!K29</f>
        <v>75.999846598906416</v>
      </c>
      <c r="L7" s="16">
        <f>PPAPrice!L29</f>
        <v>80.288922992645283</v>
      </c>
      <c r="M7" s="16">
        <f>PPAPrice!M29</f>
        <v>83.077836327480682</v>
      </c>
      <c r="N7" s="16">
        <f>PPAPrice!N29</f>
        <v>84.424042844047037</v>
      </c>
      <c r="O7" s="16">
        <f>PPAPrice!O29</f>
        <v>79.623284708691969</v>
      </c>
      <c r="P7" s="16">
        <f>PPAPrice!P29</f>
        <v>85.470126056926631</v>
      </c>
      <c r="Q7" s="16">
        <f>PPAPrice!Q29</f>
        <v>94.982626494038257</v>
      </c>
      <c r="R7" s="16">
        <f>PPAPrice!R29</f>
        <v>96.020093678333708</v>
      </c>
      <c r="S7" s="16">
        <f>PPAPrice!S29</f>
        <v>101.18234143173166</v>
      </c>
      <c r="T7" s="16">
        <f>PPAPrice!T29</f>
        <v>101.18986801602675</v>
      </c>
    </row>
    <row r="8" spans="1:23" x14ac:dyDescent="0.3">
      <c r="A8" s="3">
        <v>0.25</v>
      </c>
      <c r="B8" s="5">
        <v>0.75</v>
      </c>
      <c r="C8" s="46"/>
      <c r="D8" s="46"/>
      <c r="E8" s="66">
        <f>PPAPrice!E30</f>
        <v>106.33115019523262</v>
      </c>
      <c r="F8" s="66">
        <f>PPAPrice!F30</f>
        <v>76.563341630235982</v>
      </c>
      <c r="G8" s="66">
        <f>PPAPrice!G30</f>
        <v>58.138409182767546</v>
      </c>
      <c r="H8" s="66">
        <f>PPAPrice!H30</f>
        <v>58.523275692393426</v>
      </c>
      <c r="I8" s="66">
        <f>PPAPrice!I30</f>
        <v>64.251125963261472</v>
      </c>
      <c r="J8" s="66">
        <f>PPAPrice!J30</f>
        <v>69.179615031788401</v>
      </c>
      <c r="K8" s="66">
        <f>PPAPrice!K30</f>
        <v>66.363722558854064</v>
      </c>
      <c r="L8" s="66">
        <f>PPAPrice!L30</f>
        <v>69.657415993976429</v>
      </c>
      <c r="M8" s="66">
        <f>PPAPrice!M30</f>
        <v>71.708897556458254</v>
      </c>
      <c r="N8" s="66">
        <f>PPAPrice!N30</f>
        <v>74.234724305458585</v>
      </c>
      <c r="O8" s="66">
        <f>PPAPrice!O30</f>
        <v>70.563618151312966</v>
      </c>
      <c r="P8" s="66">
        <f>PPAPrice!P30</f>
        <v>76.007200828726994</v>
      </c>
      <c r="Q8" s="66">
        <f>PPAPrice!Q30</f>
        <v>86.530008339608557</v>
      </c>
      <c r="R8" s="66">
        <f>PPAPrice!R30</f>
        <v>87.119504363029421</v>
      </c>
      <c r="S8" s="66">
        <f>PPAPrice!S30</f>
        <v>94.072539139193537</v>
      </c>
      <c r="T8" s="66">
        <f>PPAPrice!T30</f>
        <v>93.716721619448208</v>
      </c>
    </row>
    <row r="9" spans="1:23" x14ac:dyDescent="0.3">
      <c r="A9" s="3">
        <v>0.5</v>
      </c>
      <c r="B9" s="7">
        <v>0.5</v>
      </c>
      <c r="C9" s="41"/>
      <c r="D9" s="41"/>
      <c r="E9" s="68">
        <f>PPAPrice!E31</f>
        <v>95.096102905119722</v>
      </c>
      <c r="F9" s="68">
        <f>PPAPrice!F31</f>
        <v>65.572247784210944</v>
      </c>
      <c r="G9" s="68">
        <f>PPAPrice!G31</f>
        <v>49.180107337176352</v>
      </c>
      <c r="H9" s="68">
        <f>PPAPrice!H31</f>
        <v>51.500101106872208</v>
      </c>
      <c r="I9" s="68">
        <f>PPAPrice!I31</f>
        <v>57.020470078733403</v>
      </c>
      <c r="J9" s="68">
        <f>PPAPrice!J31</f>
        <v>61.911580164513481</v>
      </c>
      <c r="K9" s="68">
        <f>PPAPrice!K31</f>
        <v>60.106137830960876</v>
      </c>
      <c r="L9" s="68">
        <f>PPAPrice!L31</f>
        <v>63.466364407380929</v>
      </c>
      <c r="M9" s="68">
        <f>PPAPrice!M31</f>
        <v>64.65858701644521</v>
      </c>
      <c r="N9" s="68">
        <f>PPAPrice!N31</f>
        <v>67.028195393567543</v>
      </c>
      <c r="O9" s="68">
        <f>PPAPrice!O31</f>
        <v>63.451332788624832</v>
      </c>
      <c r="P9" s="68">
        <f>PPAPrice!P31</f>
        <v>68.869066469540968</v>
      </c>
      <c r="Q9" s="68">
        <f>PPAPrice!Q31</f>
        <v>78.866611505616007</v>
      </c>
      <c r="R9" s="68">
        <f>PPAPrice!R31</f>
        <v>79.676155307111472</v>
      </c>
      <c r="S9" s="68">
        <f>PPAPrice!S31</f>
        <v>87.097062148547892</v>
      </c>
      <c r="T9" s="68">
        <f>PPAPrice!T31</f>
        <v>86.412427014587024</v>
      </c>
    </row>
    <row r="10" spans="1:23" x14ac:dyDescent="0.3">
      <c r="A10" s="3">
        <v>0.75</v>
      </c>
      <c r="B10" s="5">
        <v>0.25</v>
      </c>
      <c r="C10" s="46"/>
      <c r="D10" s="46"/>
      <c r="E10" s="66">
        <f>PPAPrice!E32</f>
        <v>87.149454698943046</v>
      </c>
      <c r="F10" s="66">
        <f>PPAPrice!F32</f>
        <v>60.964878164875529</v>
      </c>
      <c r="G10" s="66">
        <f>PPAPrice!G32</f>
        <v>42.769766462066094</v>
      </c>
      <c r="H10" s="66">
        <f>PPAPrice!H32</f>
        <v>46.326885636103839</v>
      </c>
      <c r="I10" s="66">
        <f>PPAPrice!I32</f>
        <v>50.6883694901544</v>
      </c>
      <c r="J10" s="66">
        <f>PPAPrice!J32</f>
        <v>56.403958340132078</v>
      </c>
      <c r="K10" s="66">
        <f>PPAPrice!K32</f>
        <v>54.655234897021082</v>
      </c>
      <c r="L10" s="66">
        <f>PPAPrice!L32</f>
        <v>57.767808408246829</v>
      </c>
      <c r="M10" s="66">
        <f>PPAPrice!M32</f>
        <v>58.907625403696834</v>
      </c>
      <c r="N10" s="66">
        <f>PPAPrice!N32</f>
        <v>60.670955804489786</v>
      </c>
      <c r="O10" s="66">
        <f>PPAPrice!O32</f>
        <v>57.331551382327433</v>
      </c>
      <c r="P10" s="66">
        <f>PPAPrice!P32</f>
        <v>61.30534719384471</v>
      </c>
      <c r="Q10" s="66">
        <f>PPAPrice!Q32</f>
        <v>69.729921997824988</v>
      </c>
      <c r="R10" s="66">
        <f>PPAPrice!R32</f>
        <v>69.275323224388998</v>
      </c>
      <c r="S10" s="66">
        <f>PPAPrice!S32</f>
        <v>75.13987016383075</v>
      </c>
      <c r="T10" s="66">
        <f>PPAPrice!T32</f>
        <v>73.737439384435618</v>
      </c>
    </row>
    <row r="11" spans="1:23" x14ac:dyDescent="0.3">
      <c r="A11" s="3">
        <v>0.95</v>
      </c>
      <c r="B11" s="3">
        <v>0.05</v>
      </c>
      <c r="C11" s="14"/>
      <c r="D11" s="14"/>
      <c r="E11" s="16">
        <f>PPAPrice!E33</f>
        <v>79.788916379426695</v>
      </c>
      <c r="F11" s="16">
        <f>PPAPrice!F33</f>
        <v>52.284969300032358</v>
      </c>
      <c r="G11" s="16">
        <f>PPAPrice!G33</f>
        <v>34.026027427490419</v>
      </c>
      <c r="H11" s="16">
        <f>PPAPrice!H33</f>
        <v>37.983044401858344</v>
      </c>
      <c r="I11" s="16">
        <f>PPAPrice!I33</f>
        <v>45.958700472037577</v>
      </c>
      <c r="J11" s="16">
        <f>PPAPrice!J33</f>
        <v>49.817976680736322</v>
      </c>
      <c r="K11" s="16">
        <f>PPAPrice!K33</f>
        <v>47.801519005254562</v>
      </c>
      <c r="L11" s="16">
        <f>PPAPrice!L33</f>
        <v>50.870267055902154</v>
      </c>
      <c r="M11" s="16">
        <f>PPAPrice!M33</f>
        <v>50.846628897667394</v>
      </c>
      <c r="N11" s="16">
        <f>PPAPrice!N33</f>
        <v>53.521462431007841</v>
      </c>
      <c r="O11" s="16">
        <f>PPAPrice!O33</f>
        <v>50.047278647923157</v>
      </c>
      <c r="P11" s="16">
        <f>PPAPrice!P33</f>
        <v>52.226334816644261</v>
      </c>
      <c r="Q11" s="16">
        <f>PPAPrice!Q33</f>
        <v>58.234826221133673</v>
      </c>
      <c r="R11" s="16">
        <f>PPAPrice!R33</f>
        <v>53.936201153746318</v>
      </c>
      <c r="S11" s="16">
        <f>PPAPrice!S33</f>
        <v>57.369138002357886</v>
      </c>
      <c r="T11" s="16">
        <f>PPAPrice!T33</f>
        <v>54.36515657463206</v>
      </c>
    </row>
    <row r="12" spans="1:23" x14ac:dyDescent="0.3">
      <c r="A12" s="3">
        <v>1</v>
      </c>
      <c r="B12" s="3">
        <v>0</v>
      </c>
      <c r="C12" s="14"/>
      <c r="D12" s="14"/>
      <c r="E12" s="16">
        <f>PPAPrice!E34</f>
        <v>65.092715431058565</v>
      </c>
      <c r="F12" s="16">
        <f>PPAPrice!F34</f>
        <v>41.766267052791328</v>
      </c>
      <c r="G12" s="16">
        <f>PPAPrice!G34</f>
        <v>19.568747992017066</v>
      </c>
      <c r="H12" s="16">
        <f>PPAPrice!H34</f>
        <v>26.40785031393175</v>
      </c>
      <c r="I12" s="16">
        <f>PPAPrice!I34</f>
        <v>29.793087276252507</v>
      </c>
      <c r="J12" s="16">
        <f>PPAPrice!J34</f>
        <v>37.61031236832963</v>
      </c>
      <c r="K12" s="16">
        <f>PPAPrice!K34</f>
        <v>39.84276563517767</v>
      </c>
      <c r="L12" s="16">
        <f>PPAPrice!L34</f>
        <v>39.240319849313707</v>
      </c>
      <c r="M12" s="16">
        <f>PPAPrice!M34</f>
        <v>41.753261999699063</v>
      </c>
      <c r="N12" s="16">
        <f>PPAPrice!N34</f>
        <v>42.378533676381508</v>
      </c>
      <c r="O12" s="16">
        <f>PPAPrice!O34</f>
        <v>39.582208814844634</v>
      </c>
      <c r="P12" s="16">
        <f>PPAPrice!P34</f>
        <v>38.989978063516432</v>
      </c>
      <c r="Q12" s="16">
        <f>PPAPrice!Q34</f>
        <v>44.81876961422541</v>
      </c>
      <c r="R12" s="16">
        <f>PPAPrice!R34</f>
        <v>40.939971523466056</v>
      </c>
      <c r="S12" s="16">
        <f>PPAPrice!S34</f>
        <v>43.719673355219307</v>
      </c>
      <c r="T12" s="16">
        <f>PPAPrice!T34</f>
        <v>37.558470251231107</v>
      </c>
    </row>
    <row r="13" spans="1:23" x14ac:dyDescent="0.3">
      <c r="B13" s="9" t="s">
        <v>74</v>
      </c>
      <c r="C13" s="66"/>
      <c r="D13" s="66"/>
      <c r="E13" s="76">
        <v>56</v>
      </c>
      <c r="F13" s="66">
        <f t="shared" ref="F13:T13" si="0">E13*1.025</f>
        <v>57.399999999999991</v>
      </c>
      <c r="G13" s="66">
        <f t="shared" si="0"/>
        <v>58.834999999999987</v>
      </c>
      <c r="H13" s="66">
        <f t="shared" si="0"/>
        <v>60.305874999999979</v>
      </c>
      <c r="I13" s="66">
        <f t="shared" si="0"/>
        <v>61.813521874999971</v>
      </c>
      <c r="J13" s="66">
        <f t="shared" si="0"/>
        <v>63.358859921874966</v>
      </c>
      <c r="K13" s="66">
        <f t="shared" si="0"/>
        <v>64.942831419921831</v>
      </c>
      <c r="L13" s="66">
        <f t="shared" si="0"/>
        <v>66.566402205419877</v>
      </c>
      <c r="M13" s="66">
        <f t="shared" si="0"/>
        <v>68.230562260555374</v>
      </c>
      <c r="N13" s="66">
        <f t="shared" si="0"/>
        <v>69.936326317069245</v>
      </c>
      <c r="O13" s="66">
        <f t="shared" si="0"/>
        <v>71.684734474995963</v>
      </c>
      <c r="P13" s="66">
        <f t="shared" si="0"/>
        <v>73.476852836870862</v>
      </c>
      <c r="Q13" s="66">
        <f t="shared" si="0"/>
        <v>75.313774157792622</v>
      </c>
      <c r="R13" s="66">
        <f t="shared" si="0"/>
        <v>77.196618511737427</v>
      </c>
      <c r="S13" s="66">
        <f t="shared" si="0"/>
        <v>79.126533974530858</v>
      </c>
      <c r="T13" s="66">
        <f t="shared" si="0"/>
        <v>81.104697323894129</v>
      </c>
    </row>
    <row r="15" spans="1:23" x14ac:dyDescent="0.3">
      <c r="B15" s="1" t="s">
        <v>76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/>
      <c r="D17" s="17"/>
      <c r="E17" s="15">
        <f>WindFarmLGCs!E17*WindFarmLGCs!$E$26</f>
        <v>509181.6643086191</v>
      </c>
      <c r="F17" s="15">
        <f>WindFarmLGCs!F17*WindFarmLGCs!$E$26</f>
        <v>519052.15500679845</v>
      </c>
      <c r="G17" s="15">
        <f>WindFarmLGCs!G17*WindFarmLGCs!$E$26</f>
        <v>509414.39864999999</v>
      </c>
      <c r="H17" s="15">
        <f>WindFarmLGCs!H17*WindFarmLGCs!$E$26</f>
        <v>501264.04424999998</v>
      </c>
      <c r="I17" s="15">
        <f>WindFarmLGCs!I17*WindFarmLGCs!$E$26</f>
        <v>502555.99439999997</v>
      </c>
      <c r="J17" s="15">
        <f>WindFarmLGCs!J17*WindFarmLGCs!$E$26</f>
        <v>505399.51859999995</v>
      </c>
      <c r="K17" s="15">
        <f>WindFarmLGCs!K17*WindFarmLGCs!$E$26</f>
        <v>505769.61254999996</v>
      </c>
      <c r="L17" s="15">
        <f>WindFarmLGCs!L17*WindFarmLGCs!$E$26</f>
        <v>500252.74589999998</v>
      </c>
      <c r="M17" s="15">
        <f>WindFarmLGCs!M17*WindFarmLGCs!$E$26</f>
        <v>498600.94065</v>
      </c>
      <c r="N17" s="15">
        <f>WindFarmLGCs!N17*WindFarmLGCs!$E$26</f>
        <v>502830.21434999997</v>
      </c>
      <c r="O17" s="15">
        <f>WindFarmLGCs!O17*WindFarmLGCs!$E$26</f>
        <v>499897.50374999997</v>
      </c>
      <c r="P17" s="15">
        <f>WindFarmLGCs!P17*WindFarmLGCs!$E$26</f>
        <v>500133</v>
      </c>
      <c r="Q17" s="15">
        <f>WindFarmLGCs!Q17*WindFarmLGCs!$E$26</f>
        <v>511479.44999999995</v>
      </c>
      <c r="R17" s="15">
        <f>WindFarmLGCs!R17*WindFarmLGCs!$E$26</f>
        <v>516364.94999999995</v>
      </c>
      <c r="S17" s="15">
        <f>WindFarmLGCs!S17*WindFarmLGCs!$E$26</f>
        <v>505147.8</v>
      </c>
      <c r="T17" s="15">
        <f>WindFarmLGCs!T17*WindFarmLGCs!$E$26</f>
        <v>500340.6</v>
      </c>
      <c r="V17" s="17" t="e">
        <f t="shared" ref="V17:W24" si="1">AVERAGEIFS($E$39:$E$1048576,$B$39:$B$1048576,V$16,$C$39:$C$1048576,$B17,$D$39:$D$1048576,$B$15)</f>
        <v>#DIV/0!</v>
      </c>
      <c r="W17" s="17" t="e">
        <f t="shared" si="1"/>
        <v>#DIV/0!</v>
      </c>
    </row>
    <row r="18" spans="1:23" x14ac:dyDescent="0.3">
      <c r="B18" s="3">
        <v>0.95</v>
      </c>
      <c r="C18" s="17"/>
      <c r="D18" s="17"/>
      <c r="E18" s="15">
        <f>WindFarmLGCs!E18*WindFarmLGCs!$E$26</f>
        <v>483456.01061922876</v>
      </c>
      <c r="F18" s="15">
        <f>WindFarmLGCs!F18*WindFarmLGCs!$E$26</f>
        <v>482513.70606711885</v>
      </c>
      <c r="G18" s="15">
        <f>WindFarmLGCs!G18*WindFarmLGCs!$E$26</f>
        <v>482656.42109999998</v>
      </c>
      <c r="H18" s="15">
        <f>WindFarmLGCs!H18*WindFarmLGCs!$E$26</f>
        <v>483532.33799999999</v>
      </c>
      <c r="I18" s="15">
        <f>WindFarmLGCs!I18*WindFarmLGCs!$E$26</f>
        <v>482875.85084999999</v>
      </c>
      <c r="J18" s="15">
        <f>WindFarmLGCs!J18*WindFarmLGCs!$E$26</f>
        <v>484124.27924999996</v>
      </c>
      <c r="K18" s="15">
        <f>WindFarmLGCs!K18*WindFarmLGCs!$E$26</f>
        <v>483200.72310000006</v>
      </c>
      <c r="L18" s="15">
        <f>WindFarmLGCs!L18*WindFarmLGCs!$E$26</f>
        <v>481340.45594999997</v>
      </c>
      <c r="M18" s="15">
        <f>WindFarmLGCs!M18*WindFarmLGCs!$E$26</f>
        <v>481483.61369999999</v>
      </c>
      <c r="N18" s="15">
        <f>WindFarmLGCs!N18*WindFarmLGCs!$E$26</f>
        <v>482358.78899999993</v>
      </c>
      <c r="O18" s="15">
        <f>WindFarmLGCs!O18*WindFarmLGCs!$E$26</f>
        <v>484272.26655</v>
      </c>
      <c r="P18" s="15">
        <f>WindFarmLGCs!P18*WindFarmLGCs!$E$26</f>
        <v>481376.85</v>
      </c>
      <c r="Q18" s="15">
        <f>WindFarmLGCs!Q18*WindFarmLGCs!$E$26</f>
        <v>483120</v>
      </c>
      <c r="R18" s="15">
        <f>WindFarmLGCs!R18*WindFarmLGCs!$E$26</f>
        <v>482647.8</v>
      </c>
      <c r="S18" s="15">
        <f>WindFarmLGCs!S18*WindFarmLGCs!$E$26</f>
        <v>482015.69999999995</v>
      </c>
      <c r="T18" s="15">
        <f>WindFarmLGCs!T18*WindFarmLGCs!$E$26</f>
        <v>482872.19999999995</v>
      </c>
      <c r="V18" s="17" t="e">
        <f t="shared" si="1"/>
        <v>#DIV/0!</v>
      </c>
      <c r="W18" s="17" t="e">
        <f t="shared" si="1"/>
        <v>#DIV/0!</v>
      </c>
    </row>
    <row r="19" spans="1:23" x14ac:dyDescent="0.3">
      <c r="B19" s="5">
        <v>0.75</v>
      </c>
      <c r="C19" s="48"/>
      <c r="D19" s="48"/>
      <c r="E19" s="47">
        <f>WindFarmLGCs!E19*WindFarmLGCs!$E$26</f>
        <v>469277.38259619736</v>
      </c>
      <c r="F19" s="47">
        <f>WindFarmLGCs!F19*WindFarmLGCs!$E$26</f>
        <v>468276.87923258927</v>
      </c>
      <c r="G19" s="47">
        <f>WindFarmLGCs!G19*WindFarmLGCs!$E$26</f>
        <v>468647.38695000001</v>
      </c>
      <c r="H19" s="47">
        <f>WindFarmLGCs!H19*WindFarmLGCs!$E$26</f>
        <v>468757.62420000002</v>
      </c>
      <c r="I19" s="47">
        <f>WindFarmLGCs!I19*WindFarmLGCs!$E$26</f>
        <v>467940.69209999999</v>
      </c>
      <c r="J19" s="47">
        <f>WindFarmLGCs!J19*WindFarmLGCs!$E$26</f>
        <v>469606.24394999997</v>
      </c>
      <c r="K19" s="47">
        <f>WindFarmLGCs!K19*WindFarmLGCs!$E$26</f>
        <v>470457.8493</v>
      </c>
      <c r="L19" s="47">
        <f>WindFarmLGCs!L19*WindFarmLGCs!$E$26</f>
        <v>468096.91559999995</v>
      </c>
      <c r="M19" s="47">
        <f>WindFarmLGCs!M19*WindFarmLGCs!$E$26</f>
        <v>469326.73274999997</v>
      </c>
      <c r="N19" s="47">
        <f>WindFarmLGCs!N19*WindFarmLGCs!$E$26</f>
        <v>467490.84839999996</v>
      </c>
      <c r="O19" s="47">
        <f>WindFarmLGCs!O19*WindFarmLGCs!$E$26</f>
        <v>469765.2549</v>
      </c>
      <c r="P19" s="47">
        <f>WindFarmLGCs!P19*WindFarmLGCs!$E$26</f>
        <v>470017.95</v>
      </c>
      <c r="Q19" s="47">
        <f>WindFarmLGCs!Q19*WindFarmLGCs!$E$26</f>
        <v>468184.35</v>
      </c>
      <c r="R19" s="47">
        <f>WindFarmLGCs!R19*WindFarmLGCs!$E$26</f>
        <v>470129.39999999997</v>
      </c>
      <c r="S19" s="47">
        <f>WindFarmLGCs!S19*WindFarmLGCs!$E$26</f>
        <v>467724.3</v>
      </c>
      <c r="T19" s="47">
        <f>WindFarmLGCs!T19*WindFarmLGCs!$E$26</f>
        <v>468231.3</v>
      </c>
      <c r="V19" s="48" t="e">
        <f t="shared" si="1"/>
        <v>#DIV/0!</v>
      </c>
      <c r="W19" s="48" t="e">
        <f t="shared" si="1"/>
        <v>#DIV/0!</v>
      </c>
    </row>
    <row r="20" spans="1:23" x14ac:dyDescent="0.3">
      <c r="B20" s="7">
        <v>0.5</v>
      </c>
      <c r="C20" s="39"/>
      <c r="D20" s="39"/>
      <c r="E20" s="42">
        <f>WindFarmLGCs!E20*WindFarmLGCs!$E$26</f>
        <v>458693.51980000001</v>
      </c>
      <c r="F20" s="42">
        <f>WindFarmLGCs!F20*WindFarmLGCs!$E$26</f>
        <v>458634.59004999994</v>
      </c>
      <c r="G20" s="42">
        <f>WindFarmLGCs!G20*WindFarmLGCs!$E$26</f>
        <v>458931.087</v>
      </c>
      <c r="H20" s="42">
        <f>WindFarmLGCs!H20*WindFarmLGCs!$E$26</f>
        <v>458211.67979999998</v>
      </c>
      <c r="I20" s="42">
        <f>WindFarmLGCs!I20*WindFarmLGCs!$E$26</f>
        <v>458128.66200000001</v>
      </c>
      <c r="J20" s="42">
        <f>WindFarmLGCs!J20*WindFarmLGCs!$E$26</f>
        <v>459740.21759999997</v>
      </c>
      <c r="K20" s="42">
        <f>WindFarmLGCs!K20*WindFarmLGCs!$E$26</f>
        <v>460203.71204999997</v>
      </c>
      <c r="L20" s="42">
        <f>WindFarmLGCs!L20*WindFarmLGCs!$E$26</f>
        <v>458978.64480000001</v>
      </c>
      <c r="M20" s="42">
        <f>WindFarmLGCs!M20*WindFarmLGCs!$E$26</f>
        <v>459066.28454999998</v>
      </c>
      <c r="N20" s="42">
        <f>WindFarmLGCs!N20*WindFarmLGCs!$E$26</f>
        <v>457858.84079999995</v>
      </c>
      <c r="O20" s="42">
        <f>WindFarmLGCs!O20*WindFarmLGCs!$E$26</f>
        <v>460639.59885000001</v>
      </c>
      <c r="P20" s="42">
        <f>WindFarmLGCs!P20*WindFarmLGCs!$E$26</f>
        <v>458862.6</v>
      </c>
      <c r="Q20" s="42">
        <f>WindFarmLGCs!Q20*WindFarmLGCs!$E$26</f>
        <v>458112.3</v>
      </c>
      <c r="R20" s="42">
        <f>WindFarmLGCs!R20*WindFarmLGCs!$E$26</f>
        <v>458160.14999999997</v>
      </c>
      <c r="S20" s="42">
        <f>WindFarmLGCs!S20*WindFarmLGCs!$E$26</f>
        <v>460420.64999999997</v>
      </c>
      <c r="T20" s="42">
        <f>WindFarmLGCs!T20*WindFarmLGCs!$E$26</f>
        <v>459128.1</v>
      </c>
      <c r="V20" s="39" t="e">
        <f t="shared" si="1"/>
        <v>#DIV/0!</v>
      </c>
      <c r="W20" s="39" t="e">
        <f t="shared" si="1"/>
        <v>#DIV/0!</v>
      </c>
    </row>
    <row r="21" spans="1:23" x14ac:dyDescent="0.3">
      <c r="B21" s="5">
        <v>0.25</v>
      </c>
      <c r="C21" s="48"/>
      <c r="D21" s="48"/>
      <c r="E21" s="47">
        <f>WindFarmLGCs!E21*WindFarmLGCs!$E$26</f>
        <v>448705.29007606389</v>
      </c>
      <c r="F21" s="47">
        <f>WindFarmLGCs!F21*WindFarmLGCs!$E$26</f>
        <v>449391.02493972651</v>
      </c>
      <c r="G21" s="47">
        <f>WindFarmLGCs!G21*WindFarmLGCs!$E$26</f>
        <v>449584.10489999998</v>
      </c>
      <c r="H21" s="47">
        <f>WindFarmLGCs!H21*WindFarmLGCs!$E$26</f>
        <v>448309.86884999997</v>
      </c>
      <c r="I21" s="47">
        <f>WindFarmLGCs!I21*WindFarmLGCs!$E$26</f>
        <v>449505.39779999998</v>
      </c>
      <c r="J21" s="47">
        <f>WindFarmLGCs!J21*WindFarmLGCs!$E$26</f>
        <v>449473.47285000002</v>
      </c>
      <c r="K21" s="47">
        <f>WindFarmLGCs!K21*WindFarmLGCs!$E$26</f>
        <v>450612.30989999999</v>
      </c>
      <c r="L21" s="47">
        <f>WindFarmLGCs!L21*WindFarmLGCs!$E$26</f>
        <v>447615.27554999996</v>
      </c>
      <c r="M21" s="47">
        <f>WindFarmLGCs!M21*WindFarmLGCs!$E$26</f>
        <v>448552.01069999998</v>
      </c>
      <c r="N21" s="47">
        <f>WindFarmLGCs!N21*WindFarmLGCs!$E$26</f>
        <v>448659.0528</v>
      </c>
      <c r="O21" s="47">
        <f>WindFarmLGCs!O21*WindFarmLGCs!$E$26</f>
        <v>450680.18369999999</v>
      </c>
      <c r="P21" s="47">
        <f>WindFarmLGCs!P21*WindFarmLGCs!$E$26</f>
        <v>448197</v>
      </c>
      <c r="Q21" s="47">
        <f>WindFarmLGCs!Q21*WindFarmLGCs!$E$26</f>
        <v>448611.75</v>
      </c>
      <c r="R21" s="47">
        <f>WindFarmLGCs!R21*WindFarmLGCs!$E$26</f>
        <v>448949.39999999997</v>
      </c>
      <c r="S21" s="47">
        <f>WindFarmLGCs!S21*WindFarmLGCs!$E$26</f>
        <v>447757.2</v>
      </c>
      <c r="T21" s="47">
        <f>WindFarmLGCs!T21*WindFarmLGCs!$E$26</f>
        <v>448808.1</v>
      </c>
      <c r="V21" s="48" t="e">
        <f t="shared" si="1"/>
        <v>#DIV/0!</v>
      </c>
      <c r="W21" s="48" t="e">
        <f t="shared" si="1"/>
        <v>#DIV/0!</v>
      </c>
    </row>
    <row r="22" spans="1:23" x14ac:dyDescent="0.3">
      <c r="B22" s="3">
        <v>0.05</v>
      </c>
      <c r="C22" s="17"/>
      <c r="D22" s="17"/>
      <c r="E22" s="15">
        <f>WindFarmLGCs!E22*WindFarmLGCs!$E$26</f>
        <v>434222.64869956806</v>
      </c>
      <c r="F22" s="15">
        <f>WindFarmLGCs!F22*WindFarmLGCs!$E$26</f>
        <v>435223.73739485635</v>
      </c>
      <c r="G22" s="15">
        <f>WindFarmLGCs!G22*WindFarmLGCs!$E$26</f>
        <v>435203.23995000002</v>
      </c>
      <c r="H22" s="15">
        <f>WindFarmLGCs!H22*WindFarmLGCs!$E$26</f>
        <v>435115.72125</v>
      </c>
      <c r="I22" s="15">
        <f>WindFarmLGCs!I22*WindFarmLGCs!$E$26</f>
        <v>434969.07854999992</v>
      </c>
      <c r="J22" s="15">
        <f>WindFarmLGCs!J22*WindFarmLGCs!$E$26</f>
        <v>435174.23310000001</v>
      </c>
      <c r="K22" s="15">
        <f>WindFarmLGCs!K22*WindFarmLGCs!$E$26</f>
        <v>434254.50464999996</v>
      </c>
      <c r="L22" s="15">
        <f>WindFarmLGCs!L22*WindFarmLGCs!$E$26</f>
        <v>432514.8273</v>
      </c>
      <c r="M22" s="15">
        <f>WindFarmLGCs!M22*WindFarmLGCs!$E$26</f>
        <v>435093.94650000002</v>
      </c>
      <c r="N22" s="15">
        <f>WindFarmLGCs!N22*WindFarmLGCs!$E$26</f>
        <v>435289.09155000001</v>
      </c>
      <c r="O22" s="15">
        <f>WindFarmLGCs!O22*WindFarmLGCs!$E$26</f>
        <v>436104.62579999998</v>
      </c>
      <c r="P22" s="15">
        <f>WindFarmLGCs!P22*WindFarmLGCs!$E$26</f>
        <v>433819.95</v>
      </c>
      <c r="Q22" s="15">
        <f>WindFarmLGCs!Q22*WindFarmLGCs!$E$26</f>
        <v>433247.1</v>
      </c>
      <c r="R22" s="15">
        <f>WindFarmLGCs!R22*WindFarmLGCs!$E$26</f>
        <v>433039.64999999997</v>
      </c>
      <c r="S22" s="15">
        <f>WindFarmLGCs!S22*WindFarmLGCs!$E$26</f>
        <v>434187.45</v>
      </c>
      <c r="T22" s="15">
        <f>WindFarmLGCs!T22*WindFarmLGCs!$E$26</f>
        <v>432900.75</v>
      </c>
      <c r="V22" s="17" t="e">
        <f t="shared" si="1"/>
        <v>#DIV/0!</v>
      </c>
      <c r="W22" s="17" t="e">
        <f t="shared" si="1"/>
        <v>#DIV/0!</v>
      </c>
    </row>
    <row r="23" spans="1:23" x14ac:dyDescent="0.3">
      <c r="B23" s="3">
        <v>0</v>
      </c>
      <c r="C23" s="17"/>
      <c r="D23" s="17"/>
      <c r="E23" s="15">
        <f>WindFarmLGCs!E23*WindFarmLGCs!$E$26</f>
        <v>410572.93666907842</v>
      </c>
      <c r="F23" s="15">
        <f>WindFarmLGCs!F23*WindFarmLGCs!$E$26</f>
        <v>409990.30922303395</v>
      </c>
      <c r="G23" s="15">
        <f>WindFarmLGCs!G23*WindFarmLGCs!$E$26</f>
        <v>418531.32540000003</v>
      </c>
      <c r="H23" s="15">
        <f>WindFarmLGCs!H23*WindFarmLGCs!$E$26</f>
        <v>416520.52425000002</v>
      </c>
      <c r="I23" s="15">
        <f>WindFarmLGCs!I23*WindFarmLGCs!$E$26</f>
        <v>412131.60494999995</v>
      </c>
      <c r="J23" s="15">
        <f>WindFarmLGCs!J23*WindFarmLGCs!$E$26</f>
        <v>415093.32944999996</v>
      </c>
      <c r="K23" s="15">
        <f>WindFarmLGCs!K23*WindFarmLGCs!$E$26</f>
        <v>411203.95694999996</v>
      </c>
      <c r="L23" s="15">
        <f>WindFarmLGCs!L23*WindFarmLGCs!$E$26</f>
        <v>407943.46919999999</v>
      </c>
      <c r="M23" s="15">
        <f>WindFarmLGCs!M23*WindFarmLGCs!$E$26</f>
        <v>412573.06754999998</v>
      </c>
      <c r="N23" s="15">
        <f>WindFarmLGCs!N23*WindFarmLGCs!$E$26</f>
        <v>417979.25534999999</v>
      </c>
      <c r="O23" s="15">
        <f>WindFarmLGCs!O23*WindFarmLGCs!$E$26</f>
        <v>415603.03470000002</v>
      </c>
      <c r="P23" s="15">
        <f>WindFarmLGCs!P23*WindFarmLGCs!$E$26</f>
        <v>417902.1</v>
      </c>
      <c r="Q23" s="15">
        <f>WindFarmLGCs!Q23*WindFarmLGCs!$E$26</f>
        <v>414790.2</v>
      </c>
      <c r="R23" s="15">
        <f>WindFarmLGCs!R23*WindFarmLGCs!$E$26</f>
        <v>408255.89999999997</v>
      </c>
      <c r="S23" s="15">
        <f>WindFarmLGCs!S23*WindFarmLGCs!$E$26</f>
        <v>408304.8</v>
      </c>
      <c r="T23" s="15">
        <f>WindFarmLGCs!T23*WindFarmLGCs!$E$26</f>
        <v>414070.64999999997</v>
      </c>
      <c r="V23" s="17" t="e">
        <f t="shared" si="1"/>
        <v>#DIV/0!</v>
      </c>
      <c r="W23" s="17" t="e">
        <f t="shared" si="1"/>
        <v>#DIV/0!</v>
      </c>
    </row>
    <row r="24" spans="1:23" x14ac:dyDescent="0.3">
      <c r="B24" s="9" t="s">
        <v>29</v>
      </c>
      <c r="C24" s="48"/>
      <c r="D24" s="48"/>
      <c r="E24" s="47">
        <f>SUMPRODUCT($A$28:$A$34,E17:E23)/SUM($A$28:$A$34)</f>
        <v>458995.11797881004</v>
      </c>
      <c r="F24" s="47">
        <f t="shared" ref="F24:T24" si="2">SUMPRODUCT($A$28:$A$34,F17:F23)/SUM($A$28:$A$34)</f>
        <v>458961.55476393923</v>
      </c>
      <c r="G24" s="47">
        <f t="shared" si="2"/>
        <v>459137.87784929859</v>
      </c>
      <c r="H24" s="47">
        <f t="shared" si="2"/>
        <v>458654.59826384345</v>
      </c>
      <c r="I24" s="47">
        <f t="shared" si="2"/>
        <v>458724.12164757604</v>
      </c>
      <c r="J24" s="47">
        <f t="shared" si="2"/>
        <v>459616.22042183543</v>
      </c>
      <c r="K24" s="47">
        <f t="shared" si="2"/>
        <v>460212.94032042666</v>
      </c>
      <c r="L24" s="47">
        <f t="shared" si="2"/>
        <v>457825.573800068</v>
      </c>
      <c r="M24" s="47">
        <f t="shared" si="2"/>
        <v>458843.35569505923</v>
      </c>
      <c r="N24" s="47">
        <f t="shared" si="2"/>
        <v>458223.12675291189</v>
      </c>
      <c r="O24" s="47">
        <f t="shared" si="2"/>
        <v>460260.99125251314</v>
      </c>
      <c r="P24" s="47">
        <f t="shared" si="2"/>
        <v>458821.88636747154</v>
      </c>
      <c r="Q24" s="47">
        <f t="shared" si="2"/>
        <v>458410.38957335189</v>
      </c>
      <c r="R24" s="47">
        <f t="shared" si="2"/>
        <v>459196.81556889578</v>
      </c>
      <c r="S24" s="47">
        <f t="shared" si="2"/>
        <v>458144.66005776997</v>
      </c>
      <c r="T24" s="47">
        <f t="shared" si="2"/>
        <v>458478.2573466709</v>
      </c>
      <c r="V24" s="48" t="e">
        <f t="shared" si="1"/>
        <v>#DIV/0!</v>
      </c>
      <c r="W24" s="48" t="e">
        <f t="shared" si="1"/>
        <v>#DIV/0!</v>
      </c>
    </row>
    <row r="26" spans="1:23" x14ac:dyDescent="0.3">
      <c r="B26" s="1" t="s">
        <v>73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3">(C17*(1+C6))*($E$26)</f>
        <v>0</v>
      </c>
      <c r="D28" s="20"/>
      <c r="E28" s="73">
        <f>(E6-E$13)*E17</f>
        <v>42921549.349923119</v>
      </c>
      <c r="F28" s="73">
        <f t="shared" ref="F28:T28" si="4">(F6-F$13)*F17</f>
        <v>26744147.762844302</v>
      </c>
      <c r="G28" s="73">
        <f t="shared" si="4"/>
        <v>16341145.621148063</v>
      </c>
      <c r="H28" s="73">
        <f t="shared" si="4"/>
        <v>14008390.89326204</v>
      </c>
      <c r="I28" s="73">
        <f t="shared" si="4"/>
        <v>17860497.031073336</v>
      </c>
      <c r="J28" s="73">
        <f t="shared" si="4"/>
        <v>18773330.945654888</v>
      </c>
      <c r="K28" s="73">
        <f t="shared" si="4"/>
        <v>13012473.700651761</v>
      </c>
      <c r="L28" s="73">
        <f t="shared" si="4"/>
        <v>16416573.711353535</v>
      </c>
      <c r="M28" s="73">
        <f t="shared" si="4"/>
        <v>15656147.491762327</v>
      </c>
      <c r="N28" s="73">
        <f t="shared" si="4"/>
        <v>19903436.755312122</v>
      </c>
      <c r="O28" s="73">
        <f t="shared" si="4"/>
        <v>14778993.492223972</v>
      </c>
      <c r="P28" s="73">
        <f t="shared" si="4"/>
        <v>16245806.461181702</v>
      </c>
      <c r="Q28" s="73">
        <f t="shared" si="4"/>
        <v>21199120.836498644</v>
      </c>
      <c r="R28" s="73">
        <f t="shared" si="4"/>
        <v>20135291.198764388</v>
      </c>
      <c r="S28" s="73">
        <f t="shared" si="4"/>
        <v>20916921.678452354</v>
      </c>
      <c r="T28" s="73">
        <f t="shared" si="4"/>
        <v>19034076.10738232</v>
      </c>
    </row>
    <row r="29" spans="1:23" x14ac:dyDescent="0.3">
      <c r="A29" s="10">
        <v>8.3186780588327007</v>
      </c>
      <c r="B29" s="3">
        <v>0.95</v>
      </c>
      <c r="C29" s="20">
        <f t="shared" si="3"/>
        <v>0</v>
      </c>
      <c r="D29" s="20"/>
      <c r="E29" s="73">
        <f t="shared" ref="E29:T34" si="5">(E7-E$13)*E18</f>
        <v>30217301.135695796</v>
      </c>
      <c r="F29" s="73">
        <f t="shared" si="5"/>
        <v>15472973.955126081</v>
      </c>
      <c r="G29" s="73">
        <f t="shared" si="5"/>
        <v>6106770.9114028793</v>
      </c>
      <c r="H29" s="73">
        <f t="shared" si="5"/>
        <v>5091551.1218864843</v>
      </c>
      <c r="I29" s="73">
        <f t="shared" si="5"/>
        <v>6417285.7733485429</v>
      </c>
      <c r="J29" s="73">
        <f t="shared" si="5"/>
        <v>8346943.4587955428</v>
      </c>
      <c r="K29" s="73">
        <f t="shared" si="5"/>
        <v>5342757.7298130281</v>
      </c>
      <c r="L29" s="73">
        <f t="shared" si="5"/>
        <v>6605204.4125064295</v>
      </c>
      <c r="M29" s="73">
        <f t="shared" si="5"/>
        <v>7148719.1713374928</v>
      </c>
      <c r="N29" s="73">
        <f t="shared" si="5"/>
        <v>6988277.3993282923</v>
      </c>
      <c r="O29" s="73">
        <f t="shared" si="5"/>
        <v>3844419.7147929971</v>
      </c>
      <c r="P29" s="73">
        <f t="shared" si="5"/>
        <v>5773284.0838598032</v>
      </c>
      <c r="Q29" s="73">
        <f t="shared" si="5"/>
        <v>9502415.9406869914</v>
      </c>
      <c r="R29" s="73">
        <f t="shared" si="5"/>
        <v>9085108.8775123283</v>
      </c>
      <c r="S29" s="73">
        <f t="shared" si="5"/>
        <v>10631245.470547862</v>
      </c>
      <c r="T29" s="73">
        <f t="shared" si="5"/>
        <v>9698570.5594856013</v>
      </c>
    </row>
    <row r="30" spans="1:23" x14ac:dyDescent="0.3">
      <c r="A30" s="10">
        <v>35.289785361998533</v>
      </c>
      <c r="B30" s="5">
        <v>0.75</v>
      </c>
      <c r="C30" s="51">
        <f t="shared" si="3"/>
        <v>0</v>
      </c>
      <c r="D30" s="51"/>
      <c r="E30" s="74">
        <f t="shared" si="5"/>
        <v>23619270.426674854</v>
      </c>
      <c r="F30" s="74">
        <f t="shared" si="5"/>
        <v>8973749.8142748699</v>
      </c>
      <c r="G30" s="74">
        <f t="shared" si="5"/>
        <v>-326455.46626934822</v>
      </c>
      <c r="H30" s="74">
        <f t="shared" si="5"/>
        <v>-835607.01633421273</v>
      </c>
      <c r="I30" s="74">
        <f t="shared" si="5"/>
        <v>1140654.1441268765</v>
      </c>
      <c r="J30" s="74">
        <f t="shared" si="5"/>
        <v>2733462.9441192173</v>
      </c>
      <c r="K30" s="74">
        <f t="shared" si="5"/>
        <v>668469.38931148627</v>
      </c>
      <c r="L30" s="74">
        <f t="shared" si="5"/>
        <v>1446894.0205003924</v>
      </c>
      <c r="M30" s="74">
        <f t="shared" si="5"/>
        <v>1632475.7398351033</v>
      </c>
      <c r="N30" s="74">
        <f t="shared" si="5"/>
        <v>2009461.7223529855</v>
      </c>
      <c r="O30" s="74">
        <f t="shared" si="5"/>
        <v>-526661.49556749419</v>
      </c>
      <c r="P30" s="74">
        <f t="shared" si="5"/>
        <v>1189308.975918836</v>
      </c>
      <c r="Q30" s="74">
        <f t="shared" si="5"/>
        <v>5251265.3098612754</v>
      </c>
      <c r="R30" s="74">
        <f t="shared" si="5"/>
        <v>4665040.3715363936</v>
      </c>
      <c r="S30" s="74">
        <f t="shared" si="5"/>
        <v>6990609.803438236</v>
      </c>
      <c r="T30" s="74">
        <f t="shared" si="5"/>
        <v>5905344.5315388702</v>
      </c>
    </row>
    <row r="31" spans="1:23" x14ac:dyDescent="0.3">
      <c r="A31" s="10">
        <v>10.770379718603101</v>
      </c>
      <c r="B31" s="7">
        <v>0.5</v>
      </c>
      <c r="C31" s="43">
        <f t="shared" si="3"/>
        <v>0</v>
      </c>
      <c r="D31" s="43"/>
      <c r="E31" s="75">
        <f t="shared" si="5"/>
        <v>17933129.052012369</v>
      </c>
      <c r="F31" s="75">
        <f t="shared" si="5"/>
        <v>3748075.5122986105</v>
      </c>
      <c r="G31" s="75">
        <f t="shared" si="5"/>
        <v>-4430930.384617975</v>
      </c>
      <c r="H31" s="75">
        <f t="shared" si="5"/>
        <v>-4034908.4475090615</v>
      </c>
      <c r="I31" s="75">
        <f t="shared" si="5"/>
        <v>-2195834.406320299</v>
      </c>
      <c r="J31" s="75">
        <f t="shared" si="5"/>
        <v>-665372.71057744452</v>
      </c>
      <c r="K31" s="75">
        <f t="shared" si="5"/>
        <v>-2225864.3436882682</v>
      </c>
      <c r="L31" s="75">
        <f t="shared" si="5"/>
        <v>-1422851.1473726921</v>
      </c>
      <c r="M31" s="75">
        <f t="shared" si="5"/>
        <v>-1639773.4038182318</v>
      </c>
      <c r="N31" s="75">
        <f t="shared" si="5"/>
        <v>-1331513.4535291225</v>
      </c>
      <c r="O31" s="75">
        <f t="shared" si="5"/>
        <v>-3792630.8499809117</v>
      </c>
      <c r="P31" s="75">
        <f t="shared" si="5"/>
        <v>-2114340.8327575498</v>
      </c>
      <c r="Q31" s="75">
        <f t="shared" si="5"/>
        <v>1627598.4889372706</v>
      </c>
      <c r="R31" s="75">
        <f t="shared" si="5"/>
        <v>1136024.9500990917</v>
      </c>
      <c r="S31" s="75">
        <f t="shared" si="5"/>
        <v>3669795.7627242352</v>
      </c>
      <c r="T31" s="75">
        <f t="shared" si="5"/>
        <v>2436927.8482014164</v>
      </c>
    </row>
    <row r="32" spans="1:23" x14ac:dyDescent="0.3">
      <c r="A32" s="10">
        <v>35.654277299472511</v>
      </c>
      <c r="B32" s="5">
        <v>0.25</v>
      </c>
      <c r="C32" s="51">
        <f t="shared" si="3"/>
        <v>0</v>
      </c>
      <c r="D32" s="51"/>
      <c r="E32" s="74">
        <f t="shared" si="5"/>
        <v>13976925.106400451</v>
      </c>
      <c r="F32" s="74">
        <f t="shared" si="5"/>
        <v>1602024.2522986692</v>
      </c>
      <c r="G32" s="74">
        <f t="shared" si="5"/>
        <v>-7222673.6401614686</v>
      </c>
      <c r="H32" s="74">
        <f t="shared" si="5"/>
        <v>-6266918.8883838234</v>
      </c>
      <c r="I32" s="74">
        <f t="shared" si="5"/>
        <v>-5000816.0483356267</v>
      </c>
      <c r="J32" s="74">
        <f t="shared" si="5"/>
        <v>-3126043.7672759341</v>
      </c>
      <c r="K32" s="74">
        <f t="shared" si="5"/>
        <v>-4635717.6325035151</v>
      </c>
      <c r="L32" s="74">
        <f t="shared" si="5"/>
        <v>-3938384.9869741341</v>
      </c>
      <c r="M32" s="74">
        <f t="shared" si="5"/>
        <v>-4181822.0727730361</v>
      </c>
      <c r="N32" s="74">
        <f t="shared" si="5"/>
        <v>-4156992.3580149505</v>
      </c>
      <c r="O32" s="74">
        <f t="shared" si="5"/>
        <v>-6468695.1928835874</v>
      </c>
      <c r="P32" s="74">
        <f t="shared" si="5"/>
        <v>-5455232.3146873917</v>
      </c>
      <c r="Q32" s="74">
        <f t="shared" si="5"/>
        <v>-2504981.68922436</v>
      </c>
      <c r="R32" s="74">
        <f t="shared" si="5"/>
        <v>-3556260.7664779043</v>
      </c>
      <c r="S32" s="74">
        <f t="shared" si="5"/>
        <v>-1785057.4252204103</v>
      </c>
      <c r="T32" s="74">
        <f t="shared" si="5"/>
        <v>-3306485.0380182895</v>
      </c>
    </row>
    <row r="33" spans="1:20" x14ac:dyDescent="0.3">
      <c r="A33" s="10">
        <v>9.2906736271479939</v>
      </c>
      <c r="B33" s="3">
        <v>0.05</v>
      </c>
      <c r="C33" s="20">
        <f t="shared" si="3"/>
        <v>0</v>
      </c>
      <c r="D33" s="20"/>
      <c r="E33" s="73">
        <f t="shared" si="5"/>
        <v>10329686.279967198</v>
      </c>
      <c r="F33" s="73">
        <f t="shared" si="5"/>
        <v>-2226182.7781293415</v>
      </c>
      <c r="G33" s="73">
        <f t="shared" si="5"/>
        <v>-10796945.24338685</v>
      </c>
      <c r="H33" s="73">
        <f t="shared" si="5"/>
        <v>-9713014.5360519662</v>
      </c>
      <c r="I33" s="73">
        <f t="shared" si="5"/>
        <v>-6896357.0562213697</v>
      </c>
      <c r="J33" s="73">
        <f t="shared" si="5"/>
        <v>-5892643.4799591517</v>
      </c>
      <c r="K33" s="73">
        <f t="shared" si="5"/>
        <v>-7443692.1316822292</v>
      </c>
      <c r="L33" s="73">
        <f t="shared" si="5"/>
        <v>-6788811.1834711172</v>
      </c>
      <c r="M33" s="73">
        <f t="shared" si="5"/>
        <v>-7563644.1725519486</v>
      </c>
      <c r="N33" s="73">
        <f t="shared" si="5"/>
        <v>-7145211.1888805712</v>
      </c>
      <c r="O33" s="73">
        <f t="shared" si="5"/>
        <v>-9436194.5767296143</v>
      </c>
      <c r="P33" s="73">
        <f t="shared" si="5"/>
        <v>-9218898.6650088038</v>
      </c>
      <c r="Q33" s="73">
        <f t="shared" si="5"/>
        <v>-7399404.664608473</v>
      </c>
      <c r="R33" s="73">
        <f t="shared" si="5"/>
        <v>-10072682.991558393</v>
      </c>
      <c r="S33" s="73">
        <f t="shared" si="5"/>
        <v>-9446788.2757980544</v>
      </c>
      <c r="T33" s="73">
        <f t="shared" si="5"/>
        <v>-11575567.245011112</v>
      </c>
    </row>
    <row r="34" spans="1:20" x14ac:dyDescent="0.3">
      <c r="A34">
        <v>0</v>
      </c>
      <c r="B34" s="3">
        <v>0</v>
      </c>
      <c r="C34" s="20">
        <f t="shared" si="3"/>
        <v>0</v>
      </c>
      <c r="D34" s="20"/>
      <c r="E34" s="73">
        <f t="shared" si="5"/>
        <v>3733222.8768259604</v>
      </c>
      <c r="F34" s="73">
        <f t="shared" si="5"/>
        <v>-6409679.0053364141</v>
      </c>
      <c r="G34" s="73">
        <f t="shared" si="5"/>
        <v>-16434156.496391505</v>
      </c>
      <c r="H34" s="73">
        <f t="shared" si="5"/>
        <v>-14119223.01328058</v>
      </c>
      <c r="I34" s="73">
        <f t="shared" si="5"/>
        <v>-13196633.102378299</v>
      </c>
      <c r="J34" s="73">
        <f t="shared" si="5"/>
        <v>-10688050.332502784</v>
      </c>
      <c r="K34" s="73">
        <f t="shared" si="5"/>
        <v>-10321246.370392105</v>
      </c>
      <c r="L34" s="73">
        <f t="shared" si="5"/>
        <v>-11147496.83599486</v>
      </c>
      <c r="M34" s="73">
        <f t="shared" si="5"/>
        <v>-10923820.989063902</v>
      </c>
      <c r="N34" s="73">
        <f t="shared" si="5"/>
        <v>-11518585.64704437</v>
      </c>
      <c r="O34" s="73">
        <f t="shared" si="5"/>
        <v>-13341907.085893514</v>
      </c>
      <c r="P34" s="73">
        <f t="shared" si="5"/>
        <v>-14412137.39022184</v>
      </c>
      <c r="Q34" s="73">
        <f t="shared" si="5"/>
        <v>-12649029.033627152</v>
      </c>
      <c r="R34" s="73">
        <f t="shared" si="5"/>
        <v>-14801990.047179017</v>
      </c>
      <c r="S34" s="73">
        <f t="shared" si="5"/>
        <v>-14456791.14379588</v>
      </c>
      <c r="T34" s="73">
        <f t="shared" si="5"/>
        <v>-18031214.549025174</v>
      </c>
    </row>
    <row r="35" spans="1:20" x14ac:dyDescent="0.3">
      <c r="B35" s="9" t="s">
        <v>29</v>
      </c>
      <c r="C35" s="51">
        <f t="shared" si="3"/>
        <v>0</v>
      </c>
      <c r="D35" s="51"/>
      <c r="E35" s="74">
        <f>SUMPRODUCT($A$28:$A$34,E28:E34)/SUM($A$28:$A$34)</f>
        <v>19013643.015240952</v>
      </c>
      <c r="F35" s="74">
        <f t="shared" ref="F35:T35" si="6">SUMPRODUCT($A$28:$A$34,F28:F34)/SUM($A$28:$A$34)</f>
        <v>5402854.1614119262</v>
      </c>
      <c r="G35" s="74">
        <f t="shared" si="6"/>
        <v>-3552232.1300931172</v>
      </c>
      <c r="H35" s="74">
        <f t="shared" si="6"/>
        <v>-3348012.7250320832</v>
      </c>
      <c r="I35" s="74">
        <f t="shared" si="6"/>
        <v>-1603081.1115662763</v>
      </c>
      <c r="J35" s="74">
        <f t="shared" si="6"/>
        <v>52237.14087490258</v>
      </c>
      <c r="K35" s="74">
        <f t="shared" si="6"/>
        <v>-1815795.4897569402</v>
      </c>
      <c r="L35" s="74">
        <f t="shared" si="6"/>
        <v>-1017094.1755379711</v>
      </c>
      <c r="M35" s="74">
        <f t="shared" si="6"/>
        <v>-1093677.876296662</v>
      </c>
      <c r="N35" s="74">
        <f t="shared" si="6"/>
        <v>-864337.68841649778</v>
      </c>
      <c r="O35" s="74">
        <f t="shared" si="6"/>
        <v>-3357649.7288134275</v>
      </c>
      <c r="P35" s="74">
        <f t="shared" si="6"/>
        <v>-2019423.4129356227</v>
      </c>
      <c r="Q35" s="74">
        <f t="shared" si="6"/>
        <v>1381696.1966394363</v>
      </c>
      <c r="R35" s="74">
        <f t="shared" si="6"/>
        <v>456774.70561518898</v>
      </c>
      <c r="S35" s="74">
        <f t="shared" si="6"/>
        <v>2373923.0502044023</v>
      </c>
      <c r="T35" s="74">
        <f t="shared" si="6"/>
        <v>1027600.6476219398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7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7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7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7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7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7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7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7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7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7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7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7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7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7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7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7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7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7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7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7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7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7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7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7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7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7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7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7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7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7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7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7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7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7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7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7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7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7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7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7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7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7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7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7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7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7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7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7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7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7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7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7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7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7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7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7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7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7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7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7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7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7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7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7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8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8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8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8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8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8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8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8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8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8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8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8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8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8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8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8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8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8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8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8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8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8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8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8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8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8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8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8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8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8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8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8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8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8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8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8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8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8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8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8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8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8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8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8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8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8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8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8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8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8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8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8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8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8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8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8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8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8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8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8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8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8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8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8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9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9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9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9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9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9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9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9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9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9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9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9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9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9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9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9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9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9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9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9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9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9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9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9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9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9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9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9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9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9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9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9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9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9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9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9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9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9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9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9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9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9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9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9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9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9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9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9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9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9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9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9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9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9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9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9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9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9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9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9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9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9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9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9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0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0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0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0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0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0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0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0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0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0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0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0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0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0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0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0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0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0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0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0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0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0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0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0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0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0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0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0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0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0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0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0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0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0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0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0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0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0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0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0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0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0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0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0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0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0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0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0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0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0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0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0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0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0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0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0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0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0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0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0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0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0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0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0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1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1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1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1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1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1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1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1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1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1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1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1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1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1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1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1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1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1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1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1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1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1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1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1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1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1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1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1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1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1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1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1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1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1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1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1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1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1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1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1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1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1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1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1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1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1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1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1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1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1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1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1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1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1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1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1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1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1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1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1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1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1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1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1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2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2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2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2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2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2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2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2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2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2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2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2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2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2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2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2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2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2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2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2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2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2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2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2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2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2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2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2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2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2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2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2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2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2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2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2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2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2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2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2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2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2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2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2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2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2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2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2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2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2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2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2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2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2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2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2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2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2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2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2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2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2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2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2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3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3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3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3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3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3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3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3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3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3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3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3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3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3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3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3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3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3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3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3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3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3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3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3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3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3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3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3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3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3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3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3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3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3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3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3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3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3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3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3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3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3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3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3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3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3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3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3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3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3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3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3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3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3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3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3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3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3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3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3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3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3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3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3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4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4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4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4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4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4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4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4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4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4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4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4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4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4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4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4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4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4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4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4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4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4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4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4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4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4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4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4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4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4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4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4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4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4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4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4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4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4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4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4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4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4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4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4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4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4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4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4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4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4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4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4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4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4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4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4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4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4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4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4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4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4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4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4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5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5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5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5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5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5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5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5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5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5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5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5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5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5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5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5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5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5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5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5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5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5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5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5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5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5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5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5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5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5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5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5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5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5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5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5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5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5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5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5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5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5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5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5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5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5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5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5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5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5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5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5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5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5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5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5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5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5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5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5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5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5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5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5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6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6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6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6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6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6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6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6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6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6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6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6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6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6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6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6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6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6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6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6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6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6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6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6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6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6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6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6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6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6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6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6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6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6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6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6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6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6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6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6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6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6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6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6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6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6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6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6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6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6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6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6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6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6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6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6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6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6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6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6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6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6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6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6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7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7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7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7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7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7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7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7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7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7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7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7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7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7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7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7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7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7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7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7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7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7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7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7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7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7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7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7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7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7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7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7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7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7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7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7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7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7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7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7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7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7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7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7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7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7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7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7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7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7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7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7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7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7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7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7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7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7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7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7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7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7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7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7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8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8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8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8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8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8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8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8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8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8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8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8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8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8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8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8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8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8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8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8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8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8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8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8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8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8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8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8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8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8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8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8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8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8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8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8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8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8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8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8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8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8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8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8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8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8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8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8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8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8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8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8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8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8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8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8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8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8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8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8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8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8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8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8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9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9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9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9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9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9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9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9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9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9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9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9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9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9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9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9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9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9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9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9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9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9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9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9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9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9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9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9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9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9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9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9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9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9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9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9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9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9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9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9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9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9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9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9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9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9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9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9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9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9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9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9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9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9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9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9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9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9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9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9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9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9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9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9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0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0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0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0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0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0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0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0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0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0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0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0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0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0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0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0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0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0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0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0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0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0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0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0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0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0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0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0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0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0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0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0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0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0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0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0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0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0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0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0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0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0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0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0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0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0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0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0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0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0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0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0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0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0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0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0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0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0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0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0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0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0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0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0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1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1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1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1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1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1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1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1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1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1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1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1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1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1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1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1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1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1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1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1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1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1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1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1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1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1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1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1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1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1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1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1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1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1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1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1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1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1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1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1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1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1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1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1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1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1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1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1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1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1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1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1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1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1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1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1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1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1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1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1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1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1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1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1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2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2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2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2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2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2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2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2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2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2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2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2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2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2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2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2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2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2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2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2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2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2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2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2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2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2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2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2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2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2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2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2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2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2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2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2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2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2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2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2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2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2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2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2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2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2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2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2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2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2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2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2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2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2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2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2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2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2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2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2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2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2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2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2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3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3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3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3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3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3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3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3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3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3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3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3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3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3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3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3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3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3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3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3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3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3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3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3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3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3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3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3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3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3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3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3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3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3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3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3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3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3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3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3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3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3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3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3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3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3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3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3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3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3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3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3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3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3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3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3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3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3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3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3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3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3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3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3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4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4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4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4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4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4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4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4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4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4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4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4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4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4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4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4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4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4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4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4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4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4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4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4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4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4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4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4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4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4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4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4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4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4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4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4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4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4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4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4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4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4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4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4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4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4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4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4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4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4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4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4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4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4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4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4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4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4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4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4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4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4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4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4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5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5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5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5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5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5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5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5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5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5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5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5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5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5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5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5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5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5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5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5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5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5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5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5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5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5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5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5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5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5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5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5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5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5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5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5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5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5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5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5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5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5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5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5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5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5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5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5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5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5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5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5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5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5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5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5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5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5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5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5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5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5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5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5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6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6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6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6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6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6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6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6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6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6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6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6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6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6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6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6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6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6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6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6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6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6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6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6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6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6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6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6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6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6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6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6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6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6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6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6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6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6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6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6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6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6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6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6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6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6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6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6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6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6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6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6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6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6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6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6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6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6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6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6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6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6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6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6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7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7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7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7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7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7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7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7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7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7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7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7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7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7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7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7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7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7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7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7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7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7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7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7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7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7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7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7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7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7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7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7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7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7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7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7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7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7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7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7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7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7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7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7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7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7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7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7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7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7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7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7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7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7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7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7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7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7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7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7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7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7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7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7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8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8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8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8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8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8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8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8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8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8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8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8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8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8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8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8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8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8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8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8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8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8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8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8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8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8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8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8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8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8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8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8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8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8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8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8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8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8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8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8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8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8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8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8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8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8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8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8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8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8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8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8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8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8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8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8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8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8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8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8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8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8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8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8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9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9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9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9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9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9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9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9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9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9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9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9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9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9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9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9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9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9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9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9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9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9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5984-E5A7-490E-B8EC-FCD6DEC26D58}">
  <sheetPr>
    <tabColor theme="4"/>
  </sheetPr>
  <dimension ref="A4:U1468"/>
  <sheetViews>
    <sheetView topLeftCell="D1" workbookViewId="0">
      <selection activeCell="E6" sqref="E6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1" x14ac:dyDescent="0.3">
      <c r="B4" s="1" t="s">
        <v>77</v>
      </c>
    </row>
    <row r="5" spans="1:21" x14ac:dyDescent="0.3">
      <c r="B5" s="82" t="s">
        <v>70</v>
      </c>
      <c r="C5" s="82" t="s">
        <v>1</v>
      </c>
      <c r="D5" s="82" t="s">
        <v>2</v>
      </c>
      <c r="E5" s="82" t="s">
        <v>3</v>
      </c>
      <c r="F5" s="82" t="s">
        <v>4</v>
      </c>
      <c r="G5" s="82" t="s">
        <v>5</v>
      </c>
      <c r="H5" s="82" t="s">
        <v>6</v>
      </c>
      <c r="I5" s="82" t="s">
        <v>7</v>
      </c>
      <c r="J5" s="82" t="s">
        <v>8</v>
      </c>
      <c r="K5" s="82" t="s">
        <v>9</v>
      </c>
      <c r="L5" s="82" t="s">
        <v>10</v>
      </c>
      <c r="M5" s="82" t="s">
        <v>11</v>
      </c>
      <c r="N5" s="82" t="s">
        <v>12</v>
      </c>
      <c r="O5" s="82" t="s">
        <v>13</v>
      </c>
      <c r="P5" s="82" t="s">
        <v>14</v>
      </c>
      <c r="Q5" s="82" t="s">
        <v>15</v>
      </c>
      <c r="R5" s="82" t="s">
        <v>16</v>
      </c>
      <c r="S5" s="82" t="s">
        <v>17</v>
      </c>
      <c r="T5" s="82" t="s">
        <v>18</v>
      </c>
    </row>
    <row r="6" spans="1:21" x14ac:dyDescent="0.3">
      <c r="A6" s="3">
        <v>0</v>
      </c>
      <c r="B6" s="3">
        <v>1</v>
      </c>
      <c r="C6" s="14"/>
      <c r="D6" s="14"/>
      <c r="E6" s="80">
        <f>[1]MarinusPortland!BB4</f>
        <v>24.064397308113612</v>
      </c>
      <c r="F6" s="80">
        <f>[1]MarinusPortland!BC4</f>
        <v>32.704266127817448</v>
      </c>
      <c r="G6" s="80">
        <f>[1]MarinusPortland!BD4</f>
        <v>38.787353680617159</v>
      </c>
      <c r="H6" s="80">
        <f>[1]MarinusPortland!BE4</f>
        <v>32.926521453737124</v>
      </c>
      <c r="I6" s="80">
        <f>[1]MarinusPortland!BF4</f>
        <v>41.491768627350922</v>
      </c>
      <c r="J6" s="80">
        <f>[1]MarinusPortland!BG4</f>
        <v>47.912760475850995</v>
      </c>
      <c r="K6" s="80">
        <f>[1]MarinusPortland!BH4</f>
        <v>32.777018041209949</v>
      </c>
      <c r="L6" s="80">
        <f>[1]MarinusPortland!BI4</f>
        <v>39.839802411795283</v>
      </c>
      <c r="M6" s="80">
        <f>[1]MarinusPortland!BJ4</f>
        <v>37.826628279275468</v>
      </c>
      <c r="N6" s="80">
        <f>[1]MarinusPortland!BK4</f>
        <v>52.343848773653008</v>
      </c>
      <c r="O6" s="80">
        <f>[1]MarinusPortland!BL4</f>
        <v>48.583685263977614</v>
      </c>
      <c r="P6" s="80">
        <f>[1]MarinusPortland!BM4</f>
        <v>52.593842517655332</v>
      </c>
      <c r="Q6" s="80">
        <f>[1]MarinusPortland!BN4</f>
        <v>62.106577965510155</v>
      </c>
      <c r="R6" s="80">
        <f>[1]MarinusPortland!BO4</f>
        <v>75.805998402914256</v>
      </c>
      <c r="S6" s="80">
        <f>[1]MarinusPortland!BP4</f>
        <v>70.822320018296693</v>
      </c>
      <c r="T6" s="80">
        <f>[1]MarinusPortland!BQ4</f>
        <v>89.017793261814859</v>
      </c>
    </row>
    <row r="7" spans="1:21" x14ac:dyDescent="0.3">
      <c r="A7" s="3">
        <v>0.05</v>
      </c>
      <c r="B7" s="3">
        <v>0.95</v>
      </c>
      <c r="C7" s="14"/>
      <c r="D7" s="14"/>
      <c r="E7" s="80">
        <f>[1]MarinusPortland!BB5</f>
        <v>10.781204701455694</v>
      </c>
      <c r="F7" s="80">
        <f>[1]MarinusPortland!BC5</f>
        <v>14.656883266326947</v>
      </c>
      <c r="G7" s="80">
        <f>[1]MarinusPortland!BD5</f>
        <v>19.152449446397004</v>
      </c>
      <c r="H7" s="80">
        <f>[1]MarinusPortland!BE5</f>
        <v>16.5139940608708</v>
      </c>
      <c r="I7" s="80">
        <f>[1]MarinusPortland!BF5</f>
        <v>18.222040423984591</v>
      </c>
      <c r="J7" s="80">
        <f>[1]MarinusPortland!BG5</f>
        <v>18.993341661365992</v>
      </c>
      <c r="K7" s="80">
        <f>[1]MarinusPortland!BH5</f>
        <v>16.624563580154323</v>
      </c>
      <c r="L7" s="80">
        <f>[1]MarinusPortland!BI5</f>
        <v>18.824847598113475</v>
      </c>
      <c r="M7" s="80">
        <f>[1]MarinusPortland!BJ5</f>
        <v>19.235285494848963</v>
      </c>
      <c r="N7" s="80">
        <f>[1]MarinusPortland!BK5</f>
        <v>23.87283336976639</v>
      </c>
      <c r="O7" s="80">
        <f>[1]MarinusPortland!BL5</f>
        <v>22.964696387129063</v>
      </c>
      <c r="P7" s="80">
        <f>[1]MarinusPortland!BM5</f>
        <v>27.160593076995866</v>
      </c>
      <c r="Q7" s="80">
        <f>[1]MarinusPortland!BN5</f>
        <v>31.650821476102887</v>
      </c>
      <c r="R7" s="80">
        <f>[1]MarinusPortland!BO5</f>
        <v>36.804355675898059</v>
      </c>
      <c r="S7" s="80">
        <f>[1]MarinusPortland!BP5</f>
        <v>39.70172931193499</v>
      </c>
      <c r="T7" s="80">
        <f>[1]MarinusPortland!BQ5</f>
        <v>42.524270570403765</v>
      </c>
    </row>
    <row r="8" spans="1:21" x14ac:dyDescent="0.3">
      <c r="A8" s="3">
        <v>0.25</v>
      </c>
      <c r="B8" s="5">
        <v>0.75</v>
      </c>
      <c r="C8" s="46"/>
      <c r="D8" s="46"/>
      <c r="E8" s="78">
        <f>[1]MarinusPortland!BB6</f>
        <v>4.605302661421133</v>
      </c>
      <c r="F8" s="78">
        <f>[1]MarinusPortland!BC6</f>
        <v>6.3892482715325958</v>
      </c>
      <c r="G8" s="78">
        <f>[1]MarinusPortland!BD6</f>
        <v>8.0966024141011328</v>
      </c>
      <c r="H8" s="78">
        <f>[1]MarinusPortland!BE6</f>
        <v>7.1358166236087008</v>
      </c>
      <c r="I8" s="78">
        <f>[1]MarinusPortland!BF6</f>
        <v>7.6029405732733828</v>
      </c>
      <c r="J8" s="78">
        <f>[1]MarinusPortland!BG6</f>
        <v>8.3673334612762194</v>
      </c>
      <c r="K8" s="78">
        <f>[1]MarinusPortland!BH6</f>
        <v>7.2206021470704016</v>
      </c>
      <c r="L8" s="78">
        <f>[1]MarinusPortland!BI6</f>
        <v>7.828291085328539</v>
      </c>
      <c r="M8" s="78">
        <f>[1]MarinusPortland!BJ6</f>
        <v>8.3972340265248491</v>
      </c>
      <c r="N8" s="78">
        <f>[1]MarinusPortland!BK6</f>
        <v>10.3842128877825</v>
      </c>
      <c r="O8" s="78">
        <f>[1]MarinusPortland!BL6</f>
        <v>10.099984770455283</v>
      </c>
      <c r="P8" s="78">
        <f>[1]MarinusPortland!BM6</f>
        <v>11.375174783221389</v>
      </c>
      <c r="Q8" s="78">
        <f>[1]MarinusPortland!BN6</f>
        <v>12.90610129832152</v>
      </c>
      <c r="R8" s="78">
        <f>[1]MarinusPortland!BO6</f>
        <v>13.910569386309625</v>
      </c>
      <c r="S8" s="78">
        <f>[1]MarinusPortland!BP6</f>
        <v>14.936753548084198</v>
      </c>
      <c r="T8" s="78">
        <f>[1]MarinusPortland!BQ6</f>
        <v>16.0245928273022</v>
      </c>
    </row>
    <row r="9" spans="1:21" x14ac:dyDescent="0.3">
      <c r="A9" s="3">
        <v>0.5</v>
      </c>
      <c r="B9" s="7">
        <v>0.5</v>
      </c>
      <c r="C9" s="41"/>
      <c r="D9" s="41"/>
      <c r="E9" s="79">
        <f>[1]MarinusPortland!BB7</f>
        <v>3.0182943055123701E-4</v>
      </c>
      <c r="F9" s="79">
        <f>[1]MarinusPortland!BC7</f>
        <v>1.2693933890908227E-3</v>
      </c>
      <c r="G9" s="79">
        <f>[1]MarinusPortland!BD7</f>
        <v>-4.3227907708178748E-3</v>
      </c>
      <c r="H9" s="79">
        <f>[1]MarinusPortland!BE7</f>
        <v>0.32867579810318404</v>
      </c>
      <c r="I9" s="79">
        <f>[1]MarinusPortland!BF7</f>
        <v>4.2739528885533673E-2</v>
      </c>
      <c r="J9" s="79">
        <f>[1]MarinusPortland!BG7</f>
        <v>0.36774964379426223</v>
      </c>
      <c r="K9" s="79">
        <f>[1]MarinusPortland!BH7</f>
        <v>0.17286251846809364</v>
      </c>
      <c r="L9" s="79">
        <f>[1]MarinusPortland!BI7</f>
        <v>-7.0155442404740143E-2</v>
      </c>
      <c r="M9" s="79">
        <f>[1]MarinusPortland!BJ7</f>
        <v>-2.2862293272254419E-3</v>
      </c>
      <c r="N9" s="79">
        <f>[1]MarinusPortland!BK7</f>
        <v>-1.87295812521171E-3</v>
      </c>
      <c r="O9" s="79">
        <f>[1]MarinusPortland!BL7</f>
        <v>0.27772175716975056</v>
      </c>
      <c r="P9" s="79">
        <f>[1]MarinusPortland!BM7</f>
        <v>-0.30159865941556774</v>
      </c>
      <c r="Q9" s="79">
        <f>[1]MarinusPortland!BN7</f>
        <v>-0.69008909968849963</v>
      </c>
      <c r="R9" s="79">
        <f>[1]MarinusPortland!BO7</f>
        <v>-0.67862257282734362</v>
      </c>
      <c r="S9" s="79">
        <f>[1]MarinusPortland!BP7</f>
        <v>-0.57179848036886938</v>
      </c>
      <c r="T9" s="79">
        <f>[1]MarinusPortland!BQ7</f>
        <v>-0.5851629658121098</v>
      </c>
    </row>
    <row r="10" spans="1:21" x14ac:dyDescent="0.3">
      <c r="A10" s="3">
        <v>0.75</v>
      </c>
      <c r="B10" s="5">
        <v>0.25</v>
      </c>
      <c r="C10" s="46"/>
      <c r="D10" s="46"/>
      <c r="E10" s="78">
        <f>[1]MarinusPortland!BB8</f>
        <v>-5.1885847431415577</v>
      </c>
      <c r="F10" s="78">
        <f>[1]MarinusPortland!BC8</f>
        <v>-6.9305146216279958</v>
      </c>
      <c r="G10" s="78">
        <f>[1]MarinusPortland!BD8</f>
        <v>-8.2345906057231275</v>
      </c>
      <c r="H10" s="78">
        <f>[1]MarinusPortland!BE8</f>
        <v>-6.8884300586870228</v>
      </c>
      <c r="I10" s="78">
        <f>[1]MarinusPortland!BF8</f>
        <v>-7.888109386373424</v>
      </c>
      <c r="J10" s="78">
        <f>[1]MarinusPortland!BG8</f>
        <v>-8.5670014701863924</v>
      </c>
      <c r="K10" s="78">
        <f>[1]MarinusPortland!BH8</f>
        <v>-7.444447354643474</v>
      </c>
      <c r="L10" s="78">
        <f>[1]MarinusPortland!BI8</f>
        <v>-8.7813932965104655</v>
      </c>
      <c r="M10" s="78">
        <f>[1]MarinusPortland!BJ8</f>
        <v>-9.2147777937335071</v>
      </c>
      <c r="N10" s="78">
        <f>[1]MarinusPortland!BK8</f>
        <v>-11.060693311411256</v>
      </c>
      <c r="O10" s="78">
        <f>[1]MarinusPortland!BL8</f>
        <v>-11.148983429487966</v>
      </c>
      <c r="P10" s="78">
        <f>[1]MarinusPortland!BM8</f>
        <v>-12.151105187094629</v>
      </c>
      <c r="Q10" s="78">
        <f>[1]MarinusPortland!BN8</f>
        <v>-13.15042668628903</v>
      </c>
      <c r="R10" s="78">
        <f>[1]MarinusPortland!BO8</f>
        <v>-13.735496837653844</v>
      </c>
      <c r="S10" s="78">
        <f>[1]MarinusPortland!BP8</f>
        <v>-13.054246982544434</v>
      </c>
      <c r="T10" s="78">
        <f>[1]MarinusPortland!BQ8</f>
        <v>-14.041571058285786</v>
      </c>
    </row>
    <row r="11" spans="1:21" x14ac:dyDescent="0.3">
      <c r="A11" s="3">
        <v>0.95</v>
      </c>
      <c r="B11" s="3">
        <v>0.05</v>
      </c>
      <c r="C11" s="14"/>
      <c r="D11" s="14"/>
      <c r="E11" s="80">
        <f>[1]MarinusPortland!BB9</f>
        <v>-12.801640963837713</v>
      </c>
      <c r="F11" s="80">
        <f>[1]MarinusPortland!BC9</f>
        <v>-17.848819831057824</v>
      </c>
      <c r="G11" s="80">
        <f>[1]MarinusPortland!BD9</f>
        <v>-20.639676243609792</v>
      </c>
      <c r="H11" s="80">
        <f>[1]MarinusPortland!BE9</f>
        <v>-18.263658580789645</v>
      </c>
      <c r="I11" s="80">
        <f>[1]MarinusPortland!BF9</f>
        <v>-20.452883545418437</v>
      </c>
      <c r="J11" s="80">
        <f>[1]MarinusPortland!BG9</f>
        <v>-22.302311583034776</v>
      </c>
      <c r="K11" s="80">
        <f>[1]MarinusPortland!BH9</f>
        <v>-18.990998771792633</v>
      </c>
      <c r="L11" s="80">
        <f>[1]MarinusPortland!BI9</f>
        <v>-21.303771549089102</v>
      </c>
      <c r="M11" s="80">
        <f>[1]MarinusPortland!BJ9</f>
        <v>-23.437505750389764</v>
      </c>
      <c r="N11" s="80">
        <f>[1]MarinusPortland!BK9</f>
        <v>-28.376775711118036</v>
      </c>
      <c r="O11" s="80">
        <f>[1]MarinusPortland!BL9</f>
        <v>-27.690647490976076</v>
      </c>
      <c r="P11" s="80">
        <f>[1]MarinusPortland!BM9</f>
        <v>-28.561037562525424</v>
      </c>
      <c r="Q11" s="80">
        <f>[1]MarinusPortland!BN9</f>
        <v>-29.688359705969336</v>
      </c>
      <c r="R11" s="80">
        <f>[1]MarinusPortland!BO9</f>
        <v>-30.442796098602081</v>
      </c>
      <c r="S11" s="80">
        <f>[1]MarinusPortland!BP9</f>
        <v>-27.370972510375744</v>
      </c>
      <c r="T11" s="80">
        <f>[1]MarinusPortland!BQ9</f>
        <v>-29.969121373909552</v>
      </c>
    </row>
    <row r="12" spans="1:21" x14ac:dyDescent="0.3">
      <c r="A12" s="3">
        <v>1</v>
      </c>
      <c r="B12" s="3">
        <v>0</v>
      </c>
      <c r="C12" s="14"/>
      <c r="D12" s="14"/>
      <c r="E12" s="80">
        <f>[1]MarinusPortland!BB10</f>
        <v>-30.055145199297023</v>
      </c>
      <c r="F12" s="80">
        <f>[1]MarinusPortland!BC10</f>
        <v>-51.687143259455681</v>
      </c>
      <c r="G12" s="80">
        <f>[1]MarinusPortland!BD10</f>
        <v>-46.42929061311748</v>
      </c>
      <c r="H12" s="80">
        <f>[1]MarinusPortland!BE10</f>
        <v>-49.126830737428172</v>
      </c>
      <c r="I12" s="80">
        <f>[1]MarinusPortland!BF10</f>
        <v>-47.900399782193595</v>
      </c>
      <c r="J12" s="80">
        <f>[1]MarinusPortland!BG10</f>
        <v>-49.386167035978488</v>
      </c>
      <c r="K12" s="80">
        <f>[1]MarinusPortland!BH10</f>
        <v>-43.244412909254436</v>
      </c>
      <c r="L12" s="80">
        <f>[1]MarinusPortland!BI10</f>
        <v>-52.081726877652315</v>
      </c>
      <c r="M12" s="80">
        <f>[1]MarinusPortland!BJ10</f>
        <v>-54.939307966794985</v>
      </c>
      <c r="N12" s="80">
        <f>[1]MarinusPortland!BK10</f>
        <v>-61.518551205897154</v>
      </c>
      <c r="O12" s="80">
        <f>[1]MarinusPortland!BL10</f>
        <v>-69.401961978909668</v>
      </c>
      <c r="P12" s="80">
        <f>[1]MarinusPortland!BM10</f>
        <v>-57.891109708898469</v>
      </c>
      <c r="Q12" s="80">
        <f>[1]MarinusPortland!BN10</f>
        <v>-71.506726272343315</v>
      </c>
      <c r="R12" s="80">
        <f>[1]MarinusPortland!BO10</f>
        <v>-65.144873138612866</v>
      </c>
      <c r="S12" s="80">
        <f>[1]MarinusPortland!BP10</f>
        <v>-59.869570345738168</v>
      </c>
      <c r="T12" s="80">
        <f>[1]MarinusPortland!BQ10</f>
        <v>-67.674688990857234</v>
      </c>
    </row>
    <row r="13" spans="1:21" x14ac:dyDescent="0.3">
      <c r="B13" s="9" t="s">
        <v>19</v>
      </c>
      <c r="C13" s="66"/>
      <c r="D13" s="66"/>
      <c r="E13" s="81">
        <f>[1]MarinusPortland!BB11</f>
        <v>-0.39985770535543019</v>
      </c>
      <c r="F13" s="81">
        <f>[1]MarinusPortland!BC11</f>
        <v>-0.57101803772670123</v>
      </c>
      <c r="G13" s="81">
        <f>[1]MarinusPortland!BD11</f>
        <v>-0.28793402576325589</v>
      </c>
      <c r="H13" s="81">
        <f>[1]MarinusPortland!BE11</f>
        <v>-0.13399466706474428</v>
      </c>
      <c r="I13" s="81">
        <f>[1]MarinusPortland!BF11</f>
        <v>-0.38904145872692414</v>
      </c>
      <c r="J13" s="81">
        <f>[1]MarinusPortland!BG11</f>
        <v>-0.44490614416361224</v>
      </c>
      <c r="K13" s="81">
        <f>[1]MarinusPortland!BH11</f>
        <v>-0.32867607108021168</v>
      </c>
      <c r="L13" s="81">
        <f>[1]MarinusPortland!BI11</f>
        <v>-0.56320495755587541</v>
      </c>
      <c r="M13" s="81">
        <f>[1]MarinusPortland!BJ11</f>
        <v>-0.71804400770036791</v>
      </c>
      <c r="N13" s="81">
        <f>[1]MarinusPortland!BK11</f>
        <v>-0.7852725809893194</v>
      </c>
      <c r="O13" s="81">
        <f>[1]MarinusPortland!BL11</f>
        <v>-0.83821168960948411</v>
      </c>
      <c r="P13" s="81">
        <f>[1]MarinusPortland!BM11</f>
        <v>-0.45317658874807715</v>
      </c>
      <c r="Q13" s="81">
        <f>[1]MarinusPortland!BN11</f>
        <v>4.3287472050959903E-2</v>
      </c>
      <c r="R13" s="81">
        <f>[1]MarinusPortland!BO11</f>
        <v>0.74682204080168924</v>
      </c>
      <c r="S13" s="81">
        <f>[1]MarinusPortland!BP11</f>
        <v>1.9910236406072044</v>
      </c>
      <c r="T13" s="81">
        <f>[1]MarinusPortland!BQ11</f>
        <v>1.9532008350871009</v>
      </c>
    </row>
    <row r="15" spans="1:21" x14ac:dyDescent="0.3">
      <c r="B15" s="1" t="s">
        <v>78</v>
      </c>
      <c r="C15">
        <v>35</v>
      </c>
      <c r="E15" s="77">
        <v>44562</v>
      </c>
      <c r="F15" s="77">
        <v>44927</v>
      </c>
      <c r="G15" s="77">
        <v>45292</v>
      </c>
      <c r="H15" s="77">
        <v>45658</v>
      </c>
      <c r="I15" s="77">
        <v>46023</v>
      </c>
      <c r="J15" s="77">
        <v>46388</v>
      </c>
      <c r="K15" s="77">
        <v>46753</v>
      </c>
      <c r="L15" s="77">
        <v>47119</v>
      </c>
      <c r="M15" s="77">
        <v>47484</v>
      </c>
      <c r="N15" s="77">
        <v>47849</v>
      </c>
      <c r="O15" s="77">
        <v>48214</v>
      </c>
      <c r="P15" s="77">
        <v>48580</v>
      </c>
      <c r="Q15" s="77">
        <v>48945</v>
      </c>
      <c r="R15" s="77">
        <v>49310</v>
      </c>
      <c r="S15" s="77">
        <v>49675</v>
      </c>
      <c r="T15" s="77">
        <v>50041</v>
      </c>
      <c r="U15" s="77">
        <v>50406</v>
      </c>
    </row>
    <row r="16" spans="1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1:20" x14ac:dyDescent="0.3">
      <c r="B17" s="3">
        <v>1</v>
      </c>
      <c r="C17" s="17"/>
      <c r="D17" s="17"/>
      <c r="E17" s="15">
        <f>(F$15-E$15)*24*$C$15</f>
        <v>306600</v>
      </c>
      <c r="F17" s="15">
        <f t="shared" ref="F17:S17" si="0">(G$15-F$15)*24*$C$15</f>
        <v>306600</v>
      </c>
      <c r="G17" s="15">
        <f t="shared" si="0"/>
        <v>307440</v>
      </c>
      <c r="H17" s="15">
        <f t="shared" si="0"/>
        <v>306600</v>
      </c>
      <c r="I17" s="15">
        <f t="shared" si="0"/>
        <v>306600</v>
      </c>
      <c r="J17" s="15">
        <f t="shared" si="0"/>
        <v>306600</v>
      </c>
      <c r="K17" s="15">
        <f t="shared" si="0"/>
        <v>307440</v>
      </c>
      <c r="L17" s="15">
        <f t="shared" si="0"/>
        <v>306600</v>
      </c>
      <c r="M17" s="15">
        <f t="shared" si="0"/>
        <v>306600</v>
      </c>
      <c r="N17" s="15">
        <f t="shared" si="0"/>
        <v>306600</v>
      </c>
      <c r="O17" s="15">
        <f t="shared" si="0"/>
        <v>307440</v>
      </c>
      <c r="P17" s="15">
        <f t="shared" si="0"/>
        <v>306600</v>
      </c>
      <c r="Q17" s="15">
        <f t="shared" si="0"/>
        <v>306600</v>
      </c>
      <c r="R17" s="15">
        <f t="shared" si="0"/>
        <v>306600</v>
      </c>
      <c r="S17" s="15">
        <f t="shared" si="0"/>
        <v>307440</v>
      </c>
      <c r="T17" s="15">
        <f>(U$15-T$15)*24*$C$15</f>
        <v>306600</v>
      </c>
    </row>
    <row r="18" spans="1:20" x14ac:dyDescent="0.3">
      <c r="B18" s="3">
        <v>0.95</v>
      </c>
      <c r="C18" s="17"/>
      <c r="D18" s="17"/>
      <c r="E18" s="15">
        <f t="shared" ref="E18:T24" si="1">(F$15-E$15)*24*$C$15</f>
        <v>306600</v>
      </c>
      <c r="F18" s="15">
        <f t="shared" si="1"/>
        <v>306600</v>
      </c>
      <c r="G18" s="15">
        <f t="shared" si="1"/>
        <v>307440</v>
      </c>
      <c r="H18" s="15">
        <f t="shared" si="1"/>
        <v>306600</v>
      </c>
      <c r="I18" s="15">
        <f t="shared" si="1"/>
        <v>306600</v>
      </c>
      <c r="J18" s="15">
        <f t="shared" si="1"/>
        <v>306600</v>
      </c>
      <c r="K18" s="15">
        <f t="shared" si="1"/>
        <v>307440</v>
      </c>
      <c r="L18" s="15">
        <f t="shared" si="1"/>
        <v>306600</v>
      </c>
      <c r="M18" s="15">
        <f t="shared" si="1"/>
        <v>306600</v>
      </c>
      <c r="N18" s="15">
        <f t="shared" si="1"/>
        <v>306600</v>
      </c>
      <c r="O18" s="15">
        <f t="shared" si="1"/>
        <v>307440</v>
      </c>
      <c r="P18" s="15">
        <f t="shared" si="1"/>
        <v>306600</v>
      </c>
      <c r="Q18" s="15">
        <f t="shared" si="1"/>
        <v>306600</v>
      </c>
      <c r="R18" s="15">
        <f t="shared" si="1"/>
        <v>306600</v>
      </c>
      <c r="S18" s="15">
        <f t="shared" si="1"/>
        <v>307440</v>
      </c>
      <c r="T18" s="15">
        <f t="shared" si="1"/>
        <v>306600</v>
      </c>
    </row>
    <row r="19" spans="1:20" x14ac:dyDescent="0.3">
      <c r="B19" s="5">
        <v>0.75</v>
      </c>
      <c r="C19" s="48"/>
      <c r="D19" s="48"/>
      <c r="E19" s="47">
        <f t="shared" si="1"/>
        <v>306600</v>
      </c>
      <c r="F19" s="47">
        <f t="shared" si="1"/>
        <v>306600</v>
      </c>
      <c r="G19" s="47">
        <f t="shared" si="1"/>
        <v>307440</v>
      </c>
      <c r="H19" s="47">
        <f t="shared" si="1"/>
        <v>306600</v>
      </c>
      <c r="I19" s="47">
        <f t="shared" si="1"/>
        <v>306600</v>
      </c>
      <c r="J19" s="47">
        <f t="shared" si="1"/>
        <v>306600</v>
      </c>
      <c r="K19" s="47">
        <f t="shared" si="1"/>
        <v>307440</v>
      </c>
      <c r="L19" s="47">
        <f t="shared" si="1"/>
        <v>306600</v>
      </c>
      <c r="M19" s="47">
        <f t="shared" si="1"/>
        <v>306600</v>
      </c>
      <c r="N19" s="47">
        <f t="shared" si="1"/>
        <v>306600</v>
      </c>
      <c r="O19" s="47">
        <f t="shared" si="1"/>
        <v>307440</v>
      </c>
      <c r="P19" s="47">
        <f t="shared" si="1"/>
        <v>306600</v>
      </c>
      <c r="Q19" s="47">
        <f t="shared" si="1"/>
        <v>306600</v>
      </c>
      <c r="R19" s="47">
        <f t="shared" si="1"/>
        <v>306600</v>
      </c>
      <c r="S19" s="47">
        <f t="shared" si="1"/>
        <v>307440</v>
      </c>
      <c r="T19" s="47">
        <f t="shared" si="1"/>
        <v>306600</v>
      </c>
    </row>
    <row r="20" spans="1:20" x14ac:dyDescent="0.3">
      <c r="B20" s="7">
        <v>0.5</v>
      </c>
      <c r="C20" s="39"/>
      <c r="D20" s="39"/>
      <c r="E20" s="42">
        <f t="shared" si="1"/>
        <v>306600</v>
      </c>
      <c r="F20" s="42">
        <f t="shared" si="1"/>
        <v>306600</v>
      </c>
      <c r="G20" s="42">
        <f t="shared" si="1"/>
        <v>307440</v>
      </c>
      <c r="H20" s="42">
        <f t="shared" si="1"/>
        <v>306600</v>
      </c>
      <c r="I20" s="42">
        <f t="shared" si="1"/>
        <v>306600</v>
      </c>
      <c r="J20" s="42">
        <f t="shared" si="1"/>
        <v>306600</v>
      </c>
      <c r="K20" s="42">
        <f t="shared" si="1"/>
        <v>307440</v>
      </c>
      <c r="L20" s="42">
        <f t="shared" si="1"/>
        <v>306600</v>
      </c>
      <c r="M20" s="42">
        <f t="shared" si="1"/>
        <v>306600</v>
      </c>
      <c r="N20" s="42">
        <f t="shared" si="1"/>
        <v>306600</v>
      </c>
      <c r="O20" s="42">
        <f t="shared" si="1"/>
        <v>307440</v>
      </c>
      <c r="P20" s="42">
        <f t="shared" si="1"/>
        <v>306600</v>
      </c>
      <c r="Q20" s="42">
        <f t="shared" si="1"/>
        <v>306600</v>
      </c>
      <c r="R20" s="42">
        <f t="shared" si="1"/>
        <v>306600</v>
      </c>
      <c r="S20" s="42">
        <f t="shared" si="1"/>
        <v>307440</v>
      </c>
      <c r="T20" s="42">
        <f t="shared" si="1"/>
        <v>306600</v>
      </c>
    </row>
    <row r="21" spans="1:20" x14ac:dyDescent="0.3">
      <c r="B21" s="5">
        <v>0.25</v>
      </c>
      <c r="C21" s="48"/>
      <c r="D21" s="48"/>
      <c r="E21" s="47">
        <f t="shared" si="1"/>
        <v>306600</v>
      </c>
      <c r="F21" s="47">
        <f t="shared" si="1"/>
        <v>306600</v>
      </c>
      <c r="G21" s="47">
        <f t="shared" si="1"/>
        <v>307440</v>
      </c>
      <c r="H21" s="47">
        <f t="shared" si="1"/>
        <v>306600</v>
      </c>
      <c r="I21" s="47">
        <f t="shared" si="1"/>
        <v>306600</v>
      </c>
      <c r="J21" s="47">
        <f t="shared" si="1"/>
        <v>306600</v>
      </c>
      <c r="K21" s="47">
        <f t="shared" si="1"/>
        <v>307440</v>
      </c>
      <c r="L21" s="47">
        <f t="shared" si="1"/>
        <v>306600</v>
      </c>
      <c r="M21" s="47">
        <f t="shared" si="1"/>
        <v>306600</v>
      </c>
      <c r="N21" s="47">
        <f t="shared" si="1"/>
        <v>306600</v>
      </c>
      <c r="O21" s="47">
        <f t="shared" si="1"/>
        <v>307440</v>
      </c>
      <c r="P21" s="47">
        <f t="shared" si="1"/>
        <v>306600</v>
      </c>
      <c r="Q21" s="47">
        <f t="shared" si="1"/>
        <v>306600</v>
      </c>
      <c r="R21" s="47">
        <f t="shared" si="1"/>
        <v>306600</v>
      </c>
      <c r="S21" s="47">
        <f t="shared" si="1"/>
        <v>307440</v>
      </c>
      <c r="T21" s="47">
        <f t="shared" si="1"/>
        <v>306600</v>
      </c>
    </row>
    <row r="22" spans="1:20" x14ac:dyDescent="0.3">
      <c r="B22" s="3">
        <v>0.05</v>
      </c>
      <c r="C22" s="17"/>
      <c r="D22" s="17"/>
      <c r="E22" s="15">
        <f t="shared" si="1"/>
        <v>306600</v>
      </c>
      <c r="F22" s="15">
        <f t="shared" si="1"/>
        <v>306600</v>
      </c>
      <c r="G22" s="15">
        <f t="shared" si="1"/>
        <v>307440</v>
      </c>
      <c r="H22" s="15">
        <f t="shared" si="1"/>
        <v>306600</v>
      </c>
      <c r="I22" s="15">
        <f t="shared" si="1"/>
        <v>306600</v>
      </c>
      <c r="J22" s="15">
        <f t="shared" si="1"/>
        <v>306600</v>
      </c>
      <c r="K22" s="15">
        <f t="shared" si="1"/>
        <v>307440</v>
      </c>
      <c r="L22" s="15">
        <f t="shared" si="1"/>
        <v>306600</v>
      </c>
      <c r="M22" s="15">
        <f t="shared" si="1"/>
        <v>306600</v>
      </c>
      <c r="N22" s="15">
        <f t="shared" si="1"/>
        <v>306600</v>
      </c>
      <c r="O22" s="15">
        <f t="shared" si="1"/>
        <v>307440</v>
      </c>
      <c r="P22" s="15">
        <f t="shared" si="1"/>
        <v>306600</v>
      </c>
      <c r="Q22" s="15">
        <f t="shared" si="1"/>
        <v>306600</v>
      </c>
      <c r="R22" s="15">
        <f t="shared" si="1"/>
        <v>306600</v>
      </c>
      <c r="S22" s="15">
        <f t="shared" si="1"/>
        <v>307440</v>
      </c>
      <c r="T22" s="15">
        <f t="shared" si="1"/>
        <v>306600</v>
      </c>
    </row>
    <row r="23" spans="1:20" x14ac:dyDescent="0.3">
      <c r="B23" s="3">
        <v>0</v>
      </c>
      <c r="C23" s="17"/>
      <c r="D23" s="17"/>
      <c r="E23" s="15">
        <f t="shared" si="1"/>
        <v>306600</v>
      </c>
      <c r="F23" s="15">
        <f t="shared" si="1"/>
        <v>306600</v>
      </c>
      <c r="G23" s="15">
        <f t="shared" si="1"/>
        <v>307440</v>
      </c>
      <c r="H23" s="15">
        <f t="shared" si="1"/>
        <v>306600</v>
      </c>
      <c r="I23" s="15">
        <f t="shared" si="1"/>
        <v>306600</v>
      </c>
      <c r="J23" s="15">
        <f t="shared" si="1"/>
        <v>306600</v>
      </c>
      <c r="K23" s="15">
        <f t="shared" si="1"/>
        <v>307440</v>
      </c>
      <c r="L23" s="15">
        <f t="shared" si="1"/>
        <v>306600</v>
      </c>
      <c r="M23" s="15">
        <f t="shared" si="1"/>
        <v>306600</v>
      </c>
      <c r="N23" s="15">
        <f t="shared" si="1"/>
        <v>306600</v>
      </c>
      <c r="O23" s="15">
        <f t="shared" si="1"/>
        <v>307440</v>
      </c>
      <c r="P23" s="15">
        <f t="shared" si="1"/>
        <v>306600</v>
      </c>
      <c r="Q23" s="15">
        <f t="shared" si="1"/>
        <v>306600</v>
      </c>
      <c r="R23" s="15">
        <f t="shared" si="1"/>
        <v>306600</v>
      </c>
      <c r="S23" s="15">
        <f t="shared" si="1"/>
        <v>307440</v>
      </c>
      <c r="T23" s="15">
        <f t="shared" si="1"/>
        <v>306600</v>
      </c>
    </row>
    <row r="24" spans="1:20" x14ac:dyDescent="0.3">
      <c r="B24" s="9" t="s">
        <v>29</v>
      </c>
      <c r="C24" s="48"/>
      <c r="D24" s="48"/>
      <c r="E24" s="47">
        <f t="shared" si="1"/>
        <v>306600</v>
      </c>
      <c r="F24" s="47">
        <f t="shared" si="1"/>
        <v>306600</v>
      </c>
      <c r="G24" s="47">
        <f t="shared" si="1"/>
        <v>307440</v>
      </c>
      <c r="H24" s="47">
        <f t="shared" si="1"/>
        <v>306600</v>
      </c>
      <c r="I24" s="47">
        <f t="shared" si="1"/>
        <v>306600</v>
      </c>
      <c r="J24" s="47">
        <f t="shared" si="1"/>
        <v>306600</v>
      </c>
      <c r="K24" s="47">
        <f t="shared" si="1"/>
        <v>307440</v>
      </c>
      <c r="L24" s="47">
        <f t="shared" si="1"/>
        <v>306600</v>
      </c>
      <c r="M24" s="47">
        <f t="shared" si="1"/>
        <v>306600</v>
      </c>
      <c r="N24" s="47">
        <f t="shared" si="1"/>
        <v>306600</v>
      </c>
      <c r="O24" s="47">
        <f t="shared" si="1"/>
        <v>307440</v>
      </c>
      <c r="P24" s="47">
        <f t="shared" si="1"/>
        <v>306600</v>
      </c>
      <c r="Q24" s="47">
        <f t="shared" si="1"/>
        <v>306600</v>
      </c>
      <c r="R24" s="47">
        <f t="shared" si="1"/>
        <v>306600</v>
      </c>
      <c r="S24" s="47">
        <f t="shared" si="1"/>
        <v>307440</v>
      </c>
      <c r="T24" s="47">
        <f t="shared" si="1"/>
        <v>306600</v>
      </c>
    </row>
    <row r="26" spans="1:20" x14ac:dyDescent="0.3">
      <c r="B26" s="1" t="s">
        <v>73</v>
      </c>
      <c r="E26" s="3"/>
      <c r="F26" s="3"/>
    </row>
    <row r="27" spans="1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0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E17*E6</f>
        <v>7378144.2146676332</v>
      </c>
      <c r="F28" s="73">
        <f t="shared" ref="F28:T28" si="3">F17*F6</f>
        <v>10027127.994788829</v>
      </c>
      <c r="G28" s="73">
        <f t="shared" si="3"/>
        <v>11924784.01556894</v>
      </c>
      <c r="H28" s="73">
        <f t="shared" si="3"/>
        <v>10095271.477715801</v>
      </c>
      <c r="I28" s="73">
        <f t="shared" si="3"/>
        <v>12721376.261145793</v>
      </c>
      <c r="J28" s="73">
        <f t="shared" si="3"/>
        <v>14690052.361895915</v>
      </c>
      <c r="K28" s="73">
        <f t="shared" si="3"/>
        <v>10076966.426589588</v>
      </c>
      <c r="L28" s="73">
        <f t="shared" si="3"/>
        <v>12214883.419456434</v>
      </c>
      <c r="M28" s="73">
        <f t="shared" si="3"/>
        <v>11597644.230425859</v>
      </c>
      <c r="N28" s="73">
        <f t="shared" si="3"/>
        <v>16048624.034002012</v>
      </c>
      <c r="O28" s="73">
        <f t="shared" si="3"/>
        <v>14936568.197557278</v>
      </c>
      <c r="P28" s="73">
        <f t="shared" si="3"/>
        <v>16125272.115913125</v>
      </c>
      <c r="Q28" s="73">
        <f t="shared" si="3"/>
        <v>19041876.804225415</v>
      </c>
      <c r="R28" s="73">
        <f t="shared" si="3"/>
        <v>23242119.11033351</v>
      </c>
      <c r="S28" s="73">
        <f t="shared" si="3"/>
        <v>21773614.066425137</v>
      </c>
      <c r="T28" s="73">
        <f t="shared" si="3"/>
        <v>27292855.414072435</v>
      </c>
    </row>
    <row r="29" spans="1:20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5" si="4">E18*E7</f>
        <v>3305517.361466316</v>
      </c>
      <c r="F29" s="73">
        <f t="shared" si="4"/>
        <v>4493800.4094558423</v>
      </c>
      <c r="G29" s="73">
        <f t="shared" si="4"/>
        <v>5888229.0578002948</v>
      </c>
      <c r="H29" s="73">
        <f t="shared" si="4"/>
        <v>5063190.5790629871</v>
      </c>
      <c r="I29" s="73">
        <f t="shared" si="4"/>
        <v>5586877.5939936759</v>
      </c>
      <c r="J29" s="73">
        <f t="shared" si="4"/>
        <v>5823358.5533748129</v>
      </c>
      <c r="K29" s="73">
        <f t="shared" si="4"/>
        <v>5111055.8270826451</v>
      </c>
      <c r="L29" s="73">
        <f t="shared" si="4"/>
        <v>5771698.2735815914</v>
      </c>
      <c r="M29" s="73">
        <f t="shared" si="4"/>
        <v>5897538.5327206925</v>
      </c>
      <c r="N29" s="73">
        <f t="shared" si="4"/>
        <v>7319410.7111703753</v>
      </c>
      <c r="O29" s="73">
        <f t="shared" si="4"/>
        <v>7060266.2572589591</v>
      </c>
      <c r="P29" s="73">
        <f t="shared" si="4"/>
        <v>8327437.8374069324</v>
      </c>
      <c r="Q29" s="73">
        <f t="shared" si="4"/>
        <v>9704141.8645731453</v>
      </c>
      <c r="R29" s="73">
        <f t="shared" si="4"/>
        <v>11284215.450230345</v>
      </c>
      <c r="S29" s="73">
        <f t="shared" si="4"/>
        <v>12205899.659661293</v>
      </c>
      <c r="T29" s="73">
        <f t="shared" si="4"/>
        <v>13037941.356885795</v>
      </c>
    </row>
    <row r="30" spans="1:20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1411985.7959917195</v>
      </c>
      <c r="F30" s="74">
        <f t="shared" si="4"/>
        <v>1958943.5200518938</v>
      </c>
      <c r="G30" s="74">
        <f t="shared" si="4"/>
        <v>2489219.4461912522</v>
      </c>
      <c r="H30" s="74">
        <f t="shared" si="4"/>
        <v>2187841.3767984277</v>
      </c>
      <c r="I30" s="74">
        <f t="shared" si="4"/>
        <v>2331061.5797656192</v>
      </c>
      <c r="J30" s="74">
        <f t="shared" si="4"/>
        <v>2565424.4392272891</v>
      </c>
      <c r="K30" s="74">
        <f t="shared" si="4"/>
        <v>2219901.9240953242</v>
      </c>
      <c r="L30" s="74">
        <f t="shared" si="4"/>
        <v>2400154.0467617302</v>
      </c>
      <c r="M30" s="74">
        <f t="shared" si="4"/>
        <v>2574591.9525325187</v>
      </c>
      <c r="N30" s="74">
        <f t="shared" si="4"/>
        <v>3183799.6713941144</v>
      </c>
      <c r="O30" s="74">
        <f t="shared" si="4"/>
        <v>3105139.3178287721</v>
      </c>
      <c r="P30" s="74">
        <f t="shared" si="4"/>
        <v>3487628.5885356781</v>
      </c>
      <c r="Q30" s="74">
        <f t="shared" si="4"/>
        <v>3957010.6580653782</v>
      </c>
      <c r="R30" s="74">
        <f t="shared" si="4"/>
        <v>4264980.5738425311</v>
      </c>
      <c r="S30" s="74">
        <f t="shared" si="4"/>
        <v>4592155.5108230058</v>
      </c>
      <c r="T30" s="74">
        <f t="shared" si="4"/>
        <v>4913140.1608508546</v>
      </c>
    </row>
    <row r="31" spans="1:20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92.540903407009267</v>
      </c>
      <c r="F31" s="75">
        <f t="shared" si="4"/>
        <v>389.19601309524626</v>
      </c>
      <c r="G31" s="75">
        <f t="shared" si="4"/>
        <v>-1328.9987945802475</v>
      </c>
      <c r="H31" s="75">
        <f t="shared" si="4"/>
        <v>100771.99969843622</v>
      </c>
      <c r="I31" s="75">
        <f t="shared" si="4"/>
        <v>13103.939556304624</v>
      </c>
      <c r="J31" s="75">
        <f t="shared" si="4"/>
        <v>112752.0407873208</v>
      </c>
      <c r="K31" s="75">
        <f t="shared" si="4"/>
        <v>53144.852677830706</v>
      </c>
      <c r="L31" s="75">
        <f t="shared" si="4"/>
        <v>-21509.658641293328</v>
      </c>
      <c r="M31" s="75">
        <f t="shared" si="4"/>
        <v>-700.95791172732049</v>
      </c>
      <c r="N31" s="75">
        <f t="shared" si="4"/>
        <v>-574.24896118991023</v>
      </c>
      <c r="O31" s="75">
        <f t="shared" si="4"/>
        <v>85382.777024268114</v>
      </c>
      <c r="P31" s="75">
        <f t="shared" si="4"/>
        <v>-92470.14897681307</v>
      </c>
      <c r="Q31" s="75">
        <f t="shared" si="4"/>
        <v>-211581.317964494</v>
      </c>
      <c r="R31" s="75">
        <f t="shared" si="4"/>
        <v>-208065.68082886355</v>
      </c>
      <c r="S31" s="75">
        <f t="shared" si="4"/>
        <v>-175793.72480460521</v>
      </c>
      <c r="T31" s="75">
        <f t="shared" si="4"/>
        <v>-179410.96531799287</v>
      </c>
    </row>
    <row r="32" spans="1:20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-1590820.0822472016</v>
      </c>
      <c r="F32" s="74">
        <f t="shared" si="4"/>
        <v>-2124895.7829911434</v>
      </c>
      <c r="G32" s="74">
        <f t="shared" si="4"/>
        <v>-2531642.5358235184</v>
      </c>
      <c r="H32" s="74">
        <f t="shared" si="4"/>
        <v>-2111992.6559934411</v>
      </c>
      <c r="I32" s="74">
        <f t="shared" si="4"/>
        <v>-2418494.3378620916</v>
      </c>
      <c r="J32" s="74">
        <f t="shared" si="4"/>
        <v>-2626642.6507591479</v>
      </c>
      <c r="K32" s="74">
        <f t="shared" si="4"/>
        <v>-2288720.8947115894</v>
      </c>
      <c r="L32" s="74">
        <f t="shared" si="4"/>
        <v>-2692375.1847101087</v>
      </c>
      <c r="M32" s="74">
        <f t="shared" si="4"/>
        <v>-2825250.8715586932</v>
      </c>
      <c r="N32" s="74">
        <f t="shared" si="4"/>
        <v>-3391208.5692786914</v>
      </c>
      <c r="O32" s="74">
        <f t="shared" si="4"/>
        <v>-3427643.4655617806</v>
      </c>
      <c r="P32" s="74">
        <f t="shared" si="4"/>
        <v>-3725528.8503632131</v>
      </c>
      <c r="Q32" s="74">
        <f t="shared" si="4"/>
        <v>-4031920.8220162168</v>
      </c>
      <c r="R32" s="74">
        <f t="shared" si="4"/>
        <v>-4211303.3304246683</v>
      </c>
      <c r="S32" s="74">
        <f t="shared" si="4"/>
        <v>-4013397.6923134611</v>
      </c>
      <c r="T32" s="74">
        <f t="shared" si="4"/>
        <v>-4305145.686470422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-3924983.1195126427</v>
      </c>
      <c r="F33" s="73">
        <f t="shared" si="4"/>
        <v>-5472448.160202329</v>
      </c>
      <c r="G33" s="73">
        <f t="shared" si="4"/>
        <v>-6345462.0643353947</v>
      </c>
      <c r="H33" s="73">
        <f t="shared" si="4"/>
        <v>-5599637.7208701055</v>
      </c>
      <c r="I33" s="73">
        <f t="shared" si="4"/>
        <v>-6270854.0950252926</v>
      </c>
      <c r="J33" s="73">
        <f t="shared" si="4"/>
        <v>-6837888.731358462</v>
      </c>
      <c r="K33" s="73">
        <f t="shared" si="4"/>
        <v>-5838592.6623999272</v>
      </c>
      <c r="L33" s="73">
        <f t="shared" si="4"/>
        <v>-6531736.3569507189</v>
      </c>
      <c r="M33" s="73">
        <f t="shared" si="4"/>
        <v>-7185939.2630695021</v>
      </c>
      <c r="N33" s="73">
        <f t="shared" si="4"/>
        <v>-8700319.4330287892</v>
      </c>
      <c r="O33" s="73">
        <f t="shared" si="4"/>
        <v>-8513212.6646256857</v>
      </c>
      <c r="P33" s="73">
        <f t="shared" si="4"/>
        <v>-8756814.1166702956</v>
      </c>
      <c r="Q33" s="73">
        <f t="shared" si="4"/>
        <v>-9102451.0858501978</v>
      </c>
      <c r="R33" s="73">
        <f t="shared" si="4"/>
        <v>-9333761.2838313971</v>
      </c>
      <c r="S33" s="73">
        <f t="shared" si="4"/>
        <v>-8414931.788589919</v>
      </c>
      <c r="T33" s="73">
        <f t="shared" si="4"/>
        <v>-9188532.6132406686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-9214907.5181044675</v>
      </c>
      <c r="F34" s="73">
        <f t="shared" si="4"/>
        <v>-15847278.123349112</v>
      </c>
      <c r="G34" s="73">
        <f t="shared" si="4"/>
        <v>-14274221.106096838</v>
      </c>
      <c r="H34" s="73">
        <f t="shared" si="4"/>
        <v>-15062286.304095477</v>
      </c>
      <c r="I34" s="73">
        <f t="shared" si="4"/>
        <v>-14686262.573220557</v>
      </c>
      <c r="J34" s="73">
        <f t="shared" si="4"/>
        <v>-15141798.813231004</v>
      </c>
      <c r="K34" s="73">
        <f t="shared" si="4"/>
        <v>-13295062.304821184</v>
      </c>
      <c r="L34" s="73">
        <f t="shared" si="4"/>
        <v>-15968257.4606882</v>
      </c>
      <c r="M34" s="73">
        <f t="shared" si="4"/>
        <v>-16844391.822619341</v>
      </c>
      <c r="N34" s="73">
        <f t="shared" si="4"/>
        <v>-18861587.799728066</v>
      </c>
      <c r="O34" s="73">
        <f t="shared" si="4"/>
        <v>-21336939.190795988</v>
      </c>
      <c r="P34" s="73">
        <f t="shared" si="4"/>
        <v>-17749414.236748271</v>
      </c>
      <c r="Q34" s="73">
        <f t="shared" si="4"/>
        <v>-21923962.275100458</v>
      </c>
      <c r="R34" s="73">
        <f t="shared" si="4"/>
        <v>-19973418.104298703</v>
      </c>
      <c r="S34" s="73">
        <f t="shared" si="4"/>
        <v>-18406300.707093742</v>
      </c>
      <c r="T34" s="73">
        <f t="shared" si="4"/>
        <v>-20749059.644596826</v>
      </c>
    </row>
    <row r="35" spans="1:20" x14ac:dyDescent="0.3">
      <c r="B35" s="9" t="s">
        <v>29</v>
      </c>
      <c r="C35" s="51">
        <f t="shared" si="2"/>
        <v>0</v>
      </c>
      <c r="D35" s="51"/>
      <c r="E35" s="74">
        <f t="shared" si="4"/>
        <v>-122596.3724619749</v>
      </c>
      <c r="F35" s="74">
        <f t="shared" si="4"/>
        <v>-175074.13036700661</v>
      </c>
      <c r="G35" s="74">
        <f t="shared" si="4"/>
        <v>-88522.436880655383</v>
      </c>
      <c r="H35" s="74">
        <f t="shared" si="4"/>
        <v>-41082.764922050592</v>
      </c>
      <c r="I35" s="74">
        <f t="shared" si="4"/>
        <v>-119280.11124567494</v>
      </c>
      <c r="J35" s="74">
        <f t="shared" si="4"/>
        <v>-136408.22380056352</v>
      </c>
      <c r="K35" s="74">
        <f t="shared" si="4"/>
        <v>-101048.17129290028</v>
      </c>
      <c r="L35" s="74">
        <f t="shared" si="4"/>
        <v>-172678.6399866314</v>
      </c>
      <c r="M35" s="74">
        <f t="shared" si="4"/>
        <v>-220152.29276093279</v>
      </c>
      <c r="N35" s="74">
        <f t="shared" si="4"/>
        <v>-240764.57333132531</v>
      </c>
      <c r="O35" s="74">
        <f t="shared" si="4"/>
        <v>-257699.8018535398</v>
      </c>
      <c r="P35" s="74">
        <f t="shared" si="4"/>
        <v>-138943.94211016045</v>
      </c>
      <c r="Q35" s="74">
        <f t="shared" si="4"/>
        <v>13271.938930824306</v>
      </c>
      <c r="R35" s="74">
        <f t="shared" si="4"/>
        <v>228975.63770979791</v>
      </c>
      <c r="S35" s="74">
        <f t="shared" si="4"/>
        <v>612120.30806827894</v>
      </c>
      <c r="T35" s="74">
        <f t="shared" si="4"/>
        <v>598851.37603770511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5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5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5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5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5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5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5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5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5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5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5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5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5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5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5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5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5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5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5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5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5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5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5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5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5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5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5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5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5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5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5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5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5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5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5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5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5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5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5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5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5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5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5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5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5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5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5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5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5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5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5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5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5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5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5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5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5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5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5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5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5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5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5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5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6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6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6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6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6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6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6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6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6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6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6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6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6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6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6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6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6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6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6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6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6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6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6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6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6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6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6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6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6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6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6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6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6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6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6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6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6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6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6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6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6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6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6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6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6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6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6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6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6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6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6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6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6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6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6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6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6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6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6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6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6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6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6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6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7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7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7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7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7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7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7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7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7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7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7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7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7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7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7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7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7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7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7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7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7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7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7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7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7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7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7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7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7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7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7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7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7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7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7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7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7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7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7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7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7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7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7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7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7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7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7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7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7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7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7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7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7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7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7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7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7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7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7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7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7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7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7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7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8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8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8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8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8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8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8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8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8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8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8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8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8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8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8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8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8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8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8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8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8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8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8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8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8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8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8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8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8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8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8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8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8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8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8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8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8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8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8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8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8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8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8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8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8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8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8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8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8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8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8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8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8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8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8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8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8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8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8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8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8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8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8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8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9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9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9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9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9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9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9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9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9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9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9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9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9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9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9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9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9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9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9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9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9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9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9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9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9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9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9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9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9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9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9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9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9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9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9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9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9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9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9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9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9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9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9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9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9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9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9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9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9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9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9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9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9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9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9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9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9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9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9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9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9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9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9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9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0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0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0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0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0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0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0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0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0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0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0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0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0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0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0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0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0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0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0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0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0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0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0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0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0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0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0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0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0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0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0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0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0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0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0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0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0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0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0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0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0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0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0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0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0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0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0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0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0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0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0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0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0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0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0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0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0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0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0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0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0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0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0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0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1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1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1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1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1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1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1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1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1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1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1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1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1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1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1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1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1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1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1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1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1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1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1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1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1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1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1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1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1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1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1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1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1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1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1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1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1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1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1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1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1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1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1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1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1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1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1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1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1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1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1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1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1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1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1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1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1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1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1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1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1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1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1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1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2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2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2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2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2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2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2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2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2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2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2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2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2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2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2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2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2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2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2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2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2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2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2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2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2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2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2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2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2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2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2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2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2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2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2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2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2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2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2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2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2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2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2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2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2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2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2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2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2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2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2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2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2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2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2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2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2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2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2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2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2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2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2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2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3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3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3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3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3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3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3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3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3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3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3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3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3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3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3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3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3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3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3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3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3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3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3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3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3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3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3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3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3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3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3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3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3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3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3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3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3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3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3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3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3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3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3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3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3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3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3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3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3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3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3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3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3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3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3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3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3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3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3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3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3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3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3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3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4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4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4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4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4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4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4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4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4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4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4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4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4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4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4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4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4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4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4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4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4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4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4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4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4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4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4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4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4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4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4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4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4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4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4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4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4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4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4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4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4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4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4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4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4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4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4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4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4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4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4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4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4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4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4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4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4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4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4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4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4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4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4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4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5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5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5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5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5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5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5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5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5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5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5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5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5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5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5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5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5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5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5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5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5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5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5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5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5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5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5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5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5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5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5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5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5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5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5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5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5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5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5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5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5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5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5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5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5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5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5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5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5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5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5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5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5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5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5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5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5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5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5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5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5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5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5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5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6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6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6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6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6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6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6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6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6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6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6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6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6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6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6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6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6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6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6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6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6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6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6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6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6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6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6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6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6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6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6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6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6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6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6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6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6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6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6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6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6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6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6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6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6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6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6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6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6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6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6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6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6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6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6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6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6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6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6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6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6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6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6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6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7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7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7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7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7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7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7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7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7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7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7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7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7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7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7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7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7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7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7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7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7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7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7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7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7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7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7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7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7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7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7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7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7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7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7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7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7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7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7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7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7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7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7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7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7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7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7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7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7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7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7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7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7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7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7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7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7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7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7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7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7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7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7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7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18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18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18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18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18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18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18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18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18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18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18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18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18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18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18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18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18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18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18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18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18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18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18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18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18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18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18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18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18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18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18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18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18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18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18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18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18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18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18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18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18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18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18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18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18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18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18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18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18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18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18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18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18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18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18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18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18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18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18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18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18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18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18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18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19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19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19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19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19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19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19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19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19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19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19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19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19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19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19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19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19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19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19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19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19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19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19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19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19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19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19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19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19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19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19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19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19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19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19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19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19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19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19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19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19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19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19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19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19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19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19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19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19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19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19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19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19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19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19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19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19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19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19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19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19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19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19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19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0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0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0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0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0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0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0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0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0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0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0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0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0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0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0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0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0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0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0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0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0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0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0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0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0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0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0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0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0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0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0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0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0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0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0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0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0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0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0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0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0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0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0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0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0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0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0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0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0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0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0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0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0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0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0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0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0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0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0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0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0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0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0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0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1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1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1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1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1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1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1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1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1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1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1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1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1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1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1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1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1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1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1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1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1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1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1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1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1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1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1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1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1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1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1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1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1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1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1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1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1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1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1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1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1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1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1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1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1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1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1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1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1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1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1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1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1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1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1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1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1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1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1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1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1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1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1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1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2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2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2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2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2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2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2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2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2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2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2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2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2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2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2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2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2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2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2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2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2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2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2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2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2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2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2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2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2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2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2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2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2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2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2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2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2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2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2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2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2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2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2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2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2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2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2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2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2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2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2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2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2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2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2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2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2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2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2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2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2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2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2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2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3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3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3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3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3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3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3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3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3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3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3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3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3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3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3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3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3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3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3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3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3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3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3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3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3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3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3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3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3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3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3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3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3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3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3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3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3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3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3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3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3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3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3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3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3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3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3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3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3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3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3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3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3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3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3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3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3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3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3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3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3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3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3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3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4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4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4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4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4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4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4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4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4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4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4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4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4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4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4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4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4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4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4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4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4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4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4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4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4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4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4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4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4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4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4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4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4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4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4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4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4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4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4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4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4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4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4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4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4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4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4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4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4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4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4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4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4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4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4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4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4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4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4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4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4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4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4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4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5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5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5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5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5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5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5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5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5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5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5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5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5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5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5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5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5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5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5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5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5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5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5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5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5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5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5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5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5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5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5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5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5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5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5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5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5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5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5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5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5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5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5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5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5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5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5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5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5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5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5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5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5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5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5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5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5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5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5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5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5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5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5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5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6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6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6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6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6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6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6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6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6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6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6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6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6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6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6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6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6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6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6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6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6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6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6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6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6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6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6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6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6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6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6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6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6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6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6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6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6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6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6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6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6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6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6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6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6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6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6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6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6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6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6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6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6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6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6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6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6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6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6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6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6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6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6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6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7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7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7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7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7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7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7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7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7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7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7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7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7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7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7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7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7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7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7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7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7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CEA7-BE00-41FE-B172-5DE9DC803C2A}">
  <dimension ref="B2:T2216"/>
  <sheetViews>
    <sheetView topLeftCell="D1" workbookViewId="0">
      <selection activeCell="N21" sqref="N21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-2.707682188700089E-2</v>
      </c>
      <c r="K6" s="14">
        <f>'Spot Prices'!K29</f>
        <v>-7.0356481385946745E-2</v>
      </c>
      <c r="L6" s="14">
        <f>'Spot Prices'!L29</f>
        <v>-6.2112118915123915E-2</v>
      </c>
      <c r="M6" s="14">
        <f>'Spot Prices'!M29</f>
        <v>-6.9063791746274972E-2</v>
      </c>
      <c r="N6" s="14">
        <f>'Spot Prices'!N29</f>
        <v>-8.8118410167702388E-3</v>
      </c>
      <c r="O6" s="14">
        <f>'Spot Prices'!O29</f>
        <v>-6.6249221704253514E-2</v>
      </c>
      <c r="P6" s="14">
        <f>'Spot Prices'!P29</f>
        <v>-6.6249221704253514E-2</v>
      </c>
      <c r="Q6" s="14">
        <f>'Spot Prices'!Q29</f>
        <v>-6.6249221704253514E-2</v>
      </c>
      <c r="R6" s="14">
        <f>'Spot Prices'!R29</f>
        <v>-6.6249221704253514E-2</v>
      </c>
      <c r="S6" s="14">
        <f>'Spot Prices'!S29</f>
        <v>-6.6249221704253514E-2</v>
      </c>
      <c r="T6" s="14">
        <f>'Spot Prices'!T29</f>
        <v>-6.6249221704253514E-2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-6.8254090889995456E-2</v>
      </c>
      <c r="K7" s="14">
        <f>'Spot Prices'!K30</f>
        <v>-0.11180964081406086</v>
      </c>
      <c r="L7" s="14">
        <f>'Spot Prices'!L30</f>
        <v>-0.10939493391806532</v>
      </c>
      <c r="M7" s="14">
        <f>'Spot Prices'!M30</f>
        <v>-0.12947574442401111</v>
      </c>
      <c r="N7" s="14">
        <f>'Spot Prices'!N30</f>
        <v>-7.0637463138707668E-2</v>
      </c>
      <c r="O7" s="14">
        <f>'Spot Prices'!O30</f>
        <v>-0.12232387246950638</v>
      </c>
      <c r="P7" s="14">
        <f>'Spot Prices'!P30</f>
        <v>-0.12232387246950638</v>
      </c>
      <c r="Q7" s="14">
        <f>'Spot Prices'!Q30</f>
        <v>-0.12232387246950649</v>
      </c>
      <c r="R7" s="14">
        <f>'Spot Prices'!R30</f>
        <v>-0.12232387246950649</v>
      </c>
      <c r="S7" s="14">
        <f>'Spot Prices'!S30</f>
        <v>-0.12232387246950638</v>
      </c>
      <c r="T7" s="14">
        <f>'Spot Prices'!T30</f>
        <v>-0.12232387246950638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-9.9563870000832222E-2</v>
      </c>
      <c r="K8" s="46">
        <f>'Spot Prices'!K31</f>
        <v>-0.13412127643991212</v>
      </c>
      <c r="L8" s="46">
        <f>'Spot Prices'!L31</f>
        <v>-0.12657506718378619</v>
      </c>
      <c r="M8" s="46">
        <f>'Spot Prices'!M31</f>
        <v>-0.15085775705829008</v>
      </c>
      <c r="N8" s="46">
        <f>'Spot Prices'!N31</f>
        <v>-8.4978918131081826E-2</v>
      </c>
      <c r="O8" s="46">
        <f>'Spot Prices'!O31</f>
        <v>-0.13750829031540812</v>
      </c>
      <c r="P8" s="46">
        <f>'Spot Prices'!P31</f>
        <v>-0.13750829031540812</v>
      </c>
      <c r="Q8" s="46">
        <f>'Spot Prices'!Q31</f>
        <v>-0.13750829031540812</v>
      </c>
      <c r="R8" s="46">
        <f>'Spot Prices'!R31</f>
        <v>-0.13750829031540812</v>
      </c>
      <c r="S8" s="46">
        <f>'Spot Prices'!S31</f>
        <v>-0.13750829031540823</v>
      </c>
      <c r="T8" s="46">
        <f>'Spot Prices'!T31</f>
        <v>-0.13750829031540812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-0.11057490781087875</v>
      </c>
      <c r="K9" s="41">
        <f>'Spot Prices'!K32</f>
        <v>-0.14146185960568947</v>
      </c>
      <c r="L9" s="41">
        <f>'Spot Prices'!L32</f>
        <v>-0.1354988687452493</v>
      </c>
      <c r="M9" s="41">
        <f>'Spot Prices'!M32</f>
        <v>-0.16540932232235739</v>
      </c>
      <c r="N9" s="41">
        <f>'Spot Prices'!N32</f>
        <v>-9.066506822769782E-2</v>
      </c>
      <c r="O9" s="41">
        <f>'Spot Prices'!O32</f>
        <v>-0.15324534971814097</v>
      </c>
      <c r="P9" s="41">
        <f>'Spot Prices'!P32</f>
        <v>-0.15324534971814097</v>
      </c>
      <c r="Q9" s="41">
        <f>'Spot Prices'!Q32</f>
        <v>-0.15324534971814108</v>
      </c>
      <c r="R9" s="41">
        <f>'Spot Prices'!R32</f>
        <v>-0.15324534971814108</v>
      </c>
      <c r="S9" s="41">
        <f>'Spot Prices'!S32</f>
        <v>-0.15324534971814108</v>
      </c>
      <c r="T9" s="41">
        <f>'Spot Prices'!T32</f>
        <v>-0.15324534971814108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-0.1208891199290455</v>
      </c>
      <c r="K10" s="46">
        <f>'Spot Prices'!K33</f>
        <v>-0.14810155327490959</v>
      </c>
      <c r="L10" s="46">
        <f>'Spot Prices'!L33</f>
        <v>-0.14002567546267997</v>
      </c>
      <c r="M10" s="46">
        <f>'Spot Prices'!M33</f>
        <v>-0.17148745421136313</v>
      </c>
      <c r="N10" s="46">
        <f>'Spot Prices'!N33</f>
        <v>-9.7031792099038339E-2</v>
      </c>
      <c r="O10" s="46">
        <f>'Spot Prices'!O33</f>
        <v>-0.15980456433561374</v>
      </c>
      <c r="P10" s="46">
        <f>'Spot Prices'!P33</f>
        <v>-0.15980456433561363</v>
      </c>
      <c r="Q10" s="46">
        <f>'Spot Prices'!Q33</f>
        <v>-0.15980456433561363</v>
      </c>
      <c r="R10" s="46">
        <f>'Spot Prices'!R33</f>
        <v>-0.15980456433561374</v>
      </c>
      <c r="S10" s="46">
        <f>'Spot Prices'!S33</f>
        <v>-0.15980456433561385</v>
      </c>
      <c r="T10" s="46">
        <f>'Spot Prices'!T33</f>
        <v>-0.15980456433561385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-0.14379602728030905</v>
      </c>
      <c r="K11" s="14">
        <f>'Spot Prices'!K34</f>
        <v>-0.16142872522415197</v>
      </c>
      <c r="L11" s="14">
        <f>'Spot Prices'!L34</f>
        <v>-0.15902890158055494</v>
      </c>
      <c r="M11" s="14">
        <f>'Spot Prices'!M34</f>
        <v>-0.19155923372400463</v>
      </c>
      <c r="N11" s="14">
        <f>'Spot Prices'!N34</f>
        <v>-0.10864118891812402</v>
      </c>
      <c r="O11" s="14">
        <f>'Spot Prices'!O34</f>
        <v>-0.17499030255231729</v>
      </c>
      <c r="P11" s="14">
        <f>'Spot Prices'!P34</f>
        <v>-0.17499030255231729</v>
      </c>
      <c r="Q11" s="14">
        <f>'Spot Prices'!Q34</f>
        <v>-0.1749903025523174</v>
      </c>
      <c r="R11" s="14">
        <f>'Spot Prices'!R34</f>
        <v>-0.1749903025523174</v>
      </c>
      <c r="S11" s="14">
        <f>'Spot Prices'!S34</f>
        <v>-0.1749903025523174</v>
      </c>
      <c r="T11" s="14">
        <f>'Spot Prices'!T34</f>
        <v>-0.1749903025523174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-0.21455151972462549</v>
      </c>
      <c r="K12" s="14">
        <f>'Spot Prices'!K35</f>
        <v>-0.19881048441424565</v>
      </c>
      <c r="L12" s="14">
        <f>'Spot Prices'!L35</f>
        <v>-0.24139031607809225</v>
      </c>
      <c r="M12" s="14">
        <f>'Spot Prices'!M35</f>
        <v>-0.218492972680286</v>
      </c>
      <c r="N12" s="14">
        <f>'Spot Prices'!N35</f>
        <v>-0.15673287279469184</v>
      </c>
      <c r="O12" s="14">
        <f>'Spot Prices'!O35</f>
        <v>-0.22811745261763405</v>
      </c>
      <c r="P12" s="14">
        <f>'Spot Prices'!P35</f>
        <v>-0.22811745261763394</v>
      </c>
      <c r="Q12" s="14">
        <f>'Spot Prices'!Q35</f>
        <v>-0.22811745261763405</v>
      </c>
      <c r="R12" s="14">
        <f>'Spot Prices'!R35</f>
        <v>-0.22811745261763394</v>
      </c>
      <c r="S12" s="14">
        <f>'Spot Prices'!S35</f>
        <v>-0.22811745261763394</v>
      </c>
      <c r="T12" s="14">
        <f>'Spot Prices'!T35</f>
        <v>-0.22811745261763394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-0.10706245261602132</v>
      </c>
      <c r="K13" s="46">
        <f>'Spot Prices'!K36</f>
        <v>-0.13827375441034129</v>
      </c>
      <c r="L13" s="46">
        <f>'Spot Prices'!L36</f>
        <v>-0.13227281817196912</v>
      </c>
      <c r="M13" s="46">
        <f>'Spot Prices'!M36</f>
        <v>-0.15988844075858466</v>
      </c>
      <c r="N13" s="46">
        <f>'Spot Prices'!N36</f>
        <v>-8.9701176384817005E-2</v>
      </c>
      <c r="O13" s="46">
        <f>'Spot Prices'!O36</f>
        <v>-0.14714415762311406</v>
      </c>
      <c r="P13" s="46">
        <f>'Spot Prices'!P36</f>
        <v>-0.14714415762311417</v>
      </c>
      <c r="Q13" s="46">
        <f>'Spot Prices'!Q36</f>
        <v>-0.14714415762311417</v>
      </c>
      <c r="R13" s="46">
        <f>'Spot Prices'!R36</f>
        <v>-0.14714415762311428</v>
      </c>
      <c r="S13" s="46">
        <f>'Spot Prices'!S36</f>
        <v>-0.14714415762311428</v>
      </c>
      <c r="T13" s="46">
        <f>'Spot Prices'!T36</f>
        <v>-0.14714415762311439</v>
      </c>
    </row>
    <row r="15" spans="2:20" x14ac:dyDescent="0.3">
      <c r="B15" s="32" t="s">
        <v>42</v>
      </c>
      <c r="E15" s="106"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AVERAGEIFS($F$39:$F$1048576,$B$39:$B$1048576,$B$2,$D$39:$D$1048576,$B$15,$C$39:$C$1048576,E$16,$E$39:$E$1048576,$B17)*$E$15/100</f>
        <v>11699986.810000001</v>
      </c>
      <c r="F17" s="17">
        <f t="shared" ref="F17:O17" si="0">AVERAGEIFS($F$39:$F$1048576,$B$39:$B$1048576,$B$2,$D$39:$D$1048576,$B$15,$C$39:$C$1048576,F$16,$E$39:$E$1048576,$B17)*$E$15/100</f>
        <v>14262425.119999999</v>
      </c>
      <c r="G17" s="17">
        <f t="shared" si="0"/>
        <v>12471195.82</v>
      </c>
      <c r="H17" s="17">
        <f t="shared" si="0"/>
        <v>11843783.98</v>
      </c>
      <c r="I17" s="17">
        <f t="shared" si="0"/>
        <v>12797843.26</v>
      </c>
      <c r="J17" s="17">
        <f t="shared" si="0"/>
        <v>13322619.48</v>
      </c>
      <c r="K17" s="17">
        <f t="shared" si="0"/>
        <v>12075029.529999999</v>
      </c>
      <c r="L17" s="17">
        <f t="shared" si="0"/>
        <v>14666464.439999999</v>
      </c>
      <c r="M17" s="17">
        <f t="shared" si="0"/>
        <v>11776600.175000001</v>
      </c>
      <c r="N17" s="17">
        <f t="shared" si="0"/>
        <v>13374076.99</v>
      </c>
      <c r="O17" s="17">
        <f t="shared" si="0"/>
        <v>13271761.630000001</v>
      </c>
      <c r="P17" s="19">
        <f>'Spot Prices'!P17/'Spot Prices'!O17*DualFuelCM!O17</f>
        <v>13889288.519318281</v>
      </c>
      <c r="Q17" s="19">
        <f>'Spot Prices'!Q17/'Spot Prices'!P17*DualFuelCM!P17</f>
        <v>15305041.46740225</v>
      </c>
      <c r="R17" s="19">
        <f>'Spot Prices'!R17/'Spot Prices'!Q17*DualFuelCM!Q17</f>
        <v>15230387.786844527</v>
      </c>
      <c r="S17" s="19">
        <f>'Spot Prices'!S17/'Spot Prices'!R17*DualFuelCM!R17</f>
        <v>15799689.729294242</v>
      </c>
      <c r="T17" s="19">
        <f>'Spot Prices'!T17/'Spot Prices'!S17*DualFuelCM!S17</f>
        <v>15617864.168893265</v>
      </c>
    </row>
    <row r="18" spans="2:20" x14ac:dyDescent="0.3">
      <c r="B18" s="3">
        <v>0.95</v>
      </c>
      <c r="C18" s="17"/>
      <c r="D18" s="17"/>
      <c r="E18" s="17">
        <f t="shared" ref="E18:O24" si="1">AVERAGEIFS($F$39:$F$1048576,$B$39:$B$1048576,$B$2,$D$39:$D$1048576,$B$15,$C$39:$C$1048576,E$16,$E$39:$E$1048576,$B18)*$E$15/100</f>
        <v>7873577.0750000002</v>
      </c>
      <c r="F18" s="17">
        <f t="shared" si="1"/>
        <v>10598108.385</v>
      </c>
      <c r="G18" s="17">
        <f t="shared" si="1"/>
        <v>9523065.2699999996</v>
      </c>
      <c r="H18" s="17">
        <f t="shared" si="1"/>
        <v>9661472.0250000004</v>
      </c>
      <c r="I18" s="17">
        <f t="shared" si="1"/>
        <v>9554710.7699999996</v>
      </c>
      <c r="J18" s="17">
        <f t="shared" si="1"/>
        <v>9514592.8949999996</v>
      </c>
      <c r="K18" s="17">
        <f t="shared" si="1"/>
        <v>8958268.5099999998</v>
      </c>
      <c r="L18" s="17">
        <f t="shared" si="1"/>
        <v>9572258.9049999993</v>
      </c>
      <c r="M18" s="17">
        <f t="shared" si="1"/>
        <v>9731789.2300000004</v>
      </c>
      <c r="N18" s="17">
        <f t="shared" si="1"/>
        <v>9439773.1899999995</v>
      </c>
      <c r="O18" s="17">
        <f t="shared" si="1"/>
        <v>9397659.4949999992</v>
      </c>
      <c r="P18" s="19">
        <f>'Spot Prices'!P18/'Spot Prices'!O18*DualFuelCM!O18</f>
        <v>10087741.853609325</v>
      </c>
      <c r="Q18" s="19">
        <f>'Spot Prices'!Q18/'Spot Prices'!P18*DualFuelCM!P18</f>
        <v>11210469.211329786</v>
      </c>
      <c r="R18" s="19">
        <f>'Spot Prices'!R18/'Spot Prices'!Q18*DualFuelCM!Q18</f>
        <v>11332917.856483217</v>
      </c>
      <c r="S18" s="19">
        <f>'Spot Prices'!S18/'Spot Prices'!R18*DualFuelCM!R18</f>
        <v>11942200.012987453</v>
      </c>
      <c r="T18" s="19">
        <f>'Spot Prices'!T18/'Spot Prices'!S18*DualFuelCM!S18</f>
        <v>11943088.349566689</v>
      </c>
    </row>
    <row r="19" spans="2:20" x14ac:dyDescent="0.3">
      <c r="B19" s="5">
        <v>0.75</v>
      </c>
      <c r="C19" s="48"/>
      <c r="D19" s="48"/>
      <c r="E19" s="48">
        <f t="shared" si="1"/>
        <v>6190161.9000000004</v>
      </c>
      <c r="F19" s="48">
        <f t="shared" si="1"/>
        <v>8770897.4350000005</v>
      </c>
      <c r="G19" s="48">
        <f t="shared" si="1"/>
        <v>7974827.6950000003</v>
      </c>
      <c r="H19" s="48">
        <f t="shared" si="1"/>
        <v>7760555.9000000004</v>
      </c>
      <c r="I19" s="48">
        <f t="shared" si="1"/>
        <v>7956076.1299999999</v>
      </c>
      <c r="J19" s="48">
        <f t="shared" si="1"/>
        <v>7847105.7050000001</v>
      </c>
      <c r="K19" s="48">
        <f t="shared" si="1"/>
        <v>7511638.3449999997</v>
      </c>
      <c r="L19" s="48">
        <f t="shared" si="1"/>
        <v>7866924.2750000004</v>
      </c>
      <c r="M19" s="48">
        <f t="shared" si="1"/>
        <v>8024996.9050000003</v>
      </c>
      <c r="N19" s="48">
        <f t="shared" si="1"/>
        <v>7649536.8849999998</v>
      </c>
      <c r="O19" s="48">
        <f t="shared" si="1"/>
        <v>7777497.1449999996</v>
      </c>
      <c r="P19" s="49">
        <f>'Spot Prices'!P19/'Spot Prices'!O19*DualFuelCM!O19</f>
        <v>8377486.9108503396</v>
      </c>
      <c r="Q19" s="49">
        <f>'Spot Prices'!Q19/'Spot Prices'!P19*DualFuelCM!P19</f>
        <v>9537307.0492929313</v>
      </c>
      <c r="R19" s="49">
        <f>'Spot Prices'!R19/'Spot Prices'!Q19*DualFuelCM!Q19</f>
        <v>9602281.0934145525</v>
      </c>
      <c r="S19" s="49">
        <f>'Spot Prices'!S19/'Spot Prices'!R19*DualFuelCM!R19</f>
        <v>10368642.138064245</v>
      </c>
      <c r="T19" s="49">
        <f>'Spot Prices'!T19/'Spot Prices'!S19*DualFuelCM!S19</f>
        <v>10329424.056332294</v>
      </c>
    </row>
    <row r="20" spans="2:20" x14ac:dyDescent="0.3">
      <c r="B20" s="7">
        <v>0.5</v>
      </c>
      <c r="C20" s="39"/>
      <c r="D20" s="39"/>
      <c r="E20" s="39">
        <f t="shared" si="1"/>
        <v>5177894.08</v>
      </c>
      <c r="F20" s="39">
        <f t="shared" si="1"/>
        <v>7672272.625</v>
      </c>
      <c r="G20" s="39">
        <f t="shared" si="1"/>
        <v>6887398.6449999986</v>
      </c>
      <c r="H20" s="39">
        <f t="shared" si="1"/>
        <v>6802608.875</v>
      </c>
      <c r="I20" s="39">
        <f t="shared" si="1"/>
        <v>6865972.2799999984</v>
      </c>
      <c r="J20" s="39">
        <f t="shared" si="1"/>
        <v>6804856.4000000004</v>
      </c>
      <c r="K20" s="39">
        <f t="shared" si="1"/>
        <v>6643926.6950000003</v>
      </c>
      <c r="L20" s="39">
        <f t="shared" si="1"/>
        <v>6906664.2450000001</v>
      </c>
      <c r="M20" s="39">
        <f t="shared" si="1"/>
        <v>7032259.6150000002</v>
      </c>
      <c r="N20" s="39">
        <f t="shared" si="1"/>
        <v>6688930.8200000003</v>
      </c>
      <c r="O20" s="39">
        <f t="shared" si="1"/>
        <v>6764278.7300000014</v>
      </c>
      <c r="P20" s="40">
        <f>'Spot Prices'!P20/'Spot Prices'!O20*DualFuelCM!O20</f>
        <v>7341840.4468627162</v>
      </c>
      <c r="Q20" s="40">
        <f>'Spot Prices'!Q20/'Spot Prices'!P20*DualFuelCM!P20</f>
        <v>8407636.5187123381</v>
      </c>
      <c r="R20" s="40">
        <f>'Spot Prices'!R20/'Spot Prices'!Q20*DualFuelCM!Q20</f>
        <v>8493938.5659159999</v>
      </c>
      <c r="S20" s="40">
        <f>'Spot Prices'!S20/'Spot Prices'!R20*DualFuelCM!R20</f>
        <v>9285050.1170643605</v>
      </c>
      <c r="T20" s="40">
        <f>'Spot Prices'!T20/'Spot Prices'!S20*DualFuelCM!S20</f>
        <v>9212064.0556069966</v>
      </c>
    </row>
    <row r="21" spans="2:20" x14ac:dyDescent="0.3">
      <c r="B21" s="5">
        <v>0.25</v>
      </c>
      <c r="C21" s="48"/>
      <c r="D21" s="48"/>
      <c r="E21" s="48">
        <f t="shared" si="1"/>
        <v>4403954.4914999995</v>
      </c>
      <c r="F21" s="48">
        <f t="shared" si="1"/>
        <v>6681127.1299999999</v>
      </c>
      <c r="G21" s="48">
        <f t="shared" si="1"/>
        <v>5941000.21</v>
      </c>
      <c r="H21" s="48">
        <f t="shared" si="1"/>
        <v>5935913.5350000001</v>
      </c>
      <c r="I21" s="48">
        <f t="shared" si="1"/>
        <v>5990561.8250000002</v>
      </c>
      <c r="J21" s="48">
        <f t="shared" si="1"/>
        <v>5910095.1550000003</v>
      </c>
      <c r="K21" s="48">
        <f t="shared" si="1"/>
        <v>5802575.7149999999</v>
      </c>
      <c r="L21" s="48">
        <f t="shared" si="1"/>
        <v>5953741.5199999996</v>
      </c>
      <c r="M21" s="48">
        <f t="shared" si="1"/>
        <v>6057036.2199999997</v>
      </c>
      <c r="N21" s="48">
        <f t="shared" si="1"/>
        <v>5812557.6349999998</v>
      </c>
      <c r="O21" s="48">
        <f t="shared" si="1"/>
        <v>5835776.1749999998</v>
      </c>
      <c r="P21" s="49">
        <f>'Spot Prices'!P21/'Spot Prices'!O21*DualFuelCM!O21</f>
        <v>6240268.6815173738</v>
      </c>
      <c r="Q21" s="49">
        <f>'Spot Prices'!Q21/'Spot Prices'!P21*DualFuelCM!P21</f>
        <v>7097805.7922387188</v>
      </c>
      <c r="R21" s="49">
        <f>'Spot Prices'!R21/'Spot Prices'!Q21*DualFuelCM!Q21</f>
        <v>7051532.2024397925</v>
      </c>
      <c r="S21" s="49">
        <f>'Spot Prices'!S21/'Spot Prices'!R21*DualFuelCM!R21</f>
        <v>7648484.1857924201</v>
      </c>
      <c r="T21" s="49">
        <f>'Spot Prices'!T21/'Spot Prices'!S21*DualFuelCM!S21</f>
        <v>7505730.8164495546</v>
      </c>
    </row>
    <row r="22" spans="2:20" x14ac:dyDescent="0.3">
      <c r="B22" s="3">
        <v>0.05</v>
      </c>
      <c r="C22" s="17"/>
      <c r="D22" s="17"/>
      <c r="E22" s="17">
        <f t="shared" si="1"/>
        <v>3458117.0334999994</v>
      </c>
      <c r="F22" s="17">
        <f t="shared" si="1"/>
        <v>5437489.8300000001</v>
      </c>
      <c r="G22" s="17">
        <f t="shared" si="1"/>
        <v>4724908.1715000002</v>
      </c>
      <c r="H22" s="17">
        <f t="shared" si="1"/>
        <v>4740477.2695000004</v>
      </c>
      <c r="I22" s="17">
        <f t="shared" si="1"/>
        <v>4799531.5829999996</v>
      </c>
      <c r="J22" s="17">
        <f t="shared" si="1"/>
        <v>4709851.4029999999</v>
      </c>
      <c r="K22" s="17">
        <f t="shared" si="1"/>
        <v>4677468.3035000004</v>
      </c>
      <c r="L22" s="17">
        <f t="shared" si="1"/>
        <v>4872452.9610000001</v>
      </c>
      <c r="M22" s="17">
        <f t="shared" si="1"/>
        <v>4827724.9625000004</v>
      </c>
      <c r="N22" s="17">
        <f t="shared" si="1"/>
        <v>4692249.7264999999</v>
      </c>
      <c r="O22" s="17">
        <f t="shared" si="1"/>
        <v>4664283.2479999997</v>
      </c>
      <c r="P22" s="19">
        <f>'Spot Prices'!P22/'Spot Prices'!O22*DualFuelCM!O22</f>
        <v>4867365.9221992828</v>
      </c>
      <c r="Q22" s="19">
        <f>'Spot Prices'!Q22/'Spot Prices'!P22*DualFuelCM!P22</f>
        <v>5427342.5395268053</v>
      </c>
      <c r="R22" s="19">
        <f>'Spot Prices'!R22/'Spot Prices'!Q22*DualFuelCM!Q22</f>
        <v>5026721.2583519155</v>
      </c>
      <c r="S22" s="19">
        <f>'Spot Prices'!S22/'Spot Prices'!R22*DualFuelCM!R22</f>
        <v>5346662.5272281868</v>
      </c>
      <c r="T22" s="19">
        <f>'Spot Prices'!T22/'Spot Prices'!S22*DualFuelCM!S22</f>
        <v>5066698.84829944</v>
      </c>
    </row>
    <row r="23" spans="2:20" x14ac:dyDescent="0.3">
      <c r="B23" s="3">
        <v>0</v>
      </c>
      <c r="C23" s="17"/>
      <c r="D23" s="17"/>
      <c r="E23" s="17">
        <f t="shared" si="1"/>
        <v>1836092.8149999999</v>
      </c>
      <c r="F23" s="17">
        <f t="shared" si="1"/>
        <v>2833298.0265000002</v>
      </c>
      <c r="G23" s="17">
        <f t="shared" si="1"/>
        <v>3085308.4509999994</v>
      </c>
      <c r="H23" s="17">
        <f t="shared" si="1"/>
        <v>3221701.1664999998</v>
      </c>
      <c r="I23" s="17">
        <f t="shared" si="1"/>
        <v>2513148.8955000001</v>
      </c>
      <c r="J23" s="17">
        <f t="shared" si="1"/>
        <v>3105295.8039999995</v>
      </c>
      <c r="K23" s="17">
        <f t="shared" si="1"/>
        <v>3102387.335</v>
      </c>
      <c r="L23" s="17">
        <f t="shared" si="1"/>
        <v>2705244.6639999999</v>
      </c>
      <c r="M23" s="17">
        <f t="shared" si="1"/>
        <v>2973028.6364999996</v>
      </c>
      <c r="N23" s="17">
        <f t="shared" si="1"/>
        <v>2699153.1880000001</v>
      </c>
      <c r="O23" s="17">
        <f t="shared" si="1"/>
        <v>3069353.4304999993</v>
      </c>
      <c r="P23" s="19">
        <f>'Spot Prices'!P23/'Spot Prices'!O23*DualFuelCM!O23</f>
        <v>3023429.629310939</v>
      </c>
      <c r="Q23" s="19">
        <f>'Spot Prices'!Q23/'Spot Prices'!P23*DualFuelCM!P23</f>
        <v>3475416.0615367335</v>
      </c>
      <c r="R23" s="19">
        <f>'Spot Prices'!R23/'Spot Prices'!Q23*DualFuelCM!Q23</f>
        <v>3174639.4605698837</v>
      </c>
      <c r="S23" s="19">
        <f>'Spot Prices'!S23/'Spot Prices'!R23*DualFuelCM!R23</f>
        <v>3390188.001404705</v>
      </c>
      <c r="T23" s="19">
        <f>'Spot Prices'!T23/'Spot Prices'!S23*DualFuelCM!S23</f>
        <v>2912425.1263793674</v>
      </c>
    </row>
    <row r="24" spans="2:20" x14ac:dyDescent="0.3">
      <c r="B24" s="9" t="s">
        <v>29</v>
      </c>
      <c r="C24" s="48"/>
      <c r="D24" s="48"/>
      <c r="E24" s="48">
        <f t="shared" si="1"/>
        <v>5362713.1749999998</v>
      </c>
      <c r="F24" s="48">
        <f t="shared" si="1"/>
        <v>7795139.9800000004</v>
      </c>
      <c r="G24" s="48">
        <f t="shared" si="1"/>
        <v>6997533.7450000001</v>
      </c>
      <c r="H24" s="48">
        <f t="shared" si="1"/>
        <v>6932334.9400000004</v>
      </c>
      <c r="I24" s="48">
        <f t="shared" si="1"/>
        <v>6997755.9100000001</v>
      </c>
      <c r="J24" s="48">
        <f t="shared" si="1"/>
        <v>6927660.9850000003</v>
      </c>
      <c r="K24" s="48">
        <f t="shared" si="1"/>
        <v>6698906.7199999997</v>
      </c>
      <c r="L24" s="48">
        <f t="shared" si="1"/>
        <v>7007884.6849999996</v>
      </c>
      <c r="M24" s="48">
        <f t="shared" si="1"/>
        <v>7105478.6699999999</v>
      </c>
      <c r="N24" s="48">
        <f t="shared" si="1"/>
        <v>6812479.2450000001</v>
      </c>
      <c r="O24" s="48">
        <f t="shared" si="1"/>
        <v>6866987.6849999996</v>
      </c>
      <c r="P24" s="49">
        <f>'Spot Prices'!P24/'Spot Prices'!O24*DualFuelCM!O24</f>
        <v>7370433.4723151308</v>
      </c>
      <c r="Q24" s="49">
        <f>'Spot Prices'!Q24/'Spot Prices'!P24*DualFuelCM!P24</f>
        <v>8344961.3154522544</v>
      </c>
      <c r="R24" s="49">
        <f>'Spot Prices'!R24/'Spot Prices'!Q24*DualFuelCM!Q24</f>
        <v>8325291.6388456263</v>
      </c>
      <c r="S24" s="49">
        <f>'Spot Prices'!S24/'Spot Prices'!R24*DualFuelCM!R24</f>
        <v>8985930.7905133311</v>
      </c>
      <c r="T24" s="49">
        <f>'Spot Prices'!T24/'Spot Prices'!S24*DualFuelCM!S24</f>
        <v>8875019.738574801</v>
      </c>
    </row>
    <row r="26" spans="2:20" x14ac:dyDescent="0.3">
      <c r="B26" s="1" t="str">
        <f>"Adjusted "&amp;B15</f>
        <v>Adjusted 5Min Adj Contribution Margin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2">(C17*(1+C6))*($E$26)</f>
        <v>0</v>
      </c>
      <c r="D28" s="20">
        <f t="shared" si="2"/>
        <v>0</v>
      </c>
      <c r="E28" s="20">
        <f t="shared" si="2"/>
        <v>11902262.444492944</v>
      </c>
      <c r="F28" s="15">
        <f t="shared" si="2"/>
        <v>13718036.891405039</v>
      </c>
      <c r="G28" s="20">
        <f t="shared" si="2"/>
        <v>11678368.07275871</v>
      </c>
      <c r="H28" s="20">
        <f t="shared" si="2"/>
        <v>10721981.111278608</v>
      </c>
      <c r="I28" s="20">
        <f t="shared" si="2"/>
        <v>12416417.495090801</v>
      </c>
      <c r="J28" s="20">
        <f t="shared" si="2"/>
        <v>12961885.285271753</v>
      </c>
      <c r="K28" s="20">
        <f t="shared" si="2"/>
        <v>11225472.939637797</v>
      </c>
      <c r="L28" s="20">
        <f t="shared" si="2"/>
        <v>13755499.256638283</v>
      </c>
      <c r="M28" s="20">
        <f t="shared" si="2"/>
        <v>10963263.513034655</v>
      </c>
      <c r="N28" s="20">
        <f t="shared" si="2"/>
        <v>13256226.749818075</v>
      </c>
      <c r="O28" s="20">
        <f t="shared" si="2"/>
        <v>12392517.751368126</v>
      </c>
      <c r="P28" s="21">
        <f>(O28*'Spot Prices'!P5/'Spot Prices'!O5)*($E$26)</f>
        <v>12969133.964887621</v>
      </c>
      <c r="Q28" s="21">
        <f>(P28*'Spot Prices'!Q5/'Spot Prices'!P5)*($E$26)</f>
        <v>14291094.382035526</v>
      </c>
      <c r="R28" s="21">
        <f>(Q28*'Spot Prices'!R5/'Spot Prices'!Q5)*($E$26)</f>
        <v>14221386.449712111</v>
      </c>
      <c r="S28" s="21">
        <f>(R28*'Spot Prices'!S5/'Spot Prices'!R5)*($E$26)</f>
        <v>14752972.581559811</v>
      </c>
      <c r="T28" s="21">
        <f>(S28*'Spot Prices'!T5/'Spot Prices'!S5)*($E$26)</f>
        <v>14583192.823021336</v>
      </c>
    </row>
    <row r="29" spans="2:20" x14ac:dyDescent="0.3">
      <c r="B29" s="3">
        <v>0.95</v>
      </c>
      <c r="C29" s="20">
        <f t="shared" ref="C29:O29" si="3">(C18*(1+C7))*($E$26)</f>
        <v>0</v>
      </c>
      <c r="D29" s="20">
        <f t="shared" si="3"/>
        <v>0</v>
      </c>
      <c r="E29" s="20">
        <f t="shared" si="3"/>
        <v>7874159.7120792056</v>
      </c>
      <c r="F29" s="15">
        <f t="shared" si="3"/>
        <v>9266244.8349261656</v>
      </c>
      <c r="G29" s="20">
        <f t="shared" si="3"/>
        <v>7441819.5229787091</v>
      </c>
      <c r="H29" s="20">
        <f t="shared" si="3"/>
        <v>8119609.5339955157</v>
      </c>
      <c r="I29" s="20">
        <f t="shared" si="3"/>
        <v>8429347.8424704447</v>
      </c>
      <c r="J29" s="20">
        <f t="shared" si="3"/>
        <v>8865183.0067633651</v>
      </c>
      <c r="K29" s="20">
        <f t="shared" si="3"/>
        <v>7956647.7255809875</v>
      </c>
      <c r="L29" s="20">
        <f t="shared" si="3"/>
        <v>8525102.2746409122</v>
      </c>
      <c r="M29" s="20">
        <f t="shared" si="3"/>
        <v>8471758.5748681761</v>
      </c>
      <c r="N29" s="20">
        <f t="shared" si="3"/>
        <v>8772971.5592536144</v>
      </c>
      <c r="O29" s="20">
        <f t="shared" si="3"/>
        <v>8248101.3934217738</v>
      </c>
      <c r="P29" s="21">
        <f>(O29*'Spot Prices'!P6/'Spot Prices'!O6)*($E$26)</f>
        <v>8853770.2056031153</v>
      </c>
      <c r="Q29" s="21">
        <f>(P29*'Spot Prices'!Q6/'Spot Prices'!P6)*($E$26)</f>
        <v>9839161.205199752</v>
      </c>
      <c r="R29" s="21">
        <f>(Q29*'Spot Prices'!R6/'Spot Prices'!Q6)*($E$26)</f>
        <v>9946631.4578993712</v>
      </c>
      <c r="S29" s="21">
        <f>(R29*'Spot Prices'!S6/'Spot Prices'!R6)*($E$26)</f>
        <v>10481383.861593438</v>
      </c>
      <c r="T29" s="21">
        <f>(S29*'Spot Prices'!T6/'Spot Prices'!S6)*($E$26)</f>
        <v>10482163.533402247</v>
      </c>
    </row>
    <row r="30" spans="2:20" x14ac:dyDescent="0.3">
      <c r="B30" s="5">
        <v>0.75</v>
      </c>
      <c r="C30" s="51">
        <f t="shared" ref="C30:O30" si="4">(C19*(1+C8))*($E$26)</f>
        <v>0</v>
      </c>
      <c r="D30" s="51">
        <f t="shared" si="4"/>
        <v>0</v>
      </c>
      <c r="E30" s="51">
        <f t="shared" si="4"/>
        <v>6189283.1413722942</v>
      </c>
      <c r="F30" s="47">
        <f t="shared" si="4"/>
        <v>7488924.9582065959</v>
      </c>
      <c r="G30" s="51">
        <f t="shared" si="4"/>
        <v>5749825.5997739742</v>
      </c>
      <c r="H30" s="51">
        <f t="shared" si="4"/>
        <v>6209012.5860835128</v>
      </c>
      <c r="I30" s="51">
        <f t="shared" si="4"/>
        <v>6816631.9923396185</v>
      </c>
      <c r="J30" s="51">
        <f t="shared" si="4"/>
        <v>7065817.4927045908</v>
      </c>
      <c r="K30" s="51">
        <f t="shared" si="4"/>
        <v>6504167.822013611</v>
      </c>
      <c r="L30" s="51">
        <f t="shared" si="4"/>
        <v>6871167.8063621167</v>
      </c>
      <c r="M30" s="51">
        <f t="shared" si="4"/>
        <v>6814363.8715119809</v>
      </c>
      <c r="N30" s="51">
        <f t="shared" si="4"/>
        <v>6999487.5163088944</v>
      </c>
      <c r="O30" s="51">
        <f t="shared" si="4"/>
        <v>6708026.8096580822</v>
      </c>
      <c r="P30" s="52">
        <f>(O30*'Spot Prices'!P7/'Spot Prices'!O7)*($E$26)</f>
        <v>7225513.0085995998</v>
      </c>
      <c r="Q30" s="52">
        <f>(P30*'Spot Prices'!Q7/'Spot Prices'!P7)*($E$26)</f>
        <v>8225848.2627315708</v>
      </c>
      <c r="R30" s="52">
        <f>(Q30*'Spot Prices'!R7/'Spot Prices'!Q7)*($E$26)</f>
        <v>8281887.8371311501</v>
      </c>
      <c r="S30" s="52">
        <f>(R30*'Spot Prices'!S7/'Spot Prices'!R7)*($E$26)</f>
        <v>8942867.8847667314</v>
      </c>
      <c r="T30" s="52">
        <f>(S30*'Spot Prices'!T7/'Spot Prices'!S7)*($E$26)</f>
        <v>8909042.614403192</v>
      </c>
    </row>
    <row r="31" spans="2:20" x14ac:dyDescent="0.3">
      <c r="B31" s="7">
        <v>0.5</v>
      </c>
      <c r="C31" s="43">
        <f t="shared" ref="C31:O31" si="5">(C20*(1+C9))*($E$26)</f>
        <v>0</v>
      </c>
      <c r="D31" s="43">
        <f t="shared" si="5"/>
        <v>0</v>
      </c>
      <c r="E31" s="43">
        <f t="shared" si="5"/>
        <v>5173012.2209259439</v>
      </c>
      <c r="F31" s="42">
        <f t="shared" si="5"/>
        <v>6459032.5193413571</v>
      </c>
      <c r="G31" s="43">
        <f t="shared" si="5"/>
        <v>4693637.2979198219</v>
      </c>
      <c r="H31" s="43">
        <f t="shared" si="5"/>
        <v>5271737.6170443585</v>
      </c>
      <c r="I31" s="43">
        <f t="shared" si="5"/>
        <v>5802433.8512245435</v>
      </c>
      <c r="J31" s="43">
        <f t="shared" si="5"/>
        <v>6052410.0309037324</v>
      </c>
      <c r="K31" s="43">
        <f t="shared" si="5"/>
        <v>5704064.4696414182</v>
      </c>
      <c r="L31" s="43">
        <f t="shared" si="5"/>
        <v>5970819.0529992385</v>
      </c>
      <c r="M31" s="43">
        <f t="shared" si="5"/>
        <v>5869058.3176879687</v>
      </c>
      <c r="N31" s="43">
        <f t="shared" si="5"/>
        <v>6082478.4508343497</v>
      </c>
      <c r="O31" s="43">
        <f t="shared" si="5"/>
        <v>5727684.4704301683</v>
      </c>
      <c r="P31" s="44">
        <f>(O31*'Spot Prices'!P8/'Spot Prices'!O8)*($E$26)</f>
        <v>6216737.5400084471</v>
      </c>
      <c r="Q31" s="44">
        <f>(P31*'Spot Prices'!Q8/'Spot Prices'!P8)*($E$26)</f>
        <v>7119205.3200992523</v>
      </c>
      <c r="R31" s="44">
        <f>(Q31*'Spot Prices'!R8/'Spot Prices'!Q8)*($E$26)</f>
        <v>7192281.9798977971</v>
      </c>
      <c r="S31" s="44">
        <f>(R31*'Spot Prices'!S8/'Spot Prices'!R8)*($E$26)</f>
        <v>7862159.364724366</v>
      </c>
      <c r="T31" s="44">
        <f>(S31*'Spot Prices'!T8/'Spot Prices'!S8)*($E$26)</f>
        <v>7800358.0777795855</v>
      </c>
    </row>
    <row r="32" spans="2:20" x14ac:dyDescent="0.3">
      <c r="B32" s="5">
        <v>0.25</v>
      </c>
      <c r="C32" s="51">
        <f t="shared" ref="C32:O32" si="6">(C21*(1+C10))*($E$26)</f>
        <v>0</v>
      </c>
      <c r="D32" s="51">
        <f t="shared" si="6"/>
        <v>0</v>
      </c>
      <c r="E32" s="51">
        <f t="shared" si="6"/>
        <v>4400044.0634945026</v>
      </c>
      <c r="F32" s="47">
        <f t="shared" si="6"/>
        <v>5540096.4428083496</v>
      </c>
      <c r="G32" s="51">
        <f t="shared" si="6"/>
        <v>3777656.1247893106</v>
      </c>
      <c r="H32" s="51">
        <f t="shared" si="6"/>
        <v>4471923.5851989174</v>
      </c>
      <c r="I32" s="51">
        <f t="shared" si="6"/>
        <v>4955061.4288612911</v>
      </c>
      <c r="J32" s="51">
        <f t="shared" si="6"/>
        <v>5195628.9530151347</v>
      </c>
      <c r="K32" s="51">
        <f t="shared" si="6"/>
        <v>4943205.2386132311</v>
      </c>
      <c r="L32" s="51">
        <f t="shared" si="6"/>
        <v>5120064.8421317963</v>
      </c>
      <c r="M32" s="51">
        <f t="shared" si="6"/>
        <v>5018330.4985661814</v>
      </c>
      <c r="N32" s="51">
        <f t="shared" si="6"/>
        <v>5248554.7509970022</v>
      </c>
      <c r="O32" s="51">
        <f t="shared" si="6"/>
        <v>4903192.5057939701</v>
      </c>
      <c r="P32" s="52">
        <f>(O32*'Spot Prices'!P9/'Spot Prices'!O9)*($E$26)</f>
        <v>5243045.2635303158</v>
      </c>
      <c r="Q32" s="52">
        <f>(P32*'Spot Prices'!Q9/'Spot Prices'!P9)*($E$26)</f>
        <v>5963544.0298712151</v>
      </c>
      <c r="R32" s="52">
        <f>(Q32*'Spot Prices'!R9/'Spot Prices'!Q9)*($E$26)</f>
        <v>5924665.1709303502</v>
      </c>
      <c r="S32" s="52">
        <f>(R32*'Spot Prices'!S9/'Spot Prices'!R9)*($E$26)</f>
        <v>6426221.5026540291</v>
      </c>
      <c r="T32" s="52">
        <f>(S32*'Spot Prices'!T9/'Spot Prices'!S9)*($E$26)</f>
        <v>6306280.7733064415</v>
      </c>
    </row>
    <row r="33" spans="2:20" x14ac:dyDescent="0.3">
      <c r="B33" s="3">
        <v>0.05</v>
      </c>
      <c r="C33" s="20">
        <f t="shared" ref="C33:O33" si="7">(C22*(1+C11))*($E$26)</f>
        <v>0</v>
      </c>
      <c r="D33" s="20">
        <f t="shared" si="7"/>
        <v>0</v>
      </c>
      <c r="E33" s="20">
        <f t="shared" si="7"/>
        <v>3452157.2799194478</v>
      </c>
      <c r="F33" s="15">
        <f t="shared" si="7"/>
        <v>4378586.7097803121</v>
      </c>
      <c r="G33" s="20">
        <f t="shared" si="7"/>
        <v>2665480.1510470123</v>
      </c>
      <c r="H33" s="20">
        <f t="shared" si="7"/>
        <v>3407574.5199101092</v>
      </c>
      <c r="I33" s="20">
        <f t="shared" si="7"/>
        <v>3827295.6426779125</v>
      </c>
      <c r="J33" s="20">
        <f t="shared" si="7"/>
        <v>4032593.48216801</v>
      </c>
      <c r="K33" s="20">
        <f t="shared" si="7"/>
        <v>3922390.5579896187</v>
      </c>
      <c r="L33" s="20">
        <f t="shared" si="7"/>
        <v>4097592.1186092477</v>
      </c>
      <c r="M33" s="20">
        <f t="shared" si="7"/>
        <v>3902929.6680532512</v>
      </c>
      <c r="N33" s="20">
        <f t="shared" si="7"/>
        <v>4182478.1375122978</v>
      </c>
      <c r="O33" s="20">
        <f t="shared" si="7"/>
        <v>3848078.9112427747</v>
      </c>
      <c r="P33" s="21">
        <f>(O33*'Spot Prices'!P10/'Spot Prices'!O10)*($E$26)</f>
        <v>4015624.0868407916</v>
      </c>
      <c r="Q33" s="21">
        <f>(P33*'Spot Prices'!Q10/'Spot Prices'!P10)*($E$26)</f>
        <v>4477610.2264799476</v>
      </c>
      <c r="R33" s="21">
        <f>(Q33*'Spot Prices'!R10/'Spot Prices'!Q10)*($E$26)</f>
        <v>4147093.7845067484</v>
      </c>
      <c r="S33" s="21">
        <f>(R33*'Spot Prices'!S10/'Spot Prices'!R10)*($E$26)</f>
        <v>4411048.433943389</v>
      </c>
      <c r="T33" s="21">
        <f>(S33*'Spot Prices'!T10/'Spot Prices'!S10)*($E$26)</f>
        <v>4180075.6838940429</v>
      </c>
    </row>
    <row r="34" spans="2:20" x14ac:dyDescent="0.3">
      <c r="B34" s="3">
        <v>0</v>
      </c>
      <c r="C34" s="20">
        <f t="shared" ref="C34:O34" si="8">(C23*(1+C12))*($E$26)</f>
        <v>0</v>
      </c>
      <c r="D34" s="20">
        <f t="shared" si="8"/>
        <v>0</v>
      </c>
      <c r="E34" s="20">
        <f t="shared" si="8"/>
        <v>1855093.030273994</v>
      </c>
      <c r="F34" s="15">
        <f t="shared" si="8"/>
        <v>2289288.9242196986</v>
      </c>
      <c r="G34" s="20">
        <f t="shared" si="8"/>
        <v>1217973.9946507066</v>
      </c>
      <c r="H34" s="20">
        <f t="shared" si="8"/>
        <v>1792503.5586776915</v>
      </c>
      <c r="I34" s="20">
        <f t="shared" si="8"/>
        <v>1548178.6571150774</v>
      </c>
      <c r="J34" s="20">
        <f t="shared" si="8"/>
        <v>2439049.8700572969</v>
      </c>
      <c r="K34" s="20">
        <f t="shared" si="8"/>
        <v>2485600.2060880293</v>
      </c>
      <c r="L34" s="20">
        <f t="shared" si="8"/>
        <v>2052224.7994884674</v>
      </c>
      <c r="M34" s="20">
        <f t="shared" si="8"/>
        <v>2323442.7718474972</v>
      </c>
      <c r="N34" s="20">
        <f t="shared" si="8"/>
        <v>2276107.1547318092</v>
      </c>
      <c r="O34" s="20">
        <f t="shared" si="8"/>
        <v>2369180.3447511434</v>
      </c>
      <c r="P34" s="21">
        <f>(O34*'Spot Prices'!P11/'Spot Prices'!O11)*($E$26)</f>
        <v>2333732.5641038502</v>
      </c>
      <c r="Q34" s="21">
        <f>(P34*'Spot Prices'!Q11/'Spot Prices'!P11)*($E$26)</f>
        <v>2682613.0027925633</v>
      </c>
      <c r="R34" s="21">
        <f>(Q34*'Spot Prices'!R11/'Spot Prices'!Q11)*($E$26)</f>
        <v>2450448.7938452619</v>
      </c>
      <c r="S34" s="21">
        <f>(R34*'Spot Prices'!S11/'Spot Prices'!R11)*($E$26)</f>
        <v>2616826.9506293959</v>
      </c>
      <c r="T34" s="21">
        <f>(S34*'Spot Prices'!T11/'Spot Prices'!S11)*($E$26)</f>
        <v>2248050.1256101155</v>
      </c>
    </row>
    <row r="35" spans="2:20" x14ac:dyDescent="0.3">
      <c r="B35" s="9" t="s">
        <v>29</v>
      </c>
      <c r="C35" s="51">
        <f t="shared" ref="C35:O35" si="9">(C24*(1+C13))*($E$26)</f>
        <v>0</v>
      </c>
      <c r="D35" s="51">
        <f t="shared" si="9"/>
        <v>0</v>
      </c>
      <c r="E35" s="51">
        <f t="shared" si="9"/>
        <v>5361150.893304239</v>
      </c>
      <c r="F35" s="47">
        <f t="shared" si="9"/>
        <v>6572457.4609526834</v>
      </c>
      <c r="G35" s="51">
        <f t="shared" si="9"/>
        <v>4791987.9379691379</v>
      </c>
      <c r="H35" s="51">
        <f t="shared" si="9"/>
        <v>5413425.0986614069</v>
      </c>
      <c r="I35" s="51">
        <f t="shared" si="9"/>
        <v>5916532.6700934255</v>
      </c>
      <c r="J35" s="51">
        <f t="shared" si="9"/>
        <v>6185968.6090535782</v>
      </c>
      <c r="K35" s="51">
        <f t="shared" si="9"/>
        <v>5772623.7373809349</v>
      </c>
      <c r="L35" s="51">
        <f t="shared" si="9"/>
        <v>6080932.0282908678</v>
      </c>
      <c r="M35" s="51">
        <f t="shared" si="9"/>
        <v>5969394.7646103185</v>
      </c>
      <c r="N35" s="51">
        <f t="shared" si="9"/>
        <v>6201391.84262635</v>
      </c>
      <c r="O35" s="51">
        <f t="shared" si="9"/>
        <v>5856550.5666823769</v>
      </c>
      <c r="P35" s="52">
        <f>(O35*'Spot Prices'!P12/'Spot Prices'!O12)*($E$26)</f>
        <v>6285917.2477141172</v>
      </c>
      <c r="Q35" s="52">
        <f>(P35*'Spot Prices'!Q12/'Spot Prices'!P12)*($E$26)</f>
        <v>7117049.0122925583</v>
      </c>
      <c r="R35" s="52">
        <f>(Q35*'Spot Prices'!R12/'Spot Prices'!Q12)*($E$26)</f>
        <v>7100273.6136809317</v>
      </c>
      <c r="S35" s="52">
        <f>(R35*'Spot Prices'!S12/'Spot Prices'!R12)*($E$26)</f>
        <v>7663703.5738836424</v>
      </c>
      <c r="T35" s="52">
        <f>(S35*'Spot Prices'!T12/'Spot Prices'!S12)*($E$26)</f>
        <v>7569112.4352537012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6068-C288-4197-841F-64A39825397C}">
  <dimension ref="B2:T2216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-2.707682188700089E-2</v>
      </c>
      <c r="K6" s="14">
        <f>'Spot Prices'!K29</f>
        <v>-7.0356481385946745E-2</v>
      </c>
      <c r="L6" s="14">
        <f>'Spot Prices'!L29</f>
        <v>-6.2112118915123915E-2</v>
      </c>
      <c r="M6" s="14">
        <f>'Spot Prices'!M29</f>
        <v>-6.9063791746274972E-2</v>
      </c>
      <c r="N6" s="14">
        <f>'Spot Prices'!N29</f>
        <v>-8.8118410167702388E-3</v>
      </c>
      <c r="O6" s="14">
        <f>'Spot Prices'!O29</f>
        <v>-6.6249221704253514E-2</v>
      </c>
      <c r="P6" s="14">
        <f>'Spot Prices'!P29</f>
        <v>-6.6249221704253514E-2</v>
      </c>
      <c r="Q6" s="14">
        <f>'Spot Prices'!Q29</f>
        <v>-6.6249221704253514E-2</v>
      </c>
      <c r="R6" s="14">
        <f>'Spot Prices'!R29</f>
        <v>-6.6249221704253514E-2</v>
      </c>
      <c r="S6" s="14">
        <f>'Spot Prices'!S29</f>
        <v>-6.6249221704253514E-2</v>
      </c>
      <c r="T6" s="14">
        <f>'Spot Prices'!T29</f>
        <v>-6.6249221704253514E-2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-6.8254090889995456E-2</v>
      </c>
      <c r="K7" s="14">
        <f>'Spot Prices'!K30</f>
        <v>-0.11180964081406086</v>
      </c>
      <c r="L7" s="14">
        <f>'Spot Prices'!L30</f>
        <v>-0.10939493391806532</v>
      </c>
      <c r="M7" s="14">
        <f>'Spot Prices'!M30</f>
        <v>-0.12947574442401111</v>
      </c>
      <c r="N7" s="14">
        <f>'Spot Prices'!N30</f>
        <v>-7.0637463138707668E-2</v>
      </c>
      <c r="O7" s="14">
        <f>'Spot Prices'!O30</f>
        <v>-0.12232387246950638</v>
      </c>
      <c r="P7" s="14">
        <f>'Spot Prices'!P30</f>
        <v>-0.12232387246950638</v>
      </c>
      <c r="Q7" s="14">
        <f>'Spot Prices'!Q30</f>
        <v>-0.12232387246950649</v>
      </c>
      <c r="R7" s="14">
        <f>'Spot Prices'!R30</f>
        <v>-0.12232387246950649</v>
      </c>
      <c r="S7" s="14">
        <f>'Spot Prices'!S30</f>
        <v>-0.12232387246950638</v>
      </c>
      <c r="T7" s="14">
        <f>'Spot Prices'!T30</f>
        <v>-0.12232387246950638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-9.9563870000832222E-2</v>
      </c>
      <c r="K8" s="46">
        <f>'Spot Prices'!K31</f>
        <v>-0.13412127643991212</v>
      </c>
      <c r="L8" s="46">
        <f>'Spot Prices'!L31</f>
        <v>-0.12657506718378619</v>
      </c>
      <c r="M8" s="46">
        <f>'Spot Prices'!M31</f>
        <v>-0.15085775705829008</v>
      </c>
      <c r="N8" s="46">
        <f>'Spot Prices'!N31</f>
        <v>-8.4978918131081826E-2</v>
      </c>
      <c r="O8" s="46">
        <f>'Spot Prices'!O31</f>
        <v>-0.13750829031540812</v>
      </c>
      <c r="P8" s="46">
        <f>'Spot Prices'!P31</f>
        <v>-0.13750829031540812</v>
      </c>
      <c r="Q8" s="46">
        <f>'Spot Prices'!Q31</f>
        <v>-0.13750829031540812</v>
      </c>
      <c r="R8" s="46">
        <f>'Spot Prices'!R31</f>
        <v>-0.13750829031540812</v>
      </c>
      <c r="S8" s="46">
        <f>'Spot Prices'!S31</f>
        <v>-0.13750829031540823</v>
      </c>
      <c r="T8" s="46">
        <f>'Spot Prices'!T31</f>
        <v>-0.13750829031540812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-0.11057490781087875</v>
      </c>
      <c r="K9" s="41">
        <f>'Spot Prices'!K32</f>
        <v>-0.14146185960568947</v>
      </c>
      <c r="L9" s="41">
        <f>'Spot Prices'!L32</f>
        <v>-0.1354988687452493</v>
      </c>
      <c r="M9" s="41">
        <f>'Spot Prices'!M32</f>
        <v>-0.16540932232235739</v>
      </c>
      <c r="N9" s="41">
        <f>'Spot Prices'!N32</f>
        <v>-9.066506822769782E-2</v>
      </c>
      <c r="O9" s="41">
        <f>'Spot Prices'!O32</f>
        <v>-0.15324534971814097</v>
      </c>
      <c r="P9" s="41">
        <f>'Spot Prices'!P32</f>
        <v>-0.15324534971814097</v>
      </c>
      <c r="Q9" s="41">
        <f>'Spot Prices'!Q32</f>
        <v>-0.15324534971814108</v>
      </c>
      <c r="R9" s="41">
        <f>'Spot Prices'!R32</f>
        <v>-0.15324534971814108</v>
      </c>
      <c r="S9" s="41">
        <f>'Spot Prices'!S32</f>
        <v>-0.15324534971814108</v>
      </c>
      <c r="T9" s="41">
        <f>'Spot Prices'!T32</f>
        <v>-0.15324534971814108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-0.1208891199290455</v>
      </c>
      <c r="K10" s="46">
        <f>'Spot Prices'!K33</f>
        <v>-0.14810155327490959</v>
      </c>
      <c r="L10" s="46">
        <f>'Spot Prices'!L33</f>
        <v>-0.14002567546267997</v>
      </c>
      <c r="M10" s="46">
        <f>'Spot Prices'!M33</f>
        <v>-0.17148745421136313</v>
      </c>
      <c r="N10" s="46">
        <f>'Spot Prices'!N33</f>
        <v>-9.7031792099038339E-2</v>
      </c>
      <c r="O10" s="46">
        <f>'Spot Prices'!O33</f>
        <v>-0.15980456433561374</v>
      </c>
      <c r="P10" s="46">
        <f>'Spot Prices'!P33</f>
        <v>-0.15980456433561363</v>
      </c>
      <c r="Q10" s="46">
        <f>'Spot Prices'!Q33</f>
        <v>-0.15980456433561363</v>
      </c>
      <c r="R10" s="46">
        <f>'Spot Prices'!R33</f>
        <v>-0.15980456433561374</v>
      </c>
      <c r="S10" s="46">
        <f>'Spot Prices'!S33</f>
        <v>-0.15980456433561385</v>
      </c>
      <c r="T10" s="46">
        <f>'Spot Prices'!T33</f>
        <v>-0.15980456433561385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-0.14379602728030905</v>
      </c>
      <c r="K11" s="14">
        <f>'Spot Prices'!K34</f>
        <v>-0.16142872522415197</v>
      </c>
      <c r="L11" s="14">
        <f>'Spot Prices'!L34</f>
        <v>-0.15902890158055494</v>
      </c>
      <c r="M11" s="14">
        <f>'Spot Prices'!M34</f>
        <v>-0.19155923372400463</v>
      </c>
      <c r="N11" s="14">
        <f>'Spot Prices'!N34</f>
        <v>-0.10864118891812402</v>
      </c>
      <c r="O11" s="14">
        <f>'Spot Prices'!O34</f>
        <v>-0.17499030255231729</v>
      </c>
      <c r="P11" s="14">
        <f>'Spot Prices'!P34</f>
        <v>-0.17499030255231729</v>
      </c>
      <c r="Q11" s="14">
        <f>'Spot Prices'!Q34</f>
        <v>-0.1749903025523174</v>
      </c>
      <c r="R11" s="14">
        <f>'Spot Prices'!R34</f>
        <v>-0.1749903025523174</v>
      </c>
      <c r="S11" s="14">
        <f>'Spot Prices'!S34</f>
        <v>-0.1749903025523174</v>
      </c>
      <c r="T11" s="14">
        <f>'Spot Prices'!T34</f>
        <v>-0.1749903025523174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-0.21455151972462549</v>
      </c>
      <c r="K12" s="14">
        <f>'Spot Prices'!K35</f>
        <v>-0.19881048441424565</v>
      </c>
      <c r="L12" s="14">
        <f>'Spot Prices'!L35</f>
        <v>-0.24139031607809225</v>
      </c>
      <c r="M12" s="14">
        <f>'Spot Prices'!M35</f>
        <v>-0.218492972680286</v>
      </c>
      <c r="N12" s="14">
        <f>'Spot Prices'!N35</f>
        <v>-0.15673287279469184</v>
      </c>
      <c r="O12" s="14">
        <f>'Spot Prices'!O35</f>
        <v>-0.22811745261763405</v>
      </c>
      <c r="P12" s="14">
        <f>'Spot Prices'!P35</f>
        <v>-0.22811745261763394</v>
      </c>
      <c r="Q12" s="14">
        <f>'Spot Prices'!Q35</f>
        <v>-0.22811745261763405</v>
      </c>
      <c r="R12" s="14">
        <f>'Spot Prices'!R35</f>
        <v>-0.22811745261763394</v>
      </c>
      <c r="S12" s="14">
        <f>'Spot Prices'!S35</f>
        <v>-0.22811745261763394</v>
      </c>
      <c r="T12" s="14">
        <f>'Spot Prices'!T35</f>
        <v>-0.22811745261763394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-0.10706245261602132</v>
      </c>
      <c r="K13" s="46">
        <f>'Spot Prices'!K36</f>
        <v>-0.13827375441034129</v>
      </c>
      <c r="L13" s="46">
        <f>'Spot Prices'!L36</f>
        <v>-0.13227281817196912</v>
      </c>
      <c r="M13" s="46">
        <f>'Spot Prices'!M36</f>
        <v>-0.15988844075858466</v>
      </c>
      <c r="N13" s="46">
        <f>'Spot Prices'!N36</f>
        <v>-8.9701176384817005E-2</v>
      </c>
      <c r="O13" s="46">
        <f>'Spot Prices'!O36</f>
        <v>-0.14714415762311406</v>
      </c>
      <c r="P13" s="46">
        <f>'Spot Prices'!P36</f>
        <v>-0.14714415762311417</v>
      </c>
      <c r="Q13" s="46">
        <f>'Spot Prices'!Q36</f>
        <v>-0.14714415762311417</v>
      </c>
      <c r="R13" s="46">
        <f>'Spot Prices'!R36</f>
        <v>-0.14714415762311428</v>
      </c>
      <c r="S13" s="46">
        <f>'Spot Prices'!S36</f>
        <v>-0.14714415762311428</v>
      </c>
      <c r="T13" s="46">
        <f>'Spot Prices'!T36</f>
        <v>-0.14714415762311439</v>
      </c>
    </row>
    <row r="15" spans="2:20" x14ac:dyDescent="0.3">
      <c r="B15" s="32" t="str">
        <f>D39</f>
        <v>Dispatched Energy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 t="shared" ref="E17:O24" si="0">AVERAGEIFS($F$39:$F$1048576,$B$39:$B$1048576,$B$2,$D$39:$D$1048576,$B$15,$C$39:$C$1048576,E$16,$E$39:$E$1048576,$B17)</f>
        <v>198390.875</v>
      </c>
      <c r="F17" s="15">
        <f t="shared" si="0"/>
        <v>231953.42499999999</v>
      </c>
      <c r="G17" s="15">
        <f t="shared" si="0"/>
        <v>229409.32500000001</v>
      </c>
      <c r="H17" s="15">
        <f t="shared" si="0"/>
        <v>235965.27499999999</v>
      </c>
      <c r="I17" s="15">
        <f t="shared" si="0"/>
        <v>232589.45</v>
      </c>
      <c r="J17" s="15">
        <f t="shared" si="0"/>
        <v>233225.47500000001</v>
      </c>
      <c r="K17" s="15">
        <f t="shared" si="0"/>
        <v>211013.52499999999</v>
      </c>
      <c r="L17" s="15">
        <f t="shared" si="0"/>
        <v>228235.125</v>
      </c>
      <c r="M17" s="15">
        <f t="shared" si="0"/>
        <v>220945.3</v>
      </c>
      <c r="N17" s="15">
        <f t="shared" si="0"/>
        <v>230926</v>
      </c>
      <c r="O17" s="15">
        <f t="shared" si="0"/>
        <v>237139.47500000001</v>
      </c>
      <c r="P17" s="36">
        <f>'Spot Prices'!P17/'Spot Prices'!O17*DualFuelMWh!O17</f>
        <v>248173.42862378282</v>
      </c>
      <c r="Q17" s="36">
        <f>'Spot Prices'!Q17/'Spot Prices'!P17*DualFuelMWh!P17</f>
        <v>273470.06370494911</v>
      </c>
      <c r="R17" s="36">
        <f>'Spot Prices'!R17/'Spot Prices'!Q17*DualFuelMWh!Q17</f>
        <v>272136.15377589653</v>
      </c>
      <c r="S17" s="36">
        <f>'Spot Prices'!S17/'Spot Prices'!R17*DualFuelMWh!R17</f>
        <v>282308.42536370427</v>
      </c>
      <c r="T17" s="36">
        <f>'Spot Prices'!T17/'Spot Prices'!S17*DualFuelMWh!S17</f>
        <v>279059.57120725204</v>
      </c>
    </row>
    <row r="18" spans="2:20" x14ac:dyDescent="0.3">
      <c r="B18" s="3">
        <v>0.95</v>
      </c>
      <c r="C18" s="17"/>
      <c r="D18" s="17"/>
      <c r="E18" s="15">
        <f t="shared" si="0"/>
        <v>152352.45000000001</v>
      </c>
      <c r="F18" s="15">
        <f t="shared" si="0"/>
        <v>185376.82500000004</v>
      </c>
      <c r="G18" s="15">
        <f t="shared" si="0"/>
        <v>182245.625</v>
      </c>
      <c r="H18" s="15">
        <f t="shared" si="0"/>
        <v>181071.42499999996</v>
      </c>
      <c r="I18" s="15">
        <f t="shared" si="0"/>
        <v>184006.92499999996</v>
      </c>
      <c r="J18" s="15">
        <f t="shared" si="0"/>
        <v>184006.92499999996</v>
      </c>
      <c r="K18" s="15">
        <f t="shared" si="0"/>
        <v>175249.35</v>
      </c>
      <c r="L18" s="15">
        <f t="shared" si="0"/>
        <v>181805.29999999996</v>
      </c>
      <c r="M18" s="15">
        <f t="shared" si="0"/>
        <v>181071.42499999996</v>
      </c>
      <c r="N18" s="15">
        <f t="shared" si="0"/>
        <v>189070.66250000001</v>
      </c>
      <c r="O18" s="15">
        <f t="shared" si="0"/>
        <v>192911.27499999999</v>
      </c>
      <c r="P18" s="36">
        <f>'Spot Prices'!P18/'Spot Prices'!O18*DualFuelMWh!O18</f>
        <v>207077.00080919333</v>
      </c>
      <c r="Q18" s="36">
        <f>'Spot Prices'!Q18/'Spot Prices'!P18*DualFuelMWh!P18</f>
        <v>230123.88457535548</v>
      </c>
      <c r="R18" s="36">
        <f>'Spot Prices'!R18/'Spot Prices'!Q18*DualFuelMWh!Q18</f>
        <v>232637.45981939777</v>
      </c>
      <c r="S18" s="36">
        <f>'Spot Prices'!S18/'Spot Prices'!R18*DualFuelMWh!R18</f>
        <v>245144.55243203364</v>
      </c>
      <c r="T18" s="36">
        <f>'Spot Prices'!T18/'Spot Prices'!S18*DualFuelMWh!S18</f>
        <v>245162.78783864959</v>
      </c>
    </row>
    <row r="19" spans="2:20" x14ac:dyDescent="0.3">
      <c r="B19" s="5">
        <v>0.75</v>
      </c>
      <c r="C19" s="48"/>
      <c r="D19" s="48"/>
      <c r="E19" s="47">
        <f t="shared" si="0"/>
        <v>132782.45000000001</v>
      </c>
      <c r="F19" s="47">
        <f t="shared" si="0"/>
        <v>165342.03750000001</v>
      </c>
      <c r="G19" s="47">
        <f t="shared" si="0"/>
        <v>162626.70000000001</v>
      </c>
      <c r="H19" s="47">
        <f t="shared" si="0"/>
        <v>161452.5</v>
      </c>
      <c r="I19" s="47">
        <f t="shared" si="0"/>
        <v>165562.20000000001</v>
      </c>
      <c r="J19" s="47">
        <f t="shared" si="0"/>
        <v>164877.25</v>
      </c>
      <c r="K19" s="47">
        <f t="shared" si="0"/>
        <v>158859.47500000001</v>
      </c>
      <c r="L19" s="47">
        <f t="shared" si="0"/>
        <v>162822.39999999999</v>
      </c>
      <c r="M19" s="47">
        <f t="shared" si="0"/>
        <v>163605.20000000001</v>
      </c>
      <c r="N19" s="47">
        <f t="shared" si="0"/>
        <v>168693.4</v>
      </c>
      <c r="O19" s="47">
        <f t="shared" si="0"/>
        <v>173096.65</v>
      </c>
      <c r="P19" s="50">
        <f>'Spot Prices'!P19/'Spot Prices'!O19*DualFuelMWh!O19</f>
        <v>186450.07418862157</v>
      </c>
      <c r="Q19" s="50">
        <f>'Spot Prices'!Q19/'Spot Prices'!P19*DualFuelMWh!P19</f>
        <v>212263.13163165952</v>
      </c>
      <c r="R19" s="50">
        <f>'Spot Prices'!R19/'Spot Prices'!Q19*DualFuelMWh!Q19</f>
        <v>213709.19958446297</v>
      </c>
      <c r="S19" s="50">
        <f>'Spot Prices'!S19/'Spot Prices'!R19*DualFuelMWh!R19</f>
        <v>230765.39736200162</v>
      </c>
      <c r="T19" s="50">
        <f>'Spot Prices'!T19/'Spot Prices'!S19*DualFuelMWh!S19</f>
        <v>229892.55633864089</v>
      </c>
    </row>
    <row r="20" spans="2:20" x14ac:dyDescent="0.3">
      <c r="B20" s="7">
        <v>0.5</v>
      </c>
      <c r="C20" s="39"/>
      <c r="D20" s="39"/>
      <c r="E20" s="42">
        <f t="shared" si="0"/>
        <v>122752.825</v>
      </c>
      <c r="F20" s="42">
        <f t="shared" si="0"/>
        <v>153918.04999999999</v>
      </c>
      <c r="G20" s="42">
        <f t="shared" si="0"/>
        <v>151373.95000000001</v>
      </c>
      <c r="H20" s="42">
        <f t="shared" si="0"/>
        <v>150493.29999999999</v>
      </c>
      <c r="I20" s="42">
        <f t="shared" si="0"/>
        <v>154211.6</v>
      </c>
      <c r="J20" s="42">
        <f t="shared" si="0"/>
        <v>154358.375</v>
      </c>
      <c r="K20" s="42">
        <f t="shared" si="0"/>
        <v>148047.04999999999</v>
      </c>
      <c r="L20" s="42">
        <f t="shared" si="0"/>
        <v>151373.95000000001</v>
      </c>
      <c r="M20" s="42">
        <f t="shared" si="0"/>
        <v>152303.52499999999</v>
      </c>
      <c r="N20" s="42">
        <f t="shared" si="0"/>
        <v>155997.36249999999</v>
      </c>
      <c r="O20" s="42">
        <f t="shared" si="0"/>
        <v>158370.22500000001</v>
      </c>
      <c r="P20" s="45">
        <f>'Spot Prices'!P20/'Spot Prices'!O20*DualFuelMWh!O20</f>
        <v>171892.5209759576</v>
      </c>
      <c r="Q20" s="45">
        <f>'Spot Prices'!Q20/'Spot Prices'!P20*DualFuelMWh!P20</f>
        <v>196845.7156091629</v>
      </c>
      <c r="R20" s="45">
        <f>'Spot Prices'!R20/'Spot Prices'!Q20*DualFuelMWh!Q20</f>
        <v>198866.28205521835</v>
      </c>
      <c r="S20" s="45">
        <f>'Spot Prices'!S20/'Spot Prices'!R20*DualFuelMWh!R20</f>
        <v>217388.36243605815</v>
      </c>
      <c r="T20" s="45">
        <f>'Spot Prices'!T20/'Spot Prices'!S20*DualFuelMWh!S20</f>
        <v>215679.55955607002</v>
      </c>
    </row>
    <row r="21" spans="2:20" x14ac:dyDescent="0.3">
      <c r="B21" s="5">
        <v>0.25</v>
      </c>
      <c r="C21" s="48"/>
      <c r="D21" s="48"/>
      <c r="E21" s="47">
        <f t="shared" si="0"/>
        <v>113652.77499999999</v>
      </c>
      <c r="F21" s="47">
        <f t="shared" si="0"/>
        <v>142861</v>
      </c>
      <c r="G21" s="47">
        <f t="shared" si="0"/>
        <v>140806.15</v>
      </c>
      <c r="H21" s="47">
        <f t="shared" si="0"/>
        <v>139729.79999999999</v>
      </c>
      <c r="I21" s="47">
        <f t="shared" si="0"/>
        <v>143301.32500000001</v>
      </c>
      <c r="J21" s="47">
        <f t="shared" si="0"/>
        <v>143961.8125</v>
      </c>
      <c r="K21" s="47">
        <f t="shared" si="0"/>
        <v>138017.42499999999</v>
      </c>
      <c r="L21" s="47">
        <f t="shared" si="0"/>
        <v>140414.75</v>
      </c>
      <c r="M21" s="47">
        <f t="shared" si="0"/>
        <v>141148.625</v>
      </c>
      <c r="N21" s="47">
        <f t="shared" si="0"/>
        <v>143301.32500000001</v>
      </c>
      <c r="O21" s="47">
        <f t="shared" si="0"/>
        <v>143350.25</v>
      </c>
      <c r="P21" s="50">
        <f>'Spot Prices'!P21/'Spot Prices'!O21*DualFuelMWh!O21</f>
        <v>153286.22084493944</v>
      </c>
      <c r="Q21" s="50">
        <f>'Spot Prices'!Q21/'Spot Prices'!P21*DualFuelMWh!P21</f>
        <v>174350.79829271697</v>
      </c>
      <c r="R21" s="50">
        <f>'Spot Prices'!R21/'Spot Prices'!Q21*DualFuelMWh!Q21</f>
        <v>173214.13189785244</v>
      </c>
      <c r="S21" s="50">
        <f>'Spot Prices'!S21/'Spot Prices'!R21*DualFuelMWh!R21</f>
        <v>187877.68537993828</v>
      </c>
      <c r="T21" s="50">
        <f>'Spot Prices'!T21/'Spot Prices'!S21*DualFuelMWh!S21</f>
        <v>184371.08564581771</v>
      </c>
    </row>
    <row r="22" spans="2:20" x14ac:dyDescent="0.3">
      <c r="B22" s="3">
        <v>0.05</v>
      </c>
      <c r="C22" s="17"/>
      <c r="D22" s="17"/>
      <c r="E22" s="15">
        <f t="shared" si="0"/>
        <v>101225.825</v>
      </c>
      <c r="F22" s="15">
        <f t="shared" si="0"/>
        <v>127474.08749999998</v>
      </c>
      <c r="G22" s="15">
        <f t="shared" si="0"/>
        <v>125027.83749999998</v>
      </c>
      <c r="H22" s="15">
        <f t="shared" si="0"/>
        <v>124367.35000000002</v>
      </c>
      <c r="I22" s="15">
        <f t="shared" si="0"/>
        <v>127376.2375</v>
      </c>
      <c r="J22" s="15">
        <f t="shared" si="0"/>
        <v>128574.89999999998</v>
      </c>
      <c r="K22" s="15">
        <f t="shared" si="0"/>
        <v>124807.675</v>
      </c>
      <c r="L22" s="15">
        <f t="shared" si="0"/>
        <v>124489.66250000002</v>
      </c>
      <c r="M22" s="15">
        <f t="shared" si="0"/>
        <v>124709.825</v>
      </c>
      <c r="N22" s="15">
        <f t="shared" si="0"/>
        <v>124954.45</v>
      </c>
      <c r="O22" s="15">
        <f t="shared" si="0"/>
        <v>125541.55</v>
      </c>
      <c r="P22" s="36">
        <f>'Spot Prices'!P22/'Spot Prices'!O22*DualFuelMWh!O22</f>
        <v>131007.62320815159</v>
      </c>
      <c r="Q22" s="36">
        <f>'Spot Prices'!Q22/'Spot Prices'!P22*DualFuelMWh!P22</f>
        <v>146079.6779623731</v>
      </c>
      <c r="R22" s="36">
        <f>'Spot Prices'!R22/'Spot Prices'!Q22*DualFuelMWh!Q22</f>
        <v>135296.75292812535</v>
      </c>
      <c r="S22" s="36">
        <f>'Spot Prices'!S22/'Spot Prices'!R22*DualFuelMWh!R22</f>
        <v>143908.13449911305</v>
      </c>
      <c r="T22" s="36">
        <f>'Spot Prices'!T22/'Spot Prices'!S22*DualFuelMWh!S22</f>
        <v>136372.77004381586</v>
      </c>
    </row>
    <row r="23" spans="2:20" x14ac:dyDescent="0.3">
      <c r="B23" s="3">
        <v>0</v>
      </c>
      <c r="C23" s="17"/>
      <c r="D23" s="17"/>
      <c r="E23" s="15">
        <f t="shared" si="0"/>
        <v>71234.8</v>
      </c>
      <c r="F23" s="15">
        <f t="shared" si="0"/>
        <v>96675.8</v>
      </c>
      <c r="G23" s="15">
        <f t="shared" si="0"/>
        <v>93153.2</v>
      </c>
      <c r="H23" s="15">
        <f t="shared" si="0"/>
        <v>95893</v>
      </c>
      <c r="I23" s="15">
        <f t="shared" si="0"/>
        <v>96333.324999999997</v>
      </c>
      <c r="J23" s="15">
        <f t="shared" si="0"/>
        <v>92468.25</v>
      </c>
      <c r="K23" s="15">
        <f t="shared" si="0"/>
        <v>90462.324999999997</v>
      </c>
      <c r="L23" s="15">
        <f t="shared" si="0"/>
        <v>90902.65</v>
      </c>
      <c r="M23" s="15">
        <f t="shared" si="0"/>
        <v>92810.725000000006</v>
      </c>
      <c r="N23" s="15">
        <f t="shared" si="0"/>
        <v>98975.274999999994</v>
      </c>
      <c r="O23" s="15">
        <f t="shared" si="0"/>
        <v>98437.1</v>
      </c>
      <c r="P23" s="36">
        <f>'Spot Prices'!P23/'Spot Prices'!O23*DualFuelMWh!O23</f>
        <v>96964.279775027986</v>
      </c>
      <c r="Q23" s="36">
        <f>'Spot Prices'!Q23/'Spot Prices'!P23*DualFuelMWh!P23</f>
        <v>111459.91692959507</v>
      </c>
      <c r="R23" s="36">
        <f>'Spot Prices'!R23/'Spot Prices'!Q23*DualFuelMWh!Q23</f>
        <v>101813.7236783308</v>
      </c>
      <c r="S23" s="36">
        <f>'Spot Prices'!S23/'Spot Prices'!R23*DualFuelMWh!R23</f>
        <v>108726.57153031473</v>
      </c>
      <c r="T23" s="36">
        <f>'Spot Prices'!T23/'Spot Prices'!S23*DualFuelMWh!S23</f>
        <v>93404.25920296066</v>
      </c>
    </row>
    <row r="24" spans="2:20" x14ac:dyDescent="0.3">
      <c r="B24" s="9" t="s">
        <v>29</v>
      </c>
      <c r="C24" s="48"/>
      <c r="D24" s="48"/>
      <c r="E24" s="47">
        <f t="shared" si="0"/>
        <v>124118.9795</v>
      </c>
      <c r="F24" s="47">
        <f t="shared" si="0"/>
        <v>154803.4185</v>
      </c>
      <c r="G24" s="47">
        <f t="shared" si="0"/>
        <v>152216.62330000001</v>
      </c>
      <c r="H24" s="47">
        <f t="shared" si="0"/>
        <v>151274.89319999999</v>
      </c>
      <c r="I24" s="47">
        <f t="shared" si="0"/>
        <v>154874.16949999999</v>
      </c>
      <c r="J24" s="47">
        <f t="shared" si="0"/>
        <v>154919.30009999999</v>
      </c>
      <c r="K24" s="47">
        <f t="shared" si="0"/>
        <v>148802.9032</v>
      </c>
      <c r="L24" s="47">
        <f t="shared" si="0"/>
        <v>152117.26209999999</v>
      </c>
      <c r="M24" s="47">
        <f t="shared" si="0"/>
        <v>152668.26629999999</v>
      </c>
      <c r="N24" s="47">
        <f t="shared" si="0"/>
        <v>156446.30369999999</v>
      </c>
      <c r="O24" s="47">
        <f t="shared" si="0"/>
        <v>158763.3591</v>
      </c>
      <c r="P24" s="50">
        <f>'Spot Prices'!P24/'Spot Prices'!O24*DualFuelMWh!O24</f>
        <v>170402.92334350199</v>
      </c>
      <c r="Q24" s="50">
        <f>'Spot Prices'!Q24/'Spot Prices'!P24*DualFuelMWh!P24</f>
        <v>192933.80893849017</v>
      </c>
      <c r="R24" s="50">
        <f>'Spot Prices'!R24/'Spot Prices'!Q24*DualFuelMWh!Q24</f>
        <v>192479.0500145299</v>
      </c>
      <c r="S24" s="50">
        <f>'Spot Prices'!S24/'Spot Prices'!R24*DualFuelMWh!R24</f>
        <v>207752.89288173741</v>
      </c>
      <c r="T24" s="50">
        <f>'Spot Prices'!T24/'Spot Prices'!S24*DualFuelMWh!S24</f>
        <v>205188.65191105107</v>
      </c>
    </row>
    <row r="26" spans="2:20" x14ac:dyDescent="0.3">
      <c r="B26" s="1" t="str">
        <f>"Adjusted "&amp;B15</f>
        <v>Adjusted Dispatched Energy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1">(C17*(1+C6))*($E$26)</f>
        <v>0</v>
      </c>
      <c r="D28" s="20">
        <f t="shared" si="1"/>
        <v>0</v>
      </c>
      <c r="E28" s="15">
        <f t="shared" si="1"/>
        <v>201820.76263747463</v>
      </c>
      <c r="F28" s="15">
        <f t="shared" si="1"/>
        <v>223099.90162723124</v>
      </c>
      <c r="G28" s="15">
        <f t="shared" si="1"/>
        <v>214825.15192140784</v>
      </c>
      <c r="H28" s="15">
        <f t="shared" si="1"/>
        <v>213615.44804768232</v>
      </c>
      <c r="I28" s="15">
        <f t="shared" si="1"/>
        <v>225657.37503442023</v>
      </c>
      <c r="J28" s="15">
        <f t="shared" si="1"/>
        <v>226910.47035391381</v>
      </c>
      <c r="K28" s="15">
        <f t="shared" si="1"/>
        <v>196167.35585615449</v>
      </c>
      <c r="L28" s="15">
        <f t="shared" si="1"/>
        <v>214058.95777539184</v>
      </c>
      <c r="M28" s="15">
        <f t="shared" si="1"/>
        <v>205685.97981348174</v>
      </c>
      <c r="N28" s="15">
        <f t="shared" si="1"/>
        <v>228891.11680136132</v>
      </c>
      <c r="O28" s="15">
        <f t="shared" si="1"/>
        <v>221429.16934589471</v>
      </c>
      <c r="P28" s="36">
        <f>(O28*'Spot Prices'!P5/'Spot Prices'!O5)*($E$26)</f>
        <v>231732.13212978106</v>
      </c>
      <c r="Q28" s="36">
        <f>(P28*'Spot Prices'!Q5/'Spot Prices'!P5)*($E$26)</f>
        <v>255352.8848250836</v>
      </c>
      <c r="R28" s="36">
        <f>(Q28*'Spot Prices'!R5/'Spot Prices'!Q5)*($E$26)</f>
        <v>254107.34539065431</v>
      </c>
      <c r="S28" s="36">
        <f>(R28*'Spot Prices'!S5/'Spot Prices'!R5)*($E$26)</f>
        <v>263605.71190280549</v>
      </c>
      <c r="T28" s="36">
        <f>(S28*'Spot Prices'!T5/'Spot Prices'!S5)*($E$26)</f>
        <v>260572.09180564884</v>
      </c>
    </row>
    <row r="29" spans="2:20" x14ac:dyDescent="0.3">
      <c r="B29" s="3">
        <v>0.95</v>
      </c>
      <c r="C29" s="20">
        <f t="shared" ref="C29:O29" si="2">(C18*(1+C7))*($E$26)</f>
        <v>0</v>
      </c>
      <c r="D29" s="20">
        <f t="shared" si="2"/>
        <v>0</v>
      </c>
      <c r="E29" s="15">
        <f t="shared" si="2"/>
        <v>152363.72393377018</v>
      </c>
      <c r="F29" s="15">
        <f t="shared" si="2"/>
        <v>162080.53218274974</v>
      </c>
      <c r="G29" s="15">
        <f t="shared" si="2"/>
        <v>142416.22961200777</v>
      </c>
      <c r="H29" s="15">
        <f t="shared" si="2"/>
        <v>152174.4579873328</v>
      </c>
      <c r="I29" s="15">
        <f t="shared" si="2"/>
        <v>162334.41425756214</v>
      </c>
      <c r="J29" s="15">
        <f t="shared" si="2"/>
        <v>171447.69961666138</v>
      </c>
      <c r="K29" s="15">
        <f t="shared" si="2"/>
        <v>155654.78312360236</v>
      </c>
      <c r="L29" s="15">
        <f t="shared" si="2"/>
        <v>161916.72122054594</v>
      </c>
      <c r="M29" s="15">
        <f t="shared" si="2"/>
        <v>157627.06745420847</v>
      </c>
      <c r="N29" s="15">
        <f t="shared" si="2"/>
        <v>175715.1905470452</v>
      </c>
      <c r="O29" s="15">
        <f t="shared" si="2"/>
        <v>169313.62079897011</v>
      </c>
      <c r="P29" s="36">
        <f>(O29*'Spot Prices'!P6/'Spot Prices'!O6)*($E$26)</f>
        <v>181746.54017084168</v>
      </c>
      <c r="Q29" s="36">
        <f>(P29*'Spot Prices'!Q6/'Spot Prices'!P6)*($E$26)</f>
        <v>201974.23986637226</v>
      </c>
      <c r="R29" s="36">
        <f>(Q29*'Spot Prices'!R6/'Spot Prices'!Q6)*($E$26)</f>
        <v>204180.34485281978</v>
      </c>
      <c r="S29" s="36">
        <f>(R29*'Spot Prices'!S6/'Spot Prices'!R6)*($E$26)</f>
        <v>215157.52146374327</v>
      </c>
      <c r="T29" s="36">
        <f>(S29*'Spot Prices'!T6/'Spot Prices'!S6)*($E$26)</f>
        <v>215173.52624480592</v>
      </c>
    </row>
    <row r="30" spans="2:20" x14ac:dyDescent="0.3">
      <c r="B30" s="5">
        <v>0.75</v>
      </c>
      <c r="C30" s="51">
        <f t="shared" ref="C30:O30" si="3">(C19*(1+C8))*($E$26)</f>
        <v>0</v>
      </c>
      <c r="D30" s="51">
        <f t="shared" si="3"/>
        <v>0</v>
      </c>
      <c r="E30" s="47">
        <f t="shared" si="3"/>
        <v>132763.60013380417</v>
      </c>
      <c r="F30" s="47">
        <f t="shared" si="3"/>
        <v>141175.30394704483</v>
      </c>
      <c r="G30" s="47">
        <f t="shared" si="3"/>
        <v>117253.33745493072</v>
      </c>
      <c r="H30" s="47">
        <f t="shared" si="3"/>
        <v>129173.81402466907</v>
      </c>
      <c r="I30" s="47">
        <f t="shared" si="3"/>
        <v>141850.90373715799</v>
      </c>
      <c r="J30" s="47">
        <f t="shared" si="3"/>
        <v>148461.43291490528</v>
      </c>
      <c r="K30" s="47">
        <f t="shared" si="3"/>
        <v>137553.03943842571</v>
      </c>
      <c r="L30" s="47">
        <f t="shared" si="3"/>
        <v>142213.14378097467</v>
      </c>
      <c r="M30" s="47">
        <f t="shared" si="3"/>
        <v>138924.08648492704</v>
      </c>
      <c r="N30" s="47">
        <f t="shared" si="3"/>
        <v>154358.01737214616</v>
      </c>
      <c r="O30" s="47">
        <f t="shared" si="3"/>
        <v>149294.42559917542</v>
      </c>
      <c r="P30" s="50">
        <f>(O30*'Spot Prices'!P7/'Spot Prices'!O7)*($E$26)</f>
        <v>160811.64325776324</v>
      </c>
      <c r="Q30" s="50">
        <f>(P30*'Spot Prices'!Q7/'Spot Prices'!P7)*($E$26)</f>
        <v>183075.19130399561</v>
      </c>
      <c r="R30" s="50">
        <f>(Q30*'Spot Prices'!R7/'Spot Prices'!Q7)*($E$26)</f>
        <v>184322.41292492917</v>
      </c>
      <c r="S30" s="50">
        <f>(R30*'Spot Prices'!S7/'Spot Prices'!R7)*($E$26)</f>
        <v>199033.24210679703</v>
      </c>
      <c r="T30" s="50">
        <f>(S30*'Spot Prices'!T7/'Spot Prices'!S7)*($E$26)</f>
        <v>198280.4239602758</v>
      </c>
    </row>
    <row r="31" spans="2:20" x14ac:dyDescent="0.3">
      <c r="B31" s="7">
        <v>0.5</v>
      </c>
      <c r="C31" s="43">
        <f t="shared" ref="C31:O31" si="4">(C20*(1+C9))*($E$26)</f>
        <v>0</v>
      </c>
      <c r="D31" s="43">
        <f t="shared" si="4"/>
        <v>0</v>
      </c>
      <c r="E31" s="42">
        <f t="shared" si="4"/>
        <v>122637.09030490319</v>
      </c>
      <c r="F31" s="42">
        <f t="shared" si="4"/>
        <v>129578.51458825199</v>
      </c>
      <c r="G31" s="42">
        <f t="shared" si="4"/>
        <v>103158.60229307962</v>
      </c>
      <c r="H31" s="42">
        <f t="shared" si="4"/>
        <v>116626.01882621713</v>
      </c>
      <c r="I31" s="42">
        <f t="shared" si="4"/>
        <v>130324.23837451017</v>
      </c>
      <c r="J31" s="42">
        <f t="shared" si="4"/>
        <v>137290.21191453794</v>
      </c>
      <c r="K31" s="42">
        <f t="shared" si="4"/>
        <v>127104.03899786351</v>
      </c>
      <c r="L31" s="42">
        <f t="shared" si="4"/>
        <v>130862.95101750008</v>
      </c>
      <c r="M31" s="42">
        <f t="shared" si="4"/>
        <v>127111.10214244378</v>
      </c>
      <c r="N31" s="42">
        <f t="shared" si="4"/>
        <v>141853.85098559657</v>
      </c>
      <c r="O31" s="42">
        <f t="shared" si="4"/>
        <v>134100.72448493433</v>
      </c>
      <c r="P31" s="45">
        <f>(O31*'Spot Prices'!P8/'Spot Prices'!O8)*($E$26)</f>
        <v>145550.79148506408</v>
      </c>
      <c r="Q31" s="45">
        <f>(P31*'Spot Prices'!Q8/'Spot Prices'!P8)*($E$26)</f>
        <v>166680.025080119</v>
      </c>
      <c r="R31" s="45">
        <f>(Q31*'Spot Prices'!R8/'Spot Prices'!Q8)*($E$26)</f>
        <v>168390.94911451996</v>
      </c>
      <c r="S31" s="45">
        <f>(R31*'Spot Prices'!S8/'Spot Prices'!R8)*($E$26)</f>
        <v>184074.60680989042</v>
      </c>
      <c r="T31" s="45">
        <f>(S31*'Spot Prices'!T8/'Spot Prices'!S8)*($E$26)</f>
        <v>182627.67002484543</v>
      </c>
    </row>
    <row r="32" spans="2:20" x14ac:dyDescent="0.3">
      <c r="B32" s="5">
        <v>0.25</v>
      </c>
      <c r="C32" s="51">
        <f t="shared" ref="C32:O32" si="5">(C21*(1+C10))*($E$26)</f>
        <v>0</v>
      </c>
      <c r="D32" s="51">
        <f t="shared" si="5"/>
        <v>0</v>
      </c>
      <c r="E32" s="47">
        <f t="shared" si="5"/>
        <v>113551.85865422025</v>
      </c>
      <c r="F32" s="47">
        <f t="shared" si="5"/>
        <v>118462.60406603634</v>
      </c>
      <c r="G32" s="47">
        <f t="shared" si="5"/>
        <v>89533.276578608697</v>
      </c>
      <c r="H32" s="47">
        <f t="shared" si="5"/>
        <v>105267.87233182427</v>
      </c>
      <c r="I32" s="47">
        <f t="shared" si="5"/>
        <v>118530.93064642837</v>
      </c>
      <c r="J32" s="47">
        <f t="shared" si="5"/>
        <v>126558.39568348473</v>
      </c>
      <c r="K32" s="47">
        <f t="shared" si="5"/>
        <v>117576.82997849665</v>
      </c>
      <c r="L32" s="47">
        <f t="shared" si="5"/>
        <v>120753.07978632666</v>
      </c>
      <c r="M32" s="47">
        <f t="shared" si="5"/>
        <v>116943.40663331564</v>
      </c>
      <c r="N32" s="47">
        <f t="shared" si="5"/>
        <v>129396.54062508329</v>
      </c>
      <c r="O32" s="47">
        <f t="shared" si="5"/>
        <v>120442.22575134868</v>
      </c>
      <c r="P32" s="50">
        <f>(O32*'Spot Prices'!P9/'Spot Prices'!O9)*($E$26)</f>
        <v>128790.38310416124</v>
      </c>
      <c r="Q32" s="50">
        <f>(P32*'Spot Prices'!Q9/'Spot Prices'!P9)*($E$26)</f>
        <v>146488.7449299829</v>
      </c>
      <c r="R32" s="50">
        <f>(Q32*'Spot Prices'!R9/'Spot Prices'!Q9)*($E$26)</f>
        <v>145533.7230131446</v>
      </c>
      <c r="S32" s="50">
        <f>(R32*'Spot Prices'!S9/'Spot Prices'!R9)*($E$26)</f>
        <v>157853.97371941374</v>
      </c>
      <c r="T32" s="50">
        <f>(S32*'Spot Prices'!T9/'Spot Prices'!S9)*($E$26)</f>
        <v>154907.74462810371</v>
      </c>
    </row>
    <row r="33" spans="2:20" x14ac:dyDescent="0.3">
      <c r="B33" s="3">
        <v>0.05</v>
      </c>
      <c r="C33" s="20">
        <f t="shared" ref="C33:O33" si="6">(C22*(1+C11))*($E$26)</f>
        <v>0</v>
      </c>
      <c r="D33" s="20">
        <f t="shared" si="6"/>
        <v>0</v>
      </c>
      <c r="E33" s="15">
        <f t="shared" si="6"/>
        <v>101051.37139789693</v>
      </c>
      <c r="F33" s="15">
        <f t="shared" si="6"/>
        <v>102649.63481667284</v>
      </c>
      <c r="G33" s="15">
        <f t="shared" si="6"/>
        <v>70532.422448917685</v>
      </c>
      <c r="H33" s="15">
        <f t="shared" si="6"/>
        <v>89398.385199607073</v>
      </c>
      <c r="I33" s="15">
        <f t="shared" si="6"/>
        <v>101573.77034275825</v>
      </c>
      <c r="J33" s="15">
        <f t="shared" si="6"/>
        <v>110086.34017203697</v>
      </c>
      <c r="K33" s="15">
        <f t="shared" si="6"/>
        <v>104660.13112655975</v>
      </c>
      <c r="L33" s="15">
        <f t="shared" si="6"/>
        <v>104692.20821449101</v>
      </c>
      <c r="M33" s="15">
        <f t="shared" si="6"/>
        <v>100820.50648514528</v>
      </c>
      <c r="N33" s="15">
        <f t="shared" si="6"/>
        <v>111379.24999138972</v>
      </c>
      <c r="O33" s="15">
        <f t="shared" si="6"/>
        <v>103572.99618261313</v>
      </c>
      <c r="P33" s="36">
        <f>(O33*'Spot Prices'!P10/'Spot Prices'!O10)*($E$26)</f>
        <v>108082.55958629715</v>
      </c>
      <c r="Q33" s="36">
        <f>(P33*'Spot Prices'!Q10/'Spot Prices'!P10)*($E$26)</f>
        <v>120517.15091899234</v>
      </c>
      <c r="R33" s="36">
        <f>(Q33*'Spot Prices'!R10/'Spot Prices'!Q10)*($E$26)</f>
        <v>111621.13319888657</v>
      </c>
      <c r="S33" s="36">
        <f>(R33*'Spot Prices'!S10/'Spot Prices'!R10)*($E$26)</f>
        <v>118725.6065033737</v>
      </c>
      <c r="T33" s="36">
        <f>(S33*'Spot Prices'!T10/'Spot Prices'!S10)*($E$26)</f>
        <v>112508.85775395094</v>
      </c>
    </row>
    <row r="34" spans="2:20" x14ac:dyDescent="0.3">
      <c r="B34" s="3">
        <v>0</v>
      </c>
      <c r="C34" s="20">
        <f t="shared" ref="C34:O34" si="7">(C23*(1+C12))*($E$26)</f>
        <v>0</v>
      </c>
      <c r="D34" s="20">
        <f t="shared" si="7"/>
        <v>0</v>
      </c>
      <c r="E34" s="15">
        <f t="shared" si="7"/>
        <v>71971.950390188693</v>
      </c>
      <c r="F34" s="15">
        <f t="shared" si="7"/>
        <v>78113.504513140113</v>
      </c>
      <c r="G34" s="15">
        <f t="shared" si="7"/>
        <v>36773.689542036722</v>
      </c>
      <c r="H34" s="15">
        <f t="shared" si="7"/>
        <v>53353.348081944117</v>
      </c>
      <c r="I34" s="15">
        <f t="shared" si="7"/>
        <v>59344.354009816096</v>
      </c>
      <c r="J34" s="15">
        <f t="shared" si="7"/>
        <v>72629.046436223405</v>
      </c>
      <c r="K34" s="15">
        <f t="shared" si="7"/>
        <v>72477.466345511071</v>
      </c>
      <c r="L34" s="15">
        <f t="shared" si="7"/>
        <v>68959.63058416381</v>
      </c>
      <c r="M34" s="15">
        <f t="shared" si="7"/>
        <v>72532.233798137473</v>
      </c>
      <c r="N34" s="15">
        <f t="shared" si="7"/>
        <v>83462.595813605352</v>
      </c>
      <c r="O34" s="15">
        <f t="shared" si="7"/>
        <v>75981.879504932702</v>
      </c>
      <c r="P34" s="36">
        <f>(O34*'Spot Prices'!P11/'Spot Prices'!O11)*($E$26)</f>
        <v>74845.035277845032</v>
      </c>
      <c r="Q34" s="36">
        <f>(P34*'Spot Prices'!Q11/'Spot Prices'!P11)*($E$26)</f>
        <v>86033.964610642739</v>
      </c>
      <c r="R34" s="36">
        <f>(Q34*'Spot Prices'!R11/'Spot Prices'!Q11)*($E$26)</f>
        <v>78588.236391314305</v>
      </c>
      <c r="S34" s="36">
        <f>(R34*'Spot Prices'!S11/'Spot Prices'!R11)*($E$26)</f>
        <v>83924.143000970376</v>
      </c>
      <c r="T34" s="36">
        <f>(S34*'Spot Prices'!T11/'Spot Prices'!S11)*($E$26)</f>
        <v>72097.11752994408</v>
      </c>
    </row>
    <row r="35" spans="2:20" x14ac:dyDescent="0.3">
      <c r="B35" s="9" t="s">
        <v>29</v>
      </c>
      <c r="C35" s="51">
        <f t="shared" ref="C35:O35" si="8">(C24*(1+C13))*($E$26)</f>
        <v>0</v>
      </c>
      <c r="D35" s="51">
        <f t="shared" si="8"/>
        <v>0</v>
      </c>
      <c r="E35" s="47">
        <f t="shared" si="8"/>
        <v>124082.82078640828</v>
      </c>
      <c r="F35" s="47">
        <f t="shared" si="8"/>
        <v>130522.20813375381</v>
      </c>
      <c r="G35" s="47">
        <f t="shared" si="8"/>
        <v>104239.61489763306</v>
      </c>
      <c r="H35" s="47">
        <f t="shared" si="8"/>
        <v>118129.79475659953</v>
      </c>
      <c r="I35" s="47">
        <f t="shared" si="8"/>
        <v>130944.56214039862</v>
      </c>
      <c r="J35" s="47">
        <f t="shared" si="8"/>
        <v>138333.25987373656</v>
      </c>
      <c r="K35" s="47">
        <f t="shared" si="8"/>
        <v>128227.36710737742</v>
      </c>
      <c r="L35" s="47">
        <f t="shared" si="8"/>
        <v>131996.28314942893</v>
      </c>
      <c r="M35" s="47">
        <f t="shared" si="8"/>
        <v>128258.37524797661</v>
      </c>
      <c r="N35" s="47">
        <f t="shared" si="8"/>
        <v>142412.88621705363</v>
      </c>
      <c r="O35" s="47">
        <f t="shared" si="8"/>
        <v>135402.25836381453</v>
      </c>
      <c r="P35" s="50">
        <f>(O35*'Spot Prices'!P12/'Spot Prices'!O12)*($E$26)</f>
        <v>145329.1287316063</v>
      </c>
      <c r="Q35" s="50">
        <f>(P35*'Spot Prices'!Q12/'Spot Prices'!P12)*($E$26)</f>
        <v>164544.72614521717</v>
      </c>
      <c r="R35" s="50">
        <f>(Q35*'Spot Prices'!R12/'Spot Prices'!Q12)*($E$26)</f>
        <v>164156.88234004463</v>
      </c>
      <c r="S35" s="50">
        <f>(R35*'Spot Prices'!S12/'Spot Prices'!R12)*($E$26)</f>
        <v>177183.26846488909</v>
      </c>
      <c r="T35" s="50">
        <f>(S35*'Spot Prices'!T12/'Spot Prices'!S12)*($E$26)</f>
        <v>174996.34057177705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6FEF-73ED-460B-8383-99A93E1FDF77}">
  <dimension ref="B2:T2700"/>
  <sheetViews>
    <sheetView topLeftCell="H1" workbookViewId="0">
      <selection activeCell="O20" sqref="O20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-2.707682188700089E-2</v>
      </c>
      <c r="K6" s="14">
        <f>'Spot Prices'!K29</f>
        <v>-7.0356481385946745E-2</v>
      </c>
      <c r="L6" s="14">
        <f>'Spot Prices'!L29</f>
        <v>-6.2112118915123915E-2</v>
      </c>
      <c r="M6" s="14">
        <f>'Spot Prices'!M29</f>
        <v>-6.9063791746274972E-2</v>
      </c>
      <c r="N6" s="14">
        <f>'Spot Prices'!N29</f>
        <v>-8.8118410167702388E-3</v>
      </c>
      <c r="O6" s="14">
        <f>'Spot Prices'!O29</f>
        <v>-6.6249221704253514E-2</v>
      </c>
      <c r="P6" s="14">
        <f>'Spot Prices'!P29</f>
        <v>-6.6249221704253514E-2</v>
      </c>
      <c r="Q6" s="14">
        <f>'Spot Prices'!Q29</f>
        <v>-6.6249221704253514E-2</v>
      </c>
      <c r="R6" s="14">
        <f>'Spot Prices'!R29</f>
        <v>-6.6249221704253514E-2</v>
      </c>
      <c r="S6" s="14">
        <f>'Spot Prices'!S29</f>
        <v>-6.6249221704253514E-2</v>
      </c>
      <c r="T6" s="14">
        <f>'Spot Prices'!T29</f>
        <v>-6.6249221704253514E-2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-6.8254090889995456E-2</v>
      </c>
      <c r="K7" s="14">
        <f>'Spot Prices'!K30</f>
        <v>-0.11180964081406086</v>
      </c>
      <c r="L7" s="14">
        <f>'Spot Prices'!L30</f>
        <v>-0.10939493391806532</v>
      </c>
      <c r="M7" s="14">
        <f>'Spot Prices'!M30</f>
        <v>-0.12947574442401111</v>
      </c>
      <c r="N7" s="14">
        <f>'Spot Prices'!N30</f>
        <v>-7.0637463138707668E-2</v>
      </c>
      <c r="O7" s="14">
        <f>'Spot Prices'!O30</f>
        <v>-0.12232387246950638</v>
      </c>
      <c r="P7" s="14">
        <f>'Spot Prices'!P30</f>
        <v>-0.12232387246950638</v>
      </c>
      <c r="Q7" s="14">
        <f>'Spot Prices'!Q30</f>
        <v>-0.12232387246950649</v>
      </c>
      <c r="R7" s="14">
        <f>'Spot Prices'!R30</f>
        <v>-0.12232387246950649</v>
      </c>
      <c r="S7" s="14">
        <f>'Spot Prices'!S30</f>
        <v>-0.12232387246950638</v>
      </c>
      <c r="T7" s="14">
        <f>'Spot Prices'!T30</f>
        <v>-0.12232387246950638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-9.9563870000832222E-2</v>
      </c>
      <c r="K8" s="46">
        <f>'Spot Prices'!K31</f>
        <v>-0.13412127643991212</v>
      </c>
      <c r="L8" s="46">
        <f>'Spot Prices'!L31</f>
        <v>-0.12657506718378619</v>
      </c>
      <c r="M8" s="46">
        <f>'Spot Prices'!M31</f>
        <v>-0.15085775705829008</v>
      </c>
      <c r="N8" s="46">
        <f>'Spot Prices'!N31</f>
        <v>-8.4978918131081826E-2</v>
      </c>
      <c r="O8" s="46">
        <f>'Spot Prices'!O31</f>
        <v>-0.13750829031540812</v>
      </c>
      <c r="P8" s="46">
        <f>'Spot Prices'!P31</f>
        <v>-0.13750829031540812</v>
      </c>
      <c r="Q8" s="46">
        <f>'Spot Prices'!Q31</f>
        <v>-0.13750829031540812</v>
      </c>
      <c r="R8" s="46">
        <f>'Spot Prices'!R31</f>
        <v>-0.13750829031540812</v>
      </c>
      <c r="S8" s="46">
        <f>'Spot Prices'!S31</f>
        <v>-0.13750829031540823</v>
      </c>
      <c r="T8" s="46">
        <f>'Spot Prices'!T31</f>
        <v>-0.13750829031540812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-0.11057490781087875</v>
      </c>
      <c r="K9" s="41">
        <f>'Spot Prices'!K32</f>
        <v>-0.14146185960568947</v>
      </c>
      <c r="L9" s="41">
        <f>'Spot Prices'!L32</f>
        <v>-0.1354988687452493</v>
      </c>
      <c r="M9" s="41">
        <f>'Spot Prices'!M32</f>
        <v>-0.16540932232235739</v>
      </c>
      <c r="N9" s="41">
        <f>'Spot Prices'!N32</f>
        <v>-9.066506822769782E-2</v>
      </c>
      <c r="O9" s="41">
        <f>'Spot Prices'!O32</f>
        <v>-0.15324534971814097</v>
      </c>
      <c r="P9" s="41">
        <f>'Spot Prices'!P32</f>
        <v>-0.15324534971814097</v>
      </c>
      <c r="Q9" s="41">
        <f>'Spot Prices'!Q32</f>
        <v>-0.15324534971814108</v>
      </c>
      <c r="R9" s="41">
        <f>'Spot Prices'!R32</f>
        <v>-0.15324534971814108</v>
      </c>
      <c r="S9" s="41">
        <f>'Spot Prices'!S32</f>
        <v>-0.15324534971814108</v>
      </c>
      <c r="T9" s="41">
        <f>'Spot Prices'!T32</f>
        <v>-0.15324534971814108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-0.1208891199290455</v>
      </c>
      <c r="K10" s="46">
        <f>'Spot Prices'!K33</f>
        <v>-0.14810155327490959</v>
      </c>
      <c r="L10" s="46">
        <f>'Spot Prices'!L33</f>
        <v>-0.14002567546267997</v>
      </c>
      <c r="M10" s="46">
        <f>'Spot Prices'!M33</f>
        <v>-0.17148745421136313</v>
      </c>
      <c r="N10" s="46">
        <f>'Spot Prices'!N33</f>
        <v>-9.7031792099038339E-2</v>
      </c>
      <c r="O10" s="46">
        <f>'Spot Prices'!O33</f>
        <v>-0.15980456433561374</v>
      </c>
      <c r="P10" s="46">
        <f>'Spot Prices'!P33</f>
        <v>-0.15980456433561363</v>
      </c>
      <c r="Q10" s="46">
        <f>'Spot Prices'!Q33</f>
        <v>-0.15980456433561363</v>
      </c>
      <c r="R10" s="46">
        <f>'Spot Prices'!R33</f>
        <v>-0.15980456433561374</v>
      </c>
      <c r="S10" s="46">
        <f>'Spot Prices'!S33</f>
        <v>-0.15980456433561385</v>
      </c>
      <c r="T10" s="46">
        <f>'Spot Prices'!T33</f>
        <v>-0.15980456433561385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-0.14379602728030905</v>
      </c>
      <c r="K11" s="14">
        <f>'Spot Prices'!K34</f>
        <v>-0.16142872522415197</v>
      </c>
      <c r="L11" s="14">
        <f>'Spot Prices'!L34</f>
        <v>-0.15902890158055494</v>
      </c>
      <c r="M11" s="14">
        <f>'Spot Prices'!M34</f>
        <v>-0.19155923372400463</v>
      </c>
      <c r="N11" s="14">
        <f>'Spot Prices'!N34</f>
        <v>-0.10864118891812402</v>
      </c>
      <c r="O11" s="14">
        <f>'Spot Prices'!O34</f>
        <v>-0.17499030255231729</v>
      </c>
      <c r="P11" s="14">
        <f>'Spot Prices'!P34</f>
        <v>-0.17499030255231729</v>
      </c>
      <c r="Q11" s="14">
        <f>'Spot Prices'!Q34</f>
        <v>-0.1749903025523174</v>
      </c>
      <c r="R11" s="14">
        <f>'Spot Prices'!R34</f>
        <v>-0.1749903025523174</v>
      </c>
      <c r="S11" s="14">
        <f>'Spot Prices'!S34</f>
        <v>-0.1749903025523174</v>
      </c>
      <c r="T11" s="14">
        <f>'Spot Prices'!T34</f>
        <v>-0.1749903025523174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-0.21455151972462549</v>
      </c>
      <c r="K12" s="14">
        <f>'Spot Prices'!K35</f>
        <v>-0.19881048441424565</v>
      </c>
      <c r="L12" s="14">
        <f>'Spot Prices'!L35</f>
        <v>-0.24139031607809225</v>
      </c>
      <c r="M12" s="14">
        <f>'Spot Prices'!M35</f>
        <v>-0.218492972680286</v>
      </c>
      <c r="N12" s="14">
        <f>'Spot Prices'!N35</f>
        <v>-0.15673287279469184</v>
      </c>
      <c r="O12" s="14">
        <f>'Spot Prices'!O35</f>
        <v>-0.22811745261763405</v>
      </c>
      <c r="P12" s="14">
        <f>'Spot Prices'!P35</f>
        <v>-0.22811745261763394</v>
      </c>
      <c r="Q12" s="14">
        <f>'Spot Prices'!Q35</f>
        <v>-0.22811745261763405</v>
      </c>
      <c r="R12" s="14">
        <f>'Spot Prices'!R35</f>
        <v>-0.22811745261763394</v>
      </c>
      <c r="S12" s="14">
        <f>'Spot Prices'!S35</f>
        <v>-0.22811745261763394</v>
      </c>
      <c r="T12" s="14">
        <f>'Spot Prices'!T35</f>
        <v>-0.22811745261763394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-0.10706245261602132</v>
      </c>
      <c r="K13" s="46">
        <f>'Spot Prices'!K36</f>
        <v>-0.13827375441034129</v>
      </c>
      <c r="L13" s="46">
        <f>'Spot Prices'!L36</f>
        <v>-0.13227281817196912</v>
      </c>
      <c r="M13" s="46">
        <f>'Spot Prices'!M36</f>
        <v>-0.15988844075858466</v>
      </c>
      <c r="N13" s="46">
        <f>'Spot Prices'!N36</f>
        <v>-8.9701176384817005E-2</v>
      </c>
      <c r="O13" s="46">
        <f>'Spot Prices'!O36</f>
        <v>-0.14714415762311406</v>
      </c>
      <c r="P13" s="46">
        <f>'Spot Prices'!P36</f>
        <v>-0.14714415762311417</v>
      </c>
      <c r="Q13" s="46">
        <f>'Spot Prices'!Q36</f>
        <v>-0.14714415762311417</v>
      </c>
      <c r="R13" s="46">
        <f>'Spot Prices'!R36</f>
        <v>-0.14714415762311428</v>
      </c>
      <c r="S13" s="46">
        <f>'Spot Prices'!S36</f>
        <v>-0.14714415762311428</v>
      </c>
      <c r="T13" s="46">
        <f>'Spot Prices'!T36</f>
        <v>-0.14714415762311439</v>
      </c>
    </row>
    <row r="15" spans="2:20" x14ac:dyDescent="0.3">
      <c r="B15" s="32" t="s">
        <v>42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AVERAGEIFS($F$39:$F$1048576,$B$39:$B$1048576,$B$2,$D$39:$D$1048576,$B$15,$C$39:$C$1048576,E$16,$E$39:$E$1048576,$B17)*'2hBatteryMWh'!$E$15/100</f>
        <v>10289473.4263945</v>
      </c>
      <c r="F17" s="17">
        <f>AVERAGEIFS($F$39:$F$1048576,$B$39:$B$1048576,$B$2,$D$39:$D$1048576,$B$15,$C$39:$C$1048576,F$16,$E$39:$E$1048576,$B17)*'2hBatteryMWh'!$E$15/100</f>
        <v>13294094.170988001</v>
      </c>
      <c r="G17" s="17">
        <f>AVERAGEIFS($F$39:$F$1048576,$B$39:$B$1048576,$B$2,$D$39:$D$1048576,$B$15,$C$39:$C$1048576,G$16,$E$39:$E$1048576,$B17)*'2hBatteryMWh'!$E$15/100</f>
        <v>13103440.952567499</v>
      </c>
      <c r="H17" s="17">
        <f>AVERAGEIFS($F$39:$F$1048576,$B$39:$B$1048576,$B$2,$D$39:$D$1048576,$B$15,$C$39:$C$1048576,H$16,$E$39:$E$1048576,$B17)*'2hBatteryMWh'!$E$15/100</f>
        <v>12566059.725432001</v>
      </c>
      <c r="I17" s="17">
        <f>AVERAGEIFS($F$39:$F$1048576,$B$39:$B$1048576,$B$2,$D$39:$D$1048576,$B$15,$C$39:$C$1048576,I$16,$E$39:$E$1048576,$B17)*'2hBatteryMWh'!$E$15/100</f>
        <v>14308705.896544499</v>
      </c>
      <c r="J17" s="17">
        <f>AVERAGEIFS($F$39:$F$1048576,$B$39:$B$1048576,$B$2,$D$39:$D$1048576,$B$15,$C$39:$C$1048576,J$16,$E$39:$E$1048576,$B17)*'2hBatteryMWh'!$E$15/100</f>
        <v>16016989.749532999</v>
      </c>
      <c r="K17" s="17">
        <f>AVERAGEIFS($F$39:$F$1048576,$B$39:$B$1048576,$B$2,$D$39:$D$1048576,$B$15,$C$39:$C$1048576,K$16,$E$39:$E$1048576,$B17)*'2hBatteryMWh'!$E$15/100</f>
        <v>15148281.698641501</v>
      </c>
      <c r="L17" s="17">
        <f>AVERAGEIFS($F$39:$F$1048576,$B$39:$B$1048576,$B$2,$D$39:$D$1048576,$B$15,$C$39:$C$1048576,L$16,$E$39:$E$1048576,$B17)*'2hBatteryMWh'!$E$15/100</f>
        <v>18330719.697523501</v>
      </c>
      <c r="M17" s="17">
        <f>AVERAGEIFS($F$39:$F$1048576,$B$39:$B$1048576,$B$2,$D$39:$D$1048576,$B$15,$C$39:$C$1048576,M$16,$E$39:$E$1048576,$B17)*'2hBatteryMWh'!$E$15/100</f>
        <v>17160741.288677499</v>
      </c>
      <c r="N17" s="17">
        <f>AVERAGEIFS($F$39:$F$1048576,$B$39:$B$1048576,$B$2,$D$39:$D$1048576,$B$15,$C$39:$C$1048576,N$16,$E$39:$E$1048576,$B17)*'2hBatteryMWh'!$E$15/100</f>
        <v>20051716.944326501</v>
      </c>
      <c r="O17" s="17">
        <f>AVERAGEIFS($F$39:$F$1048576,$B$39:$B$1048576,$B$2,$D$39:$D$1048576,$B$15,$C$39:$C$1048576,O$16,$E$39:$E$1048576,$B17)*'2hBatteryMWh'!$E$15/100</f>
        <v>19640998.1835545</v>
      </c>
      <c r="P17" s="19">
        <f>'Spot Prices'!P17/'Spot Prices'!O17*'2hBatteryCM'!O17</f>
        <v>20554881.724378493</v>
      </c>
      <c r="Q17" s="19">
        <f>'Spot Prices'!Q17/'Spot Prices'!P17*'2hBatteryCM'!P17</f>
        <v>22650067.115504235</v>
      </c>
      <c r="R17" s="19">
        <f>'Spot Prices'!R17/'Spot Prices'!Q17*'2hBatteryCM'!Q17</f>
        <v>22539586.469068009</v>
      </c>
      <c r="S17" s="19">
        <f>'Spot Prices'!S17/'Spot Prices'!R17*'2hBatteryCM'!R17</f>
        <v>23382101.48171512</v>
      </c>
      <c r="T17" s="19">
        <f>'Spot Prices'!T17/'Spot Prices'!S17*'2hBatteryCM'!S17</f>
        <v>23113016.216237865</v>
      </c>
    </row>
    <row r="18" spans="2:20" x14ac:dyDescent="0.3">
      <c r="B18" s="3">
        <v>0.95</v>
      </c>
      <c r="C18" s="17"/>
      <c r="D18" s="17"/>
      <c r="E18" s="17">
        <f>AVERAGEIFS($F$39:$F$1048576,$B$39:$B$1048576,$B$2,$D$39:$D$1048576,$B$15,$C$39:$C$1048576,E$16,$E$39:$E$1048576,$B18)*'2hBatteryMWh'!$E$15/100</f>
        <v>6853411.2870060019</v>
      </c>
      <c r="F18" s="17">
        <f>AVERAGEIFS($F$39:$F$1048576,$B$39:$B$1048576,$B$2,$D$39:$D$1048576,$B$15,$C$39:$C$1048576,F$16,$E$39:$E$1048576,$B18)*'2hBatteryMWh'!$E$15/100</f>
        <v>9736297.1049224995</v>
      </c>
      <c r="G18" s="17">
        <f>AVERAGEIFS($F$39:$F$1048576,$B$39:$B$1048576,$B$2,$D$39:$D$1048576,$B$15,$C$39:$C$1048576,G$16,$E$39:$E$1048576,$B18)*'2hBatteryMWh'!$E$15/100</f>
        <v>9664097.0791040007</v>
      </c>
      <c r="H18" s="17">
        <f>AVERAGEIFS($F$39:$F$1048576,$B$39:$B$1048576,$B$2,$D$39:$D$1048576,$B$15,$C$39:$C$1048576,H$16,$E$39:$E$1048576,$B18)*'2hBatteryMWh'!$E$15/100</f>
        <v>9472025.5387574993</v>
      </c>
      <c r="I18" s="17">
        <f>AVERAGEIFS($F$39:$F$1048576,$B$39:$B$1048576,$B$2,$D$39:$D$1048576,$B$15,$C$39:$C$1048576,I$16,$E$39:$E$1048576,$B18)*'2hBatteryMWh'!$E$15/100</f>
        <v>10697739.413595499</v>
      </c>
      <c r="J18" s="17">
        <f>AVERAGEIFS($F$39:$F$1048576,$B$39:$B$1048576,$B$2,$D$39:$D$1048576,$B$15,$C$39:$C$1048576,J$16,$E$39:$E$1048576,$B18)*'2hBatteryMWh'!$E$15/100</f>
        <v>11541384.059150003</v>
      </c>
      <c r="K18" s="17">
        <f>AVERAGEIFS($F$39:$F$1048576,$B$39:$B$1048576,$B$2,$D$39:$D$1048576,$B$15,$C$39:$C$1048576,K$16,$E$39:$E$1048576,$B18)*'2hBatteryMWh'!$E$15/100</f>
        <v>11549491.420091501</v>
      </c>
      <c r="L18" s="17">
        <f>AVERAGEIFS($F$39:$F$1048576,$B$39:$B$1048576,$B$2,$D$39:$D$1048576,$B$15,$C$39:$C$1048576,L$16,$E$39:$E$1048576,$B18)*'2hBatteryMWh'!$E$15/100</f>
        <v>12653465.931535996</v>
      </c>
      <c r="M18" s="17">
        <f>AVERAGEIFS($F$39:$F$1048576,$B$39:$B$1048576,$B$2,$D$39:$D$1048576,$B$15,$C$39:$C$1048576,M$16,$E$39:$E$1048576,$B18)*'2hBatteryMWh'!$E$15/100</f>
        <v>13550437.311484501</v>
      </c>
      <c r="N18" s="17">
        <f>AVERAGEIFS($F$39:$F$1048576,$B$39:$B$1048576,$B$2,$D$39:$D$1048576,$B$15,$C$39:$C$1048576,N$16,$E$39:$E$1048576,$B18)*'2hBatteryMWh'!$E$15/100</f>
        <v>14997180.776128503</v>
      </c>
      <c r="O18" s="17">
        <f>AVERAGEIFS($F$39:$F$1048576,$B$39:$B$1048576,$B$2,$D$39:$D$1048576,$B$15,$C$39:$C$1048576,O$16,$E$39:$E$1048576,$B18)*'2hBatteryMWh'!$E$15/100</f>
        <v>14925909.307496497</v>
      </c>
      <c r="P18" s="19">
        <f>'Spot Prices'!P18/'Spot Prices'!O18*'2hBatteryCM'!O18</f>
        <v>16021938.239464741</v>
      </c>
      <c r="Q18" s="19">
        <f>'Spot Prices'!Q18/'Spot Prices'!P18*'2hBatteryCM'!P18</f>
        <v>17805119.118416216</v>
      </c>
      <c r="R18" s="19">
        <f>'Spot Prices'!R18/'Spot Prices'!Q18*'2hBatteryCM'!Q18</f>
        <v>17999599.177345607</v>
      </c>
      <c r="S18" s="19">
        <f>'Spot Prices'!S18/'Spot Prices'!R18*'2hBatteryCM'!R18</f>
        <v>18967296.529595558</v>
      </c>
      <c r="T18" s="19">
        <f>'Spot Prices'!T18/'Spot Prices'!S18*'2hBatteryCM'!S18</f>
        <v>18968707.437409706</v>
      </c>
    </row>
    <row r="19" spans="2:20" x14ac:dyDescent="0.3">
      <c r="B19" s="5">
        <v>0.75</v>
      </c>
      <c r="C19" s="48"/>
      <c r="D19" s="48"/>
      <c r="E19" s="48">
        <f>AVERAGEIFS($F$39:$F$1048576,$B$39:$B$1048576,$B$2,$D$39:$D$1048576,$B$15,$C$39:$C$1048576,E$16,$E$39:$E$1048576,$B19)*'2hBatteryMWh'!$E$15/100</f>
        <v>5450218.0495774997</v>
      </c>
      <c r="F19" s="48">
        <f>AVERAGEIFS($F$39:$F$1048576,$B$39:$B$1048576,$B$2,$D$39:$D$1048576,$B$15,$C$39:$C$1048576,F$16,$E$39:$E$1048576,$B19)*'2hBatteryMWh'!$E$15/100</f>
        <v>8041724.3269649995</v>
      </c>
      <c r="G19" s="48">
        <f>AVERAGEIFS($F$39:$F$1048576,$B$39:$B$1048576,$B$2,$D$39:$D$1048576,$B$15,$C$39:$C$1048576,G$16,$E$39:$E$1048576,$B19)*'2hBatteryMWh'!$E$15/100</f>
        <v>7987457.7732884996</v>
      </c>
      <c r="H19" s="48">
        <f>AVERAGEIFS($F$39:$F$1048576,$B$39:$B$1048576,$B$2,$D$39:$D$1048576,$B$15,$C$39:$C$1048576,H$16,$E$39:$E$1048576,$B19)*'2hBatteryMWh'!$E$15/100</f>
        <v>7856036.8967545005</v>
      </c>
      <c r="I19" s="48">
        <f>AVERAGEIFS($F$39:$F$1048576,$B$39:$B$1048576,$B$2,$D$39:$D$1048576,$B$15,$C$39:$C$1048576,I$16,$E$39:$E$1048576,$B19)*'2hBatteryMWh'!$E$15/100</f>
        <v>8851112.2484725006</v>
      </c>
      <c r="J19" s="48">
        <f>AVERAGEIFS($F$39:$F$1048576,$B$39:$B$1048576,$B$2,$D$39:$D$1048576,$B$15,$C$39:$C$1048576,J$16,$E$39:$E$1048576,$B19)*'2hBatteryMWh'!$E$15/100</f>
        <v>9690340.8133224994</v>
      </c>
      <c r="K19" s="48">
        <f>AVERAGEIFS($F$39:$F$1048576,$B$39:$B$1048576,$B$2,$D$39:$D$1048576,$B$15,$C$39:$C$1048576,K$16,$E$39:$E$1048576,$B19)*'2hBatteryMWh'!$E$15/100</f>
        <v>9911234.6109929997</v>
      </c>
      <c r="L19" s="48">
        <f>AVERAGEIFS($F$39:$F$1048576,$B$39:$B$1048576,$B$2,$D$39:$D$1048576,$B$15,$C$39:$C$1048576,L$16,$E$39:$E$1048576,$B19)*'2hBatteryMWh'!$E$15/100</f>
        <v>10843181.8305235</v>
      </c>
      <c r="M19" s="48">
        <f>AVERAGEIFS($F$39:$F$1048576,$B$39:$B$1048576,$B$2,$D$39:$D$1048576,$B$15,$C$39:$C$1048576,M$16,$E$39:$E$1048576,$B19)*'2hBatteryMWh'!$E$15/100</f>
        <v>11703028.659744</v>
      </c>
      <c r="N19" s="48">
        <f>AVERAGEIFS($F$39:$F$1048576,$B$39:$B$1048576,$B$2,$D$39:$D$1048576,$B$15,$C$39:$C$1048576,N$16,$E$39:$E$1048576,$B19)*'2hBatteryMWh'!$E$15/100</f>
        <v>12869732.469873499</v>
      </c>
      <c r="O19" s="48">
        <f>AVERAGEIFS($F$39:$F$1048576,$B$39:$B$1048576,$B$2,$D$39:$D$1048576,$B$15,$C$39:$C$1048576,O$16,$E$39:$E$1048576,$B19)*'2hBatteryMWh'!$E$15/100</f>
        <v>12979544.547578502</v>
      </c>
      <c r="P19" s="49">
        <f>'Spot Prices'!P19/'Spot Prices'!O19*'2hBatteryCM'!O19</f>
        <v>13980842.747855205</v>
      </c>
      <c r="Q19" s="49">
        <f>'Spot Prices'!Q19/'Spot Prices'!P19*'2hBatteryCM'!P19</f>
        <v>15916418.791592123</v>
      </c>
      <c r="R19" s="49">
        <f>'Spot Prices'!R19/'Spot Prices'!Q19*'2hBatteryCM'!Q19</f>
        <v>16024851.296855731</v>
      </c>
      <c r="S19" s="49">
        <f>'Spot Prices'!S19/'Spot Prices'!R19*'2hBatteryCM'!R19</f>
        <v>17303799.669720672</v>
      </c>
      <c r="T19" s="49">
        <f>'Spot Prices'!T19/'Spot Prices'!S19*'2hBatteryCM'!S19</f>
        <v>17238350.228927538</v>
      </c>
    </row>
    <row r="20" spans="2:20" x14ac:dyDescent="0.3">
      <c r="B20" s="7">
        <v>0.5</v>
      </c>
      <c r="C20" s="39"/>
      <c r="D20" s="39"/>
      <c r="E20" s="39">
        <f>AVERAGEIFS($F$39:$F$1048576,$B$39:$B$1048576,$B$2,$D$39:$D$1048576,$B$15,$C$39:$C$1048576,E$16,$E$39:$E$1048576,$B20)*'2hBatteryMWh'!$E$15/100</f>
        <v>4565586.1336009996</v>
      </c>
      <c r="F20" s="39">
        <f>AVERAGEIFS($F$39:$F$1048576,$B$39:$B$1048576,$B$2,$D$39:$D$1048576,$B$15,$C$39:$C$1048576,F$16,$E$39:$E$1048576,$B20)*'2hBatteryMWh'!$E$15/100</f>
        <v>6992694.8061095001</v>
      </c>
      <c r="G20" s="39">
        <f>AVERAGEIFS($F$39:$F$1048576,$B$39:$B$1048576,$B$2,$D$39:$D$1048576,$B$15,$C$39:$C$1048576,G$16,$E$39:$E$1048576,$B20)*'2hBatteryMWh'!$E$15/100</f>
        <v>6903320.7361920001</v>
      </c>
      <c r="H20" s="39">
        <f>AVERAGEIFS($F$39:$F$1048576,$B$39:$B$1048576,$B$2,$D$39:$D$1048576,$B$15,$C$39:$C$1048576,H$16,$E$39:$E$1048576,$B20)*'2hBatteryMWh'!$E$15/100</f>
        <v>6780018.0316285007</v>
      </c>
      <c r="I20" s="39">
        <f>AVERAGEIFS($F$39:$F$1048576,$B$39:$B$1048576,$B$2,$D$39:$D$1048576,$B$15,$C$39:$C$1048576,I$16,$E$39:$E$1048576,$B20)*'2hBatteryMWh'!$E$15/100</f>
        <v>7541804.8116579996</v>
      </c>
      <c r="J20" s="39">
        <f>AVERAGEIFS($F$39:$F$1048576,$B$39:$B$1048576,$B$2,$D$39:$D$1048576,$B$15,$C$39:$C$1048576,J$16,$E$39:$E$1048576,$B20)*'2hBatteryMWh'!$E$15/100</f>
        <v>8311940.8662325013</v>
      </c>
      <c r="K20" s="39">
        <f>AVERAGEIFS($F$39:$F$1048576,$B$39:$B$1048576,$B$2,$D$39:$D$1048576,$B$15,$C$39:$C$1048576,K$16,$E$39:$E$1048576,$B20)*'2hBatteryMWh'!$E$15/100</f>
        <v>8664984.4038500004</v>
      </c>
      <c r="L20" s="39">
        <f>AVERAGEIFS($F$39:$F$1048576,$B$39:$B$1048576,$B$2,$D$39:$D$1048576,$B$15,$C$39:$C$1048576,L$16,$E$39:$E$1048576,$B20)*'2hBatteryMWh'!$E$15/100</f>
        <v>9525421.3116379995</v>
      </c>
      <c r="M20" s="39">
        <f>AVERAGEIFS($F$39:$F$1048576,$B$39:$B$1048576,$B$2,$D$39:$D$1048576,$B$15,$C$39:$C$1048576,M$16,$E$39:$E$1048576,$B20)*'2hBatteryMWh'!$E$15/100</f>
        <v>10335513.124197001</v>
      </c>
      <c r="N20" s="39">
        <f>AVERAGEIFS($F$39:$F$1048576,$B$39:$B$1048576,$B$2,$D$39:$D$1048576,$B$15,$C$39:$C$1048576,N$16,$E$39:$E$1048576,$B20)*'2hBatteryMWh'!$E$15/100</f>
        <v>11229274.978529502</v>
      </c>
      <c r="O20" s="39">
        <f>AVERAGEIFS($F$39:$F$1048576,$B$39:$B$1048576,$B$2,$D$39:$D$1048576,$B$15,$C$39:$C$1048576,O$16,$E$39:$E$1048576,$B20)*'2hBatteryMWh'!$E$15/100</f>
        <v>11466067.6276985</v>
      </c>
      <c r="P20" s="40">
        <f>'Spot Prices'!P20/'Spot Prices'!O20*'2hBatteryCM'!O20</f>
        <v>12445087.264388951</v>
      </c>
      <c r="Q20" s="40">
        <f>'Spot Prices'!Q20/'Spot Prices'!P20*'2hBatteryCM'!P20</f>
        <v>14251708.535473557</v>
      </c>
      <c r="R20" s="40">
        <f>'Spot Prices'!R20/'Spot Prices'!Q20*'2hBatteryCM'!Q20</f>
        <v>14397998.35426197</v>
      </c>
      <c r="S20" s="40">
        <f>'Spot Prices'!S20/'Spot Prices'!R20*'2hBatteryCM'!R20</f>
        <v>15739004.381451592</v>
      </c>
      <c r="T20" s="40">
        <f>'Spot Prices'!T20/'Spot Prices'!S20*'2hBatteryCM'!S20</f>
        <v>15615286.369531423</v>
      </c>
    </row>
    <row r="21" spans="2:20" x14ac:dyDescent="0.3">
      <c r="B21" s="5">
        <v>0.25</v>
      </c>
      <c r="C21" s="48"/>
      <c r="D21" s="48"/>
      <c r="E21" s="48">
        <f>AVERAGEIFS($F$39:$F$1048576,$B$39:$B$1048576,$B$2,$D$39:$D$1048576,$B$15,$C$39:$C$1048576,E$16,$E$39:$E$1048576,$B21)*'2hBatteryMWh'!$E$15/100</f>
        <v>3824287.7874564999</v>
      </c>
      <c r="F21" s="48">
        <f>AVERAGEIFS($F$39:$F$1048576,$B$39:$B$1048576,$B$2,$D$39:$D$1048576,$B$15,$C$39:$C$1048576,F$16,$E$39:$E$1048576,$B21)*'2hBatteryMWh'!$E$15/100</f>
        <v>5974641.4903039988</v>
      </c>
      <c r="G21" s="48">
        <f>AVERAGEIFS($F$39:$F$1048576,$B$39:$B$1048576,$B$2,$D$39:$D$1048576,$B$15,$C$39:$C$1048576,G$16,$E$39:$E$1048576,$B21)*'2hBatteryMWh'!$E$15/100</f>
        <v>5886342.949484</v>
      </c>
      <c r="H21" s="48">
        <f>AVERAGEIFS($F$39:$F$1048576,$B$39:$B$1048576,$B$2,$D$39:$D$1048576,$B$15,$C$39:$C$1048576,H$16,$E$39:$E$1048576,$B21)*'2hBatteryMWh'!$E$15/100</f>
        <v>5802260.2388554998</v>
      </c>
      <c r="I21" s="48">
        <f>AVERAGEIFS($F$39:$F$1048576,$B$39:$B$1048576,$B$2,$D$39:$D$1048576,$B$15,$C$39:$C$1048576,I$16,$E$39:$E$1048576,$B21)*'2hBatteryMWh'!$E$15/100</f>
        <v>6319465.8813220002</v>
      </c>
      <c r="J21" s="48">
        <f>AVERAGEIFS($F$39:$F$1048576,$B$39:$B$1048576,$B$2,$D$39:$D$1048576,$B$15,$C$39:$C$1048576,J$16,$E$39:$E$1048576,$B21)*'2hBatteryMWh'!$E$15/100</f>
        <v>6959795.0152319996</v>
      </c>
      <c r="K21" s="48">
        <f>AVERAGEIFS($F$39:$F$1048576,$B$39:$B$1048576,$B$2,$D$39:$D$1048576,$B$15,$C$39:$C$1048576,K$16,$E$39:$E$1048576,$B21)*'2hBatteryMWh'!$E$15/100</f>
        <v>7351467.3871844998</v>
      </c>
      <c r="L21" s="48">
        <f>AVERAGEIFS($F$39:$F$1048576,$B$39:$B$1048576,$B$2,$D$39:$D$1048576,$B$15,$C$39:$C$1048576,L$16,$E$39:$E$1048576,$B21)*'2hBatteryMWh'!$E$15/100</f>
        <v>8187516.7225205004</v>
      </c>
      <c r="M21" s="48">
        <f>AVERAGEIFS($F$39:$F$1048576,$B$39:$B$1048576,$B$2,$D$39:$D$1048576,$B$15,$C$39:$C$1048576,M$16,$E$39:$E$1048576,$B21)*'2hBatteryMWh'!$E$15/100</f>
        <v>8968512.0558669996</v>
      </c>
      <c r="N21" s="48">
        <f>AVERAGEIFS($F$39:$F$1048576,$B$39:$B$1048576,$B$2,$D$39:$D$1048576,$B$15,$C$39:$C$1048576,N$16,$E$39:$E$1048576,$B21)*'2hBatteryMWh'!$E$15/100</f>
        <v>9691700.2689424995</v>
      </c>
      <c r="O21" s="48">
        <f>AVERAGEIFS($F$39:$F$1048576,$B$39:$B$1048576,$B$2,$D$39:$D$1048576,$B$15,$C$39:$C$1048576,O$16,$E$39:$E$1048576,$B21)*'2hBatteryMWh'!$E$15/100</f>
        <v>9923926.0299835</v>
      </c>
      <c r="P21" s="49">
        <f>'Spot Prices'!P21/'Spot Prices'!O21*'2hBatteryCM'!O21</f>
        <v>10611778.612739732</v>
      </c>
      <c r="Q21" s="49">
        <f>'Spot Prices'!Q21/'Spot Prices'!P21*'2hBatteryCM'!P21</f>
        <v>12070048.189839199</v>
      </c>
      <c r="R21" s="49">
        <f>'Spot Prices'!R21/'Spot Prices'!Q21*'2hBatteryCM'!Q21</f>
        <v>11991358.454569092</v>
      </c>
      <c r="S21" s="49">
        <f>'Spot Prices'!S21/'Spot Prices'!R21*'2hBatteryCM'!R21</f>
        <v>13006494.599032927</v>
      </c>
      <c r="T21" s="49">
        <f>'Spot Prices'!T21/'Spot Prices'!S21*'2hBatteryCM'!S21</f>
        <v>12763737.879891019</v>
      </c>
    </row>
    <row r="22" spans="2:20" x14ac:dyDescent="0.3">
      <c r="B22" s="3">
        <v>0.05</v>
      </c>
      <c r="C22" s="17"/>
      <c r="D22" s="17"/>
      <c r="E22" s="17">
        <f>AVERAGEIFS($F$39:$F$1048576,$B$39:$B$1048576,$B$2,$D$39:$D$1048576,$B$15,$C$39:$C$1048576,E$16,$E$39:$E$1048576,$B22)*'2hBatteryMWh'!$E$15/100</f>
        <v>2955759.8028905001</v>
      </c>
      <c r="F22" s="17">
        <f>AVERAGEIFS($F$39:$F$1048576,$B$39:$B$1048576,$B$2,$D$39:$D$1048576,$B$15,$C$39:$C$1048576,F$16,$E$39:$E$1048576,$B22)*'2hBatteryMWh'!$E$15/100</f>
        <v>4790629.2839305</v>
      </c>
      <c r="G22" s="17">
        <f>AVERAGEIFS($F$39:$F$1048576,$B$39:$B$1048576,$B$2,$D$39:$D$1048576,$B$15,$C$39:$C$1048576,G$16,$E$39:$E$1048576,$B22)*'2hBatteryMWh'!$E$15/100</f>
        <v>4657019.9335874999</v>
      </c>
      <c r="H22" s="17">
        <f>AVERAGEIFS($F$39:$F$1048576,$B$39:$B$1048576,$B$2,$D$39:$D$1048576,$B$15,$C$39:$C$1048576,H$16,$E$39:$E$1048576,$B22)*'2hBatteryMWh'!$E$15/100</f>
        <v>4567609.3104280001</v>
      </c>
      <c r="I22" s="17">
        <f>AVERAGEIFS($F$39:$F$1048576,$B$39:$B$1048576,$B$2,$D$39:$D$1048576,$B$15,$C$39:$C$1048576,I$16,$E$39:$E$1048576,$B22)*'2hBatteryMWh'!$E$15/100</f>
        <v>4925033.3064559996</v>
      </c>
      <c r="J22" s="17">
        <f>AVERAGEIFS($F$39:$F$1048576,$B$39:$B$1048576,$B$2,$D$39:$D$1048576,$B$15,$C$39:$C$1048576,J$16,$E$39:$E$1048576,$B22)*'2hBatteryMWh'!$E$15/100</f>
        <v>5352179.3751144996</v>
      </c>
      <c r="K22" s="17">
        <f>AVERAGEIFS($F$39:$F$1048576,$B$39:$B$1048576,$B$2,$D$39:$D$1048576,$B$15,$C$39:$C$1048576,K$16,$E$39:$E$1048576,$B22)*'2hBatteryMWh'!$E$15/100</f>
        <v>5685923.1186295012</v>
      </c>
      <c r="L22" s="17">
        <f>AVERAGEIFS($F$39:$F$1048576,$B$39:$B$1048576,$B$2,$D$39:$D$1048576,$B$15,$C$39:$C$1048576,L$16,$E$39:$E$1048576,$B22)*'2hBatteryMWh'!$E$15/100</f>
        <v>6365665.6583320014</v>
      </c>
      <c r="M22" s="17">
        <f>AVERAGEIFS($F$39:$F$1048576,$B$39:$B$1048576,$B$2,$D$39:$D$1048576,$B$15,$C$39:$C$1048576,M$16,$E$39:$E$1048576,$B22)*'2hBatteryMWh'!$E$15/100</f>
        <v>7117630.6157875005</v>
      </c>
      <c r="N22" s="17">
        <f>AVERAGEIFS($F$39:$F$1048576,$B$39:$B$1048576,$B$2,$D$39:$D$1048576,$B$15,$C$39:$C$1048576,N$16,$E$39:$E$1048576,$B22)*'2hBatteryMWh'!$E$15/100</f>
        <v>7866672.9746239996</v>
      </c>
      <c r="O22" s="17">
        <f>AVERAGEIFS($F$39:$F$1048576,$B$39:$B$1048576,$B$2,$D$39:$D$1048576,$B$15,$C$39:$C$1048576,O$16,$E$39:$E$1048576,$B22)*'2hBatteryMWh'!$E$15/100</f>
        <v>8040403.8896549987</v>
      </c>
      <c r="P22" s="19">
        <f>'Spot Prices'!P22/'Spot Prices'!O22*'2hBatteryCM'!O22</f>
        <v>8390482.698495267</v>
      </c>
      <c r="Q22" s="19">
        <f>'Spot Prices'!Q22/'Spot Prices'!P22*'2hBatteryCM'!P22</f>
        <v>9355783.8889850732</v>
      </c>
      <c r="R22" s="19">
        <f>'Spot Prices'!R22/'Spot Prices'!Q22*'2hBatteryCM'!Q22</f>
        <v>8665183.268017564</v>
      </c>
      <c r="S22" s="19">
        <f>'Spot Prices'!S22/'Spot Prices'!R22*'2hBatteryCM'!R22</f>
        <v>9216705.739093259</v>
      </c>
      <c r="T22" s="19">
        <f>'Spot Prices'!T22/'Spot Prices'!S22*'2hBatteryCM'!S22</f>
        <v>8734097.6011792421</v>
      </c>
    </row>
    <row r="23" spans="2:20" x14ac:dyDescent="0.3">
      <c r="B23" s="3">
        <v>0</v>
      </c>
      <c r="C23" s="17"/>
      <c r="D23" s="17"/>
      <c r="E23" s="17">
        <f>AVERAGEIFS($F$39:$F$1048576,$B$39:$B$1048576,$B$2,$D$39:$D$1048576,$B$15,$C$39:$C$1048576,E$16,$E$39:$E$1048576,$B23)*'2hBatteryMWh'!$E$15/100</f>
        <v>1514563.3402815</v>
      </c>
      <c r="F23" s="17">
        <f>AVERAGEIFS($F$39:$F$1048576,$B$39:$B$1048576,$B$2,$D$39:$D$1048576,$B$15,$C$39:$C$1048576,F$16,$E$39:$E$1048576,$B23)*'2hBatteryMWh'!$E$15/100</f>
        <v>2457186.2477215002</v>
      </c>
      <c r="G23" s="17">
        <f>AVERAGEIFS($F$39:$F$1048576,$B$39:$B$1048576,$B$2,$D$39:$D$1048576,$B$15,$C$39:$C$1048576,G$16,$E$39:$E$1048576,$B23)*'2hBatteryMWh'!$E$15/100</f>
        <v>2748055.0974280001</v>
      </c>
      <c r="H23" s="17">
        <f>AVERAGEIFS($F$39:$F$1048576,$B$39:$B$1048576,$B$2,$D$39:$D$1048576,$B$15,$C$39:$C$1048576,H$16,$E$39:$E$1048576,$B23)*'2hBatteryMWh'!$E$15/100</f>
        <v>2737066.6926744999</v>
      </c>
      <c r="I23" s="17">
        <f>AVERAGEIFS($F$39:$F$1048576,$B$39:$B$1048576,$B$2,$D$39:$D$1048576,$B$15,$C$39:$C$1048576,I$16,$E$39:$E$1048576,$B23)*'2hBatteryMWh'!$E$15/100</f>
        <v>2494562.4098565001</v>
      </c>
      <c r="J23" s="17">
        <f>AVERAGEIFS($F$39:$F$1048576,$B$39:$B$1048576,$B$2,$D$39:$D$1048576,$B$15,$C$39:$C$1048576,J$16,$E$39:$E$1048576,$B23)*'2hBatteryMWh'!$E$15/100</f>
        <v>3233946.1453359998</v>
      </c>
      <c r="K23" s="17">
        <f>AVERAGEIFS($F$39:$F$1048576,$B$39:$B$1048576,$B$2,$D$39:$D$1048576,$B$15,$C$39:$C$1048576,K$16,$E$39:$E$1048576,$B23)*'2hBatteryMWh'!$E$15/100</f>
        <v>3519370.9577044998</v>
      </c>
      <c r="L23" s="17">
        <f>AVERAGEIFS($F$39:$F$1048576,$B$39:$B$1048576,$B$2,$D$39:$D$1048576,$B$15,$C$39:$C$1048576,L$16,$E$39:$E$1048576,$B23)*'2hBatteryMWh'!$E$15/100</f>
        <v>3682635.1418595002</v>
      </c>
      <c r="M23" s="17">
        <f>AVERAGEIFS($F$39:$F$1048576,$B$39:$B$1048576,$B$2,$D$39:$D$1048576,$B$15,$C$39:$C$1048576,M$16,$E$39:$E$1048576,$B23)*'2hBatteryMWh'!$E$15/100</f>
        <v>4595123.3022715002</v>
      </c>
      <c r="N23" s="17">
        <f>AVERAGEIFS($F$39:$F$1048576,$B$39:$B$1048576,$B$2,$D$39:$D$1048576,$B$15,$C$39:$C$1048576,N$16,$E$39:$E$1048576,$B23)*'2hBatteryMWh'!$E$15/100</f>
        <v>5342383.0206070002</v>
      </c>
      <c r="O23" s="17">
        <f>AVERAGEIFS($F$39:$F$1048576,$B$39:$B$1048576,$B$2,$D$39:$D$1048576,$B$15,$C$39:$C$1048576,O$16,$E$39:$E$1048576,$B23)*'2hBatteryMWh'!$E$15/100</f>
        <v>5780025.8339879997</v>
      </c>
      <c r="P23" s="19">
        <f>'Spot Prices'!P23/'Spot Prices'!O23*'2hBatteryCM'!O23</f>
        <v>5693544.8329308946</v>
      </c>
      <c r="Q23" s="19">
        <f>'Spot Prices'!Q23/'Spot Prices'!P23*'2hBatteryCM'!P23</f>
        <v>6544699.0952315321</v>
      </c>
      <c r="R23" s="19">
        <f>'Spot Prices'!R23/'Spot Prices'!Q23*'2hBatteryCM'!Q23</f>
        <v>5978294.2926525436</v>
      </c>
      <c r="S23" s="19">
        <f>'Spot Prices'!S23/'Spot Prices'!R23*'2hBatteryCM'!R23</f>
        <v>6384202.6256986763</v>
      </c>
      <c r="T23" s="19">
        <f>'Spot Prices'!T23/'Spot Prices'!S23*'2hBatteryCM'!S23</f>
        <v>5484507.6825467618</v>
      </c>
    </row>
    <row r="24" spans="2:20" x14ac:dyDescent="0.3">
      <c r="B24" s="9" t="s">
        <v>29</v>
      </c>
      <c r="C24" s="48"/>
      <c r="D24" s="48"/>
      <c r="E24" s="48">
        <f>AVERAGEIFS($F$39:$F$1048576,$B$39:$B$1048576,$B$2,$D$39:$D$1048576,$B$15,$C$39:$C$1048576,E$16,$E$39:$E$1048576,$B24)*'2hBatteryMWh'!$E$15/100</f>
        <v>4698935.0993919997</v>
      </c>
      <c r="F24" s="48">
        <f>AVERAGEIFS($F$39:$F$1048576,$B$39:$B$1048576,$B$2,$D$39:$D$1048576,$B$15,$C$39:$C$1048576,F$16,$E$39:$E$1048576,$B24)*'2hBatteryMWh'!$E$15/100</f>
        <v>7081867.1746309996</v>
      </c>
      <c r="G24" s="48">
        <f>AVERAGEIFS($F$39:$F$1048576,$B$39:$B$1048576,$B$2,$D$39:$D$1048576,$B$15,$C$39:$C$1048576,G$16,$E$39:$E$1048576,$B24)*'2hBatteryMWh'!$E$15/100</f>
        <v>6993570.4159819996</v>
      </c>
      <c r="H24" s="48">
        <f>AVERAGEIFS($F$39:$F$1048576,$B$39:$B$1048576,$B$2,$D$39:$D$1048576,$B$15,$C$39:$C$1048576,H$16,$E$39:$E$1048576,$B24)*'2hBatteryMWh'!$E$15/100</f>
        <v>6874408.5283049997</v>
      </c>
      <c r="I24" s="48">
        <f>AVERAGEIFS($F$39:$F$1048576,$B$39:$B$1048576,$B$2,$D$39:$D$1048576,$B$15,$C$39:$C$1048576,I$16,$E$39:$E$1048576,$B24)*'2hBatteryMWh'!$E$15/100</f>
        <v>7641678.3161485009</v>
      </c>
      <c r="J24" s="48">
        <f>AVERAGEIFS($F$39:$F$1048576,$B$39:$B$1048576,$B$2,$D$39:$D$1048576,$B$15,$C$39:$C$1048576,J$16,$E$39:$E$1048576,$B24)*'2hBatteryMWh'!$E$15/100</f>
        <v>8360850.7294439999</v>
      </c>
      <c r="K24" s="48">
        <f>AVERAGEIFS($F$39:$F$1048576,$B$39:$B$1048576,$B$2,$D$39:$D$1048576,$B$15,$C$39:$C$1048576,K$16,$E$39:$E$1048576,$B24)*'2hBatteryMWh'!$E$15/100</f>
        <v>8637260.1714650001</v>
      </c>
      <c r="L24" s="48">
        <f>AVERAGEIFS($F$39:$F$1048576,$B$39:$B$1048576,$B$2,$D$39:$D$1048576,$B$15,$C$39:$C$1048576,L$16,$E$39:$E$1048576,$B24)*'2hBatteryMWh'!$E$15/100</f>
        <v>9522094.0932895001</v>
      </c>
      <c r="M24" s="48">
        <f>AVERAGEIFS($F$39:$F$1048576,$B$39:$B$1048576,$B$2,$D$39:$D$1048576,$B$15,$C$39:$C$1048576,M$16,$E$39:$E$1048576,$B24)*'2hBatteryMWh'!$E$15/100</f>
        <v>10339922.270493001</v>
      </c>
      <c r="N24" s="48">
        <f>AVERAGEIFS($F$39:$F$1048576,$B$39:$B$1048576,$B$2,$D$39:$D$1048576,$B$15,$C$39:$C$1048576,N$16,$E$39:$E$1048576,$B24)*'2hBatteryMWh'!$E$15/100</f>
        <v>11317573.577071</v>
      </c>
      <c r="O24" s="48">
        <f>AVERAGEIFS($F$39:$F$1048576,$B$39:$B$1048576,$B$2,$D$39:$D$1048576,$B$15,$C$39:$C$1048576,O$16,$E$39:$E$1048576,$B24)*'2hBatteryMWh'!$E$15/100</f>
        <v>11465764.5088515</v>
      </c>
      <c r="P24" s="49">
        <f>'Spot Prices'!P24/'Spot Prices'!O24*'2hBatteryCM'!O24</f>
        <v>12306364.653357022</v>
      </c>
      <c r="Q24" s="49">
        <f>'Spot Prices'!Q24/'Spot Prices'!P24*'2hBatteryCM'!P24</f>
        <v>13933527.431169581</v>
      </c>
      <c r="R24" s="49">
        <f>'Spot Prices'!R24/'Spot Prices'!Q24*'2hBatteryCM'!Q24</f>
        <v>13900685.100546286</v>
      </c>
      <c r="S24" s="49">
        <f>'Spot Prices'!S24/'Spot Prices'!R24*'2hBatteryCM'!R24</f>
        <v>15003749.979327895</v>
      </c>
      <c r="T24" s="49">
        <f>'Spot Prices'!T24/'Spot Prices'!S24*'2hBatteryCM'!S24</f>
        <v>14818562.519951204</v>
      </c>
    </row>
    <row r="26" spans="2:20" x14ac:dyDescent="0.3">
      <c r="B26" s="1" t="str">
        <f>"Adjusted "&amp;B15</f>
        <v>Adjusted 5Min Adj Contribution Margin</v>
      </c>
      <c r="E26" s="3">
        <v>0.8</v>
      </c>
      <c r="F26" s="12">
        <f t="shared" ref="F26:K26" si="0">E26</f>
        <v>0.8</v>
      </c>
      <c r="G26" s="12">
        <f t="shared" si="0"/>
        <v>0.8</v>
      </c>
      <c r="H26" s="12">
        <f t="shared" si="0"/>
        <v>0.8</v>
      </c>
      <c r="I26" s="12">
        <f t="shared" si="0"/>
        <v>0.8</v>
      </c>
      <c r="J26" s="12">
        <f t="shared" si="0"/>
        <v>0.8</v>
      </c>
      <c r="K26" s="12">
        <f t="shared" si="0"/>
        <v>0.8</v>
      </c>
      <c r="L26" s="12">
        <f>1-L40</f>
        <v>0.6</v>
      </c>
      <c r="M26" s="12">
        <f t="shared" ref="M26:T26" si="1">1-M40</f>
        <v>0.59</v>
      </c>
      <c r="N26" s="12">
        <f t="shared" si="1"/>
        <v>0.57999999999999996</v>
      </c>
      <c r="O26" s="12">
        <f t="shared" si="1"/>
        <v>0.56999999999999995</v>
      </c>
      <c r="P26" s="12">
        <f t="shared" si="1"/>
        <v>0.55999999999999994</v>
      </c>
      <c r="Q26" s="12">
        <f t="shared" si="1"/>
        <v>0.54999999999999993</v>
      </c>
      <c r="R26" s="12">
        <f t="shared" si="1"/>
        <v>0.53999999999999992</v>
      </c>
      <c r="S26" s="12">
        <f t="shared" si="1"/>
        <v>0.52999999999999992</v>
      </c>
      <c r="T26" s="12">
        <f t="shared" si="1"/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20">
        <f>(E17*(1+E6))*(E$26)</f>
        <v>8373890.6804175023</v>
      </c>
      <c r="F28" s="20">
        <f>(F17*(1+F6))*(F$26)</f>
        <v>10229333.244018523</v>
      </c>
      <c r="G28" s="20">
        <f t="shared" ref="G28:T28" si="3">(G17*(1+G6))*(G$26)</f>
        <v>9816335.7337928973</v>
      </c>
      <c r="H28" s="20">
        <f t="shared" si="3"/>
        <v>9100676.2870243285</v>
      </c>
      <c r="I28" s="20">
        <f t="shared" si="3"/>
        <v>11105800.414434144</v>
      </c>
      <c r="J28" s="20">
        <f t="shared" si="3"/>
        <v>12466640.456735181</v>
      </c>
      <c r="K28" s="20">
        <f t="shared" si="3"/>
        <v>11266001.519425564</v>
      </c>
      <c r="L28" s="20">
        <f t="shared" si="3"/>
        <v>10315295.91352267</v>
      </c>
      <c r="M28" s="20">
        <f t="shared" si="3"/>
        <v>9425577.7014016975</v>
      </c>
      <c r="N28" s="20">
        <f t="shared" si="3"/>
        <v>11527514.153449893</v>
      </c>
      <c r="O28" s="20">
        <f t="shared" si="3"/>
        <v>10453684.484027633</v>
      </c>
      <c r="P28" s="21">
        <f t="shared" si="3"/>
        <v>10748156.612432642</v>
      </c>
      <c r="Q28" s="21">
        <f t="shared" si="3"/>
        <v>11632234.788654134</v>
      </c>
      <c r="R28" s="21">
        <f t="shared" si="3"/>
        <v>11365032.460296525</v>
      </c>
      <c r="S28" s="21">
        <f t="shared" si="3"/>
        <v>11571519.392073058</v>
      </c>
      <c r="T28" s="21">
        <f t="shared" si="3"/>
        <v>11438352.346757386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20">
        <f t="shared" ref="E29:F35" si="4">(E18*(1+E7))*(E$26)</f>
        <v>5483134.7462438159</v>
      </c>
      <c r="F29" s="20">
        <f t="shared" si="4"/>
        <v>6810189.8551998781</v>
      </c>
      <c r="G29" s="20">
        <f t="shared" ref="G29:T29" si="5">(G18*(1+G7))*(G$26)</f>
        <v>6041623.3031016644</v>
      </c>
      <c r="H29" s="20">
        <f t="shared" si="5"/>
        <v>6368317.2644279869</v>
      </c>
      <c r="I29" s="20">
        <f t="shared" si="5"/>
        <v>7550199.5876994841</v>
      </c>
      <c r="J29" s="20">
        <f t="shared" si="5"/>
        <v>8602909.9060643464</v>
      </c>
      <c r="K29" s="20">
        <f t="shared" si="5"/>
        <v>8206517.5462607937</v>
      </c>
      <c r="L29" s="20">
        <f t="shared" si="5"/>
        <v>6761544.5172726754</v>
      </c>
      <c r="M29" s="20">
        <f t="shared" si="5"/>
        <v>6959630.7684523975</v>
      </c>
      <c r="N29" s="20">
        <f t="shared" si="5"/>
        <v>8083934.4236847097</v>
      </c>
      <c r="O29" s="20">
        <f t="shared" si="5"/>
        <v>7467065.1400986798</v>
      </c>
      <c r="P29" s="21">
        <f t="shared" si="5"/>
        <v>7874760.7173458422</v>
      </c>
      <c r="Q29" s="21">
        <f t="shared" si="5"/>
        <v>8594920.3989388831</v>
      </c>
      <c r="R29" s="21">
        <f t="shared" si="5"/>
        <v>8530821.9916598238</v>
      </c>
      <c r="S29" s="21">
        <f t="shared" si="5"/>
        <v>8822985.9849435389</v>
      </c>
      <c r="T29" s="21">
        <f t="shared" si="5"/>
        <v>8823642.294600049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8">
        <f t="shared" si="4"/>
        <v>4359555.4670132948</v>
      </c>
      <c r="F30" s="48">
        <f t="shared" si="4"/>
        <v>5493063.437627607</v>
      </c>
      <c r="G30" s="48">
        <f t="shared" ref="G30:T30" si="6">(G19*(1+G8))*(G$26)</f>
        <v>4607145.4770878619</v>
      </c>
      <c r="H30" s="48">
        <f t="shared" si="6"/>
        <v>5028323.4961232767</v>
      </c>
      <c r="I30" s="48">
        <f t="shared" si="6"/>
        <v>6066787.0879940121</v>
      </c>
      <c r="J30" s="48">
        <f t="shared" si="6"/>
        <v>6980426.3842568807</v>
      </c>
      <c r="K30" s="48">
        <f t="shared" si="6"/>
        <v>6865541.7390969461</v>
      </c>
      <c r="L30" s="48">
        <f t="shared" si="6"/>
        <v>5682423.2171033863</v>
      </c>
      <c r="M30" s="48">
        <f t="shared" si="6"/>
        <v>5863146.2431542194</v>
      </c>
      <c r="N30" s="48">
        <f t="shared" si="6"/>
        <v>6830124.3862093715</v>
      </c>
      <c r="O30" s="48">
        <f t="shared" si="6"/>
        <v>6381007.2536279336</v>
      </c>
      <c r="P30" s="49">
        <f t="shared" si="6"/>
        <v>6752682.140080275</v>
      </c>
      <c r="Q30" s="49">
        <f t="shared" si="6"/>
        <v>7550278.5905889394</v>
      </c>
      <c r="R30" s="49">
        <f t="shared" si="6"/>
        <v>7463502.7519318806</v>
      </c>
      <c r="S30" s="49">
        <f t="shared" si="6"/>
        <v>7909923.3934238395</v>
      </c>
      <c r="T30" s="49">
        <f t="shared" si="6"/>
        <v>7880005.1053774273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39">
        <f t="shared" si="4"/>
        <v>3649025.2600621753</v>
      </c>
      <c r="F31" s="39">
        <f t="shared" si="4"/>
        <v>4709534.7475862838</v>
      </c>
      <c r="G31" s="39">
        <f t="shared" ref="G31:T31" si="7">(G20*(1+G9))*(G$26)</f>
        <v>3763590.331501028</v>
      </c>
      <c r="H31" s="39">
        <f t="shared" si="7"/>
        <v>4203384.5259492463</v>
      </c>
      <c r="I31" s="39">
        <f t="shared" si="7"/>
        <v>5098863.9923250647</v>
      </c>
      <c r="J31" s="39">
        <f t="shared" si="7"/>
        <v>5914279.0169754941</v>
      </c>
      <c r="K31" s="39">
        <f t="shared" si="7"/>
        <v>5951375.6773016667</v>
      </c>
      <c r="L31" s="39">
        <f t="shared" si="7"/>
        <v>4940842.4997534966</v>
      </c>
      <c r="M31" s="39">
        <f t="shared" si="7"/>
        <v>5089294.5124571482</v>
      </c>
      <c r="N31" s="39">
        <f t="shared" si="7"/>
        <v>5922479.7579430556</v>
      </c>
      <c r="O31" s="39">
        <f t="shared" si="7"/>
        <v>5534099.2679939922</v>
      </c>
      <c r="P31" s="40">
        <f t="shared" si="7"/>
        <v>5901243.8879995337</v>
      </c>
      <c r="Q31" s="40">
        <f t="shared" si="7"/>
        <v>6637235.2622806411</v>
      </c>
      <c r="R31" s="40">
        <f t="shared" si="7"/>
        <v>6583448.913059812</v>
      </c>
      <c r="S31" s="40">
        <f t="shared" si="7"/>
        <v>7063349.8299243636</v>
      </c>
      <c r="T31" s="40">
        <f t="shared" si="7"/>
        <v>7007827.6649083383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8">
        <f t="shared" si="4"/>
        <v>3056713.6529262657</v>
      </c>
      <c r="F32" s="48">
        <f t="shared" si="4"/>
        <v>3963413.8879184434</v>
      </c>
      <c r="G32" s="48">
        <f t="shared" ref="G32:T32" si="8">(G21*(1+G10))*(G$26)</f>
        <v>2994321.3209519293</v>
      </c>
      <c r="H32" s="48">
        <f t="shared" si="8"/>
        <v>3496986.8420901541</v>
      </c>
      <c r="I32" s="48">
        <f t="shared" si="8"/>
        <v>4181690.1391606722</v>
      </c>
      <c r="J32" s="48">
        <f t="shared" si="8"/>
        <v>4894745.2167632366</v>
      </c>
      <c r="K32" s="48">
        <f t="shared" si="8"/>
        <v>5010162.9186341073</v>
      </c>
      <c r="L32" s="48">
        <f t="shared" si="8"/>
        <v>4224632.4978525471</v>
      </c>
      <c r="M32" s="48">
        <f t="shared" si="8"/>
        <v>4384009.6056520445</v>
      </c>
      <c r="N32" s="48">
        <f t="shared" si="8"/>
        <v>5075752.3895489611</v>
      </c>
      <c r="O32" s="48">
        <f t="shared" si="8"/>
        <v>4752681.2919299835</v>
      </c>
      <c r="P32" s="49">
        <f t="shared" si="8"/>
        <v>4992942.0546347303</v>
      </c>
      <c r="Q32" s="49">
        <f t="shared" si="8"/>
        <v>5577659.6685436461</v>
      </c>
      <c r="R32" s="49">
        <f t="shared" si="8"/>
        <v>5440545.7061100286</v>
      </c>
      <c r="S32" s="49">
        <f t="shared" si="8"/>
        <v>5791838.6199335055</v>
      </c>
      <c r="T32" s="49">
        <f t="shared" si="8"/>
        <v>5683738.1836115625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20">
        <f t="shared" si="4"/>
        <v>2360532.6534398715</v>
      </c>
      <c r="F33" s="20">
        <f t="shared" si="4"/>
        <v>3086157.2335634087</v>
      </c>
      <c r="G33" s="20">
        <f t="shared" ref="G33:T33" si="9">(G22*(1+G11))*(G$26)</f>
        <v>2101745.6840126454</v>
      </c>
      <c r="H33" s="20">
        <f t="shared" si="9"/>
        <v>2626650.1397670945</v>
      </c>
      <c r="I33" s="20">
        <f t="shared" si="9"/>
        <v>3141899.6938131228</v>
      </c>
      <c r="J33" s="20">
        <f t="shared" si="9"/>
        <v>3666045.7949451427</v>
      </c>
      <c r="K33" s="20">
        <f t="shared" si="9"/>
        <v>3814441.4382932852</v>
      </c>
      <c r="L33" s="20">
        <f t="shared" si="9"/>
        <v>3212004.5045150416</v>
      </c>
      <c r="M33" s="20">
        <f t="shared" si="9"/>
        <v>3394967.8219670714</v>
      </c>
      <c r="N33" s="20">
        <f t="shared" si="9"/>
        <v>4066976.396501848</v>
      </c>
      <c r="O33" s="20">
        <f t="shared" si="9"/>
        <v>3781044.372806021</v>
      </c>
      <c r="P33" s="21">
        <f t="shared" si="9"/>
        <v>3876448.5718143336</v>
      </c>
      <c r="Q33" s="21">
        <f t="shared" si="9"/>
        <v>4245236.8396006124</v>
      </c>
      <c r="R33" s="21">
        <f t="shared" si="9"/>
        <v>3860384.5221889811</v>
      </c>
      <c r="S33" s="21">
        <f t="shared" si="9"/>
        <v>4030051.9550350336</v>
      </c>
      <c r="T33" s="21">
        <f t="shared" si="9"/>
        <v>3819029.0662965304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20">
        <f t="shared" si="4"/>
        <v>1224189.049055109</v>
      </c>
      <c r="F34" s="20">
        <f t="shared" si="4"/>
        <v>1588314.1721176903</v>
      </c>
      <c r="G34" s="20">
        <f t="shared" ref="G34:T34" si="10">(G23*(1+G12))*(G$26)</f>
        <v>867870.34688859864</v>
      </c>
      <c r="H34" s="20">
        <f t="shared" si="10"/>
        <v>1218288.4838539469</v>
      </c>
      <c r="I34" s="20">
        <f t="shared" si="10"/>
        <v>1229383.0385288091</v>
      </c>
      <c r="J34" s="20">
        <f t="shared" si="10"/>
        <v>2032078.4681172532</v>
      </c>
      <c r="K34" s="20">
        <f t="shared" si="10"/>
        <v>2255746.4902158729</v>
      </c>
      <c r="L34" s="20">
        <f t="shared" si="10"/>
        <v>1676209.6085794473</v>
      </c>
      <c r="M34" s="20">
        <f t="shared" si="10"/>
        <v>2118761.4797541914</v>
      </c>
      <c r="N34" s="20">
        <f t="shared" si="10"/>
        <v>2612932.4696862553</v>
      </c>
      <c r="O34" s="20">
        <f t="shared" si="10"/>
        <v>2543055.6068644882</v>
      </c>
      <c r="P34" s="21">
        <f t="shared" si="10"/>
        <v>2461058.8179959073</v>
      </c>
      <c r="Q34" s="21">
        <f t="shared" si="10"/>
        <v>2778456.455213109</v>
      </c>
      <c r="R34" s="21">
        <f t="shared" si="10"/>
        <v>2491852.1549116168</v>
      </c>
      <c r="S34" s="21">
        <f t="shared" si="10"/>
        <v>2611762.9304366265</v>
      </c>
      <c r="T34" s="21">
        <f t="shared" si="10"/>
        <v>2243699.7534054462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20">
        <f t="shared" si="4"/>
        <v>3758052.9532137904</v>
      </c>
      <c r="F35" s="20">
        <f t="shared" si="4"/>
        <v>4776850.2804363398</v>
      </c>
      <c r="G35" s="20">
        <f t="shared" ref="G35:T35" si="11">(G24*(1+G13))*(G$26)</f>
        <v>3831419.0453938055</v>
      </c>
      <c r="H35" s="20">
        <f t="shared" si="11"/>
        <v>4294552.5266935024</v>
      </c>
      <c r="I35" s="20">
        <f t="shared" si="11"/>
        <v>5168770.102109734</v>
      </c>
      <c r="J35" s="20">
        <f t="shared" si="11"/>
        <v>5972574.0355146192</v>
      </c>
      <c r="K35" s="20">
        <f t="shared" si="11"/>
        <v>5954363.0237901015</v>
      </c>
      <c r="L35" s="20">
        <f t="shared" si="11"/>
        <v>4957547.9236028614</v>
      </c>
      <c r="M35" s="20">
        <f t="shared" si="11"/>
        <v>5125146.0504483571</v>
      </c>
      <c r="N35" s="20">
        <f t="shared" si="11"/>
        <v>5975376.8697638856</v>
      </c>
      <c r="O35" s="20">
        <f t="shared" si="11"/>
        <v>5573827.2217541821</v>
      </c>
      <c r="P35" s="21">
        <f t="shared" si="11"/>
        <v>5877510.7961001229</v>
      </c>
      <c r="Q35" s="21">
        <f t="shared" si="11"/>
        <v>6535809.651025367</v>
      </c>
      <c r="R35" s="21">
        <f t="shared" si="11"/>
        <v>6401851.4705628017</v>
      </c>
      <c r="S35" s="21">
        <f t="shared" si="11"/>
        <v>6781898.9885388911</v>
      </c>
      <c r="T35" s="21">
        <f t="shared" si="11"/>
        <v>6698191.7390067885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  <c r="K38" t="s">
        <v>56</v>
      </c>
      <c r="L38" s="3">
        <v>0.2</v>
      </c>
      <c r="M38" s="3">
        <f>L38+1%</f>
        <v>0.21000000000000002</v>
      </c>
      <c r="N38" s="3">
        <f t="shared" ref="N38:S38" si="12">M38+1%</f>
        <v>0.22000000000000003</v>
      </c>
      <c r="O38" s="3">
        <f t="shared" si="12"/>
        <v>0.23000000000000004</v>
      </c>
      <c r="P38" s="3">
        <f t="shared" si="12"/>
        <v>0.24000000000000005</v>
      </c>
      <c r="Q38" s="3">
        <f t="shared" si="12"/>
        <v>0.25000000000000006</v>
      </c>
      <c r="R38" s="3">
        <f t="shared" si="12"/>
        <v>0.26000000000000006</v>
      </c>
      <c r="S38" s="3">
        <f t="shared" si="12"/>
        <v>0.27000000000000007</v>
      </c>
      <c r="T38" s="3">
        <f>S38</f>
        <v>0.27000000000000007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  <c r="K39" t="s">
        <v>57</v>
      </c>
      <c r="L39" s="3">
        <v>0.2</v>
      </c>
      <c r="M39" s="3">
        <f>L39</f>
        <v>0.2</v>
      </c>
      <c r="N39" s="3">
        <f t="shared" ref="N39:T39" si="13">M39</f>
        <v>0.2</v>
      </c>
      <c r="O39" s="3">
        <f t="shared" si="13"/>
        <v>0.2</v>
      </c>
      <c r="P39" s="3">
        <f t="shared" si="13"/>
        <v>0.2</v>
      </c>
      <c r="Q39" s="3">
        <f t="shared" si="13"/>
        <v>0.2</v>
      </c>
      <c r="R39" s="3">
        <f t="shared" si="13"/>
        <v>0.2</v>
      </c>
      <c r="S39" s="3">
        <f t="shared" si="13"/>
        <v>0.2</v>
      </c>
      <c r="T39" s="3">
        <f t="shared" si="13"/>
        <v>0.2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  <c r="K40" t="s">
        <v>47</v>
      </c>
      <c r="L40" s="3">
        <f>SUM(L38:L39)</f>
        <v>0.4</v>
      </c>
      <c r="M40" s="3">
        <f t="shared" ref="M40:T40" si="14">SUM(M38:M39)</f>
        <v>0.41000000000000003</v>
      </c>
      <c r="N40" s="3">
        <f t="shared" si="14"/>
        <v>0.42000000000000004</v>
      </c>
      <c r="O40" s="3">
        <f t="shared" si="14"/>
        <v>0.43000000000000005</v>
      </c>
      <c r="P40" s="3">
        <f t="shared" si="14"/>
        <v>0.44000000000000006</v>
      </c>
      <c r="Q40" s="3">
        <f t="shared" si="14"/>
        <v>0.45000000000000007</v>
      </c>
      <c r="R40" s="3">
        <f t="shared" si="14"/>
        <v>0.46000000000000008</v>
      </c>
      <c r="S40" s="3">
        <f t="shared" si="14"/>
        <v>0.47000000000000008</v>
      </c>
      <c r="T40" s="3">
        <f t="shared" si="14"/>
        <v>0.47000000000000008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  <c r="I43" t="s">
        <v>54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  <c r="I44" s="1" t="s">
        <v>48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  <c r="I46" t="s">
        <v>33</v>
      </c>
      <c r="J46" t="s">
        <v>49</v>
      </c>
      <c r="K46" t="s">
        <v>50</v>
      </c>
      <c r="L46" t="s">
        <v>51</v>
      </c>
      <c r="M46" t="s">
        <v>52</v>
      </c>
      <c r="N46" t="s">
        <v>53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  <c r="I47">
        <v>2014</v>
      </c>
      <c r="J47" s="13">
        <f>[4]Summary!C18</f>
        <v>8.5440604315077662E-2</v>
      </c>
      <c r="K47" s="13">
        <f>[4]Summary!D18</f>
        <v>3.9462098957655213E-2</v>
      </c>
      <c r="L47" s="13">
        <f>[4]Summary!E18</f>
        <v>8.151057439871652E-2</v>
      </c>
      <c r="M47" s="13">
        <f>[4]Summary!F18</f>
        <v>0.17213012336582414</v>
      </c>
      <c r="N47" s="13">
        <f>[4]Summary!G18</f>
        <v>0.22450183141751828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  <c r="I48">
        <v>2015</v>
      </c>
      <c r="J48" s="13">
        <f>[4]Summary!C19</f>
        <v>9.5241193013033396E-2</v>
      </c>
      <c r="K48" s="13">
        <f>[4]Summary!D19</f>
        <v>6.5019843698465682E-2</v>
      </c>
      <c r="L48" s="13">
        <f>[4]Summary!E19</f>
        <v>9.9220784816533916E-2</v>
      </c>
      <c r="M48" s="13">
        <f>[4]Summary!F19</f>
        <v>0.2733213959139707</v>
      </c>
      <c r="N48" s="13">
        <f>[4]Summary!G19</f>
        <v>0.30469439964895967</v>
      </c>
    </row>
    <row r="49" spans="2:14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  <c r="I49">
        <v>2016</v>
      </c>
      <c r="J49" s="13">
        <f>[4]Summary!C20</f>
        <v>0.17382697718843057</v>
      </c>
      <c r="K49" s="13">
        <f>[4]Summary!D20</f>
        <v>0.17148755987068778</v>
      </c>
      <c r="L49" s="13">
        <f>[4]Summary!E20</f>
        <v>0.23929118609899763</v>
      </c>
      <c r="M49" s="13">
        <f>[4]Summary!F20</f>
        <v>1.2523917792888046</v>
      </c>
      <c r="N49" s="13">
        <f>[4]Summary!G20</f>
        <v>14.164780786884126</v>
      </c>
    </row>
    <row r="50" spans="2:14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  <c r="I50">
        <v>2017</v>
      </c>
      <c r="J50" s="13">
        <f>[4]Summary!C21</f>
        <v>0.28147736963019521</v>
      </c>
      <c r="K50" s="13">
        <f>[4]Summary!D21</f>
        <v>9.5285867847432829E-2</v>
      </c>
      <c r="L50" s="13">
        <f>[4]Summary!E21</f>
        <v>0.111953815796831</v>
      </c>
      <c r="M50" s="13">
        <f>[4]Summary!F21</f>
        <v>0.2979263240269211</v>
      </c>
      <c r="N50" s="13">
        <f>[4]Summary!G21</f>
        <v>0.4648003159189768</v>
      </c>
    </row>
    <row r="51" spans="2:14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  <c r="I51">
        <v>2018</v>
      </c>
      <c r="J51" s="13">
        <f>[4]Summary!C22</f>
        <v>0.11817372358655855</v>
      </c>
      <c r="K51" s="13">
        <f>[4]Summary!D22</f>
        <v>0.11145951907318892</v>
      </c>
      <c r="L51" s="13">
        <f>[4]Summary!E22</f>
        <v>0.32758277727182361</v>
      </c>
      <c r="M51" s="13">
        <f>[4]Summary!F22</f>
        <v>3.4862089603691619</v>
      </c>
      <c r="N51" s="13">
        <f>[4]Summary!G22</f>
        <v>0.54013471852967576</v>
      </c>
    </row>
    <row r="52" spans="2:14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  <c r="I52">
        <v>2019</v>
      </c>
      <c r="J52" s="13">
        <f>[4]Summary!C23</f>
        <v>0.35016700256722672</v>
      </c>
      <c r="K52" s="13">
        <f>[4]Summary!D23</f>
        <v>0.2448109994679761</v>
      </c>
      <c r="L52" s="13">
        <f>[4]Summary!E23</f>
        <v>0.7251534735845272</v>
      </c>
      <c r="M52" s="13">
        <f>[4]Summary!F23</f>
        <v>1.1221464377628334</v>
      </c>
      <c r="N52" s="13">
        <f>[4]Summary!G23</f>
        <v>0.63601742018859109</v>
      </c>
    </row>
    <row r="53" spans="2:14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  <c r="I53" t="s">
        <v>19</v>
      </c>
      <c r="J53" s="13">
        <f>[4]Summary!C24</f>
        <v>0.18405447838342034</v>
      </c>
      <c r="K53" s="13">
        <f>[4]Summary!D24</f>
        <v>0.12125431481923442</v>
      </c>
      <c r="L53" s="13">
        <f>[4]Summary!E24</f>
        <v>0.26411876866123829</v>
      </c>
      <c r="M53" s="13">
        <f>[4]Summary!F24</f>
        <v>1.100687503454586</v>
      </c>
      <c r="N53" s="13">
        <f>[4]Summary!G24</f>
        <v>2.722488245431308</v>
      </c>
    </row>
    <row r="54" spans="2:14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14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  <c r="I55" t="s">
        <v>55</v>
      </c>
    </row>
    <row r="56" spans="2:14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  <c r="I56" t="s">
        <v>19</v>
      </c>
      <c r="J56" s="53">
        <f>AVERAGE(J50:J52)</f>
        <v>0.24993936526132679</v>
      </c>
      <c r="K56" s="53">
        <f>AVERAGE(K50:K52)</f>
        <v>0.15051879546286595</v>
      </c>
      <c r="L56" s="53">
        <f>AVERAGE(L50:L52)</f>
        <v>0.38823002221772729</v>
      </c>
      <c r="M56" s="53">
        <f>AVERAGE(M50:M52)</f>
        <v>1.6354272407196389</v>
      </c>
      <c r="N56" s="53">
        <f>AVERAGE(N50:N52)</f>
        <v>0.54698415154574787</v>
      </c>
    </row>
    <row r="57" spans="2:14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14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14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14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14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14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14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14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4181-E7BD-4FBC-B76D-229B1A697F3A}">
  <dimension ref="B2:T2700"/>
  <sheetViews>
    <sheetView workbookViewId="0">
      <selection activeCell="J19" sqref="J19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-2.707682188700089E-2</v>
      </c>
      <c r="K6" s="14">
        <f>'Spot Prices'!K29</f>
        <v>-7.0356481385946745E-2</v>
      </c>
      <c r="L6" s="14">
        <f>'Spot Prices'!L29</f>
        <v>-6.2112118915123915E-2</v>
      </c>
      <c r="M6" s="14">
        <f>'Spot Prices'!M29</f>
        <v>-6.9063791746274972E-2</v>
      </c>
      <c r="N6" s="14">
        <f>'Spot Prices'!N29</f>
        <v>-8.8118410167702388E-3</v>
      </c>
      <c r="O6" s="14">
        <f>'Spot Prices'!O29</f>
        <v>-6.6249221704253514E-2</v>
      </c>
      <c r="P6" s="14">
        <f>'Spot Prices'!P29</f>
        <v>-6.6249221704253514E-2</v>
      </c>
      <c r="Q6" s="14">
        <f>'Spot Prices'!Q29</f>
        <v>-6.6249221704253514E-2</v>
      </c>
      <c r="R6" s="14">
        <f>'Spot Prices'!R29</f>
        <v>-6.6249221704253514E-2</v>
      </c>
      <c r="S6" s="14">
        <f>'Spot Prices'!S29</f>
        <v>-6.6249221704253514E-2</v>
      </c>
      <c r="T6" s="14">
        <f>'Spot Prices'!T29</f>
        <v>-6.6249221704253514E-2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-6.8254090889995456E-2</v>
      </c>
      <c r="K7" s="14">
        <f>'Spot Prices'!K30</f>
        <v>-0.11180964081406086</v>
      </c>
      <c r="L7" s="14">
        <f>'Spot Prices'!L30</f>
        <v>-0.10939493391806532</v>
      </c>
      <c r="M7" s="14">
        <f>'Spot Prices'!M30</f>
        <v>-0.12947574442401111</v>
      </c>
      <c r="N7" s="14">
        <f>'Spot Prices'!N30</f>
        <v>-7.0637463138707668E-2</v>
      </c>
      <c r="O7" s="14">
        <f>'Spot Prices'!O30</f>
        <v>-0.12232387246950638</v>
      </c>
      <c r="P7" s="14">
        <f>'Spot Prices'!P30</f>
        <v>-0.12232387246950638</v>
      </c>
      <c r="Q7" s="14">
        <f>'Spot Prices'!Q30</f>
        <v>-0.12232387246950649</v>
      </c>
      <c r="R7" s="14">
        <f>'Spot Prices'!R30</f>
        <v>-0.12232387246950649</v>
      </c>
      <c r="S7" s="14">
        <f>'Spot Prices'!S30</f>
        <v>-0.12232387246950638</v>
      </c>
      <c r="T7" s="14">
        <f>'Spot Prices'!T30</f>
        <v>-0.12232387246950638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-9.9563870000832222E-2</v>
      </c>
      <c r="K8" s="46">
        <f>'Spot Prices'!K31</f>
        <v>-0.13412127643991212</v>
      </c>
      <c r="L8" s="46">
        <f>'Spot Prices'!L31</f>
        <v>-0.12657506718378619</v>
      </c>
      <c r="M8" s="46">
        <f>'Spot Prices'!M31</f>
        <v>-0.15085775705829008</v>
      </c>
      <c r="N8" s="46">
        <f>'Spot Prices'!N31</f>
        <v>-8.4978918131081826E-2</v>
      </c>
      <c r="O8" s="46">
        <f>'Spot Prices'!O31</f>
        <v>-0.13750829031540812</v>
      </c>
      <c r="P8" s="46">
        <f>'Spot Prices'!P31</f>
        <v>-0.13750829031540812</v>
      </c>
      <c r="Q8" s="46">
        <f>'Spot Prices'!Q31</f>
        <v>-0.13750829031540812</v>
      </c>
      <c r="R8" s="46">
        <f>'Spot Prices'!R31</f>
        <v>-0.13750829031540812</v>
      </c>
      <c r="S8" s="46">
        <f>'Spot Prices'!S31</f>
        <v>-0.13750829031540823</v>
      </c>
      <c r="T8" s="46">
        <f>'Spot Prices'!T31</f>
        <v>-0.13750829031540812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-0.11057490781087875</v>
      </c>
      <c r="K9" s="41">
        <f>'Spot Prices'!K32</f>
        <v>-0.14146185960568947</v>
      </c>
      <c r="L9" s="41">
        <f>'Spot Prices'!L32</f>
        <v>-0.1354988687452493</v>
      </c>
      <c r="M9" s="41">
        <f>'Spot Prices'!M32</f>
        <v>-0.16540932232235739</v>
      </c>
      <c r="N9" s="41">
        <f>'Spot Prices'!N32</f>
        <v>-9.066506822769782E-2</v>
      </c>
      <c r="O9" s="41">
        <f>'Spot Prices'!O32</f>
        <v>-0.15324534971814097</v>
      </c>
      <c r="P9" s="41">
        <f>'Spot Prices'!P32</f>
        <v>-0.15324534971814097</v>
      </c>
      <c r="Q9" s="41">
        <f>'Spot Prices'!Q32</f>
        <v>-0.15324534971814108</v>
      </c>
      <c r="R9" s="41">
        <f>'Spot Prices'!R32</f>
        <v>-0.15324534971814108</v>
      </c>
      <c r="S9" s="41">
        <f>'Spot Prices'!S32</f>
        <v>-0.15324534971814108</v>
      </c>
      <c r="T9" s="41">
        <f>'Spot Prices'!T32</f>
        <v>-0.15324534971814108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-0.1208891199290455</v>
      </c>
      <c r="K10" s="46">
        <f>'Spot Prices'!K33</f>
        <v>-0.14810155327490959</v>
      </c>
      <c r="L10" s="46">
        <f>'Spot Prices'!L33</f>
        <v>-0.14002567546267997</v>
      </c>
      <c r="M10" s="46">
        <f>'Spot Prices'!M33</f>
        <v>-0.17148745421136313</v>
      </c>
      <c r="N10" s="46">
        <f>'Spot Prices'!N33</f>
        <v>-9.7031792099038339E-2</v>
      </c>
      <c r="O10" s="46">
        <f>'Spot Prices'!O33</f>
        <v>-0.15980456433561374</v>
      </c>
      <c r="P10" s="46">
        <f>'Spot Prices'!P33</f>
        <v>-0.15980456433561363</v>
      </c>
      <c r="Q10" s="46">
        <f>'Spot Prices'!Q33</f>
        <v>-0.15980456433561363</v>
      </c>
      <c r="R10" s="46">
        <f>'Spot Prices'!R33</f>
        <v>-0.15980456433561374</v>
      </c>
      <c r="S10" s="46">
        <f>'Spot Prices'!S33</f>
        <v>-0.15980456433561385</v>
      </c>
      <c r="T10" s="46">
        <f>'Spot Prices'!T33</f>
        <v>-0.15980456433561385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-0.14379602728030905</v>
      </c>
      <c r="K11" s="14">
        <f>'Spot Prices'!K34</f>
        <v>-0.16142872522415197</v>
      </c>
      <c r="L11" s="14">
        <f>'Spot Prices'!L34</f>
        <v>-0.15902890158055494</v>
      </c>
      <c r="M11" s="14">
        <f>'Spot Prices'!M34</f>
        <v>-0.19155923372400463</v>
      </c>
      <c r="N11" s="14">
        <f>'Spot Prices'!N34</f>
        <v>-0.10864118891812402</v>
      </c>
      <c r="O11" s="14">
        <f>'Spot Prices'!O34</f>
        <v>-0.17499030255231729</v>
      </c>
      <c r="P11" s="14">
        <f>'Spot Prices'!P34</f>
        <v>-0.17499030255231729</v>
      </c>
      <c r="Q11" s="14">
        <f>'Spot Prices'!Q34</f>
        <v>-0.1749903025523174</v>
      </c>
      <c r="R11" s="14">
        <f>'Spot Prices'!R34</f>
        <v>-0.1749903025523174</v>
      </c>
      <c r="S11" s="14">
        <f>'Spot Prices'!S34</f>
        <v>-0.1749903025523174</v>
      </c>
      <c r="T11" s="14">
        <f>'Spot Prices'!T34</f>
        <v>-0.1749903025523174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-0.21455151972462549</v>
      </c>
      <c r="K12" s="14">
        <f>'Spot Prices'!K35</f>
        <v>-0.19881048441424565</v>
      </c>
      <c r="L12" s="14">
        <f>'Spot Prices'!L35</f>
        <v>-0.24139031607809225</v>
      </c>
      <c r="M12" s="14">
        <f>'Spot Prices'!M35</f>
        <v>-0.218492972680286</v>
      </c>
      <c r="N12" s="14">
        <f>'Spot Prices'!N35</f>
        <v>-0.15673287279469184</v>
      </c>
      <c r="O12" s="14">
        <f>'Spot Prices'!O35</f>
        <v>-0.22811745261763405</v>
      </c>
      <c r="P12" s="14">
        <f>'Spot Prices'!P35</f>
        <v>-0.22811745261763394</v>
      </c>
      <c r="Q12" s="14">
        <f>'Spot Prices'!Q35</f>
        <v>-0.22811745261763405</v>
      </c>
      <c r="R12" s="14">
        <f>'Spot Prices'!R35</f>
        <v>-0.22811745261763394</v>
      </c>
      <c r="S12" s="14">
        <f>'Spot Prices'!S35</f>
        <v>-0.22811745261763394</v>
      </c>
      <c r="T12" s="14">
        <f>'Spot Prices'!T35</f>
        <v>-0.22811745261763394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-0.10706245261602132</v>
      </c>
      <c r="K13" s="46">
        <f>'Spot Prices'!K36</f>
        <v>-0.13827375441034129</v>
      </c>
      <c r="L13" s="46">
        <f>'Spot Prices'!L36</f>
        <v>-0.13227281817196912</v>
      </c>
      <c r="M13" s="46">
        <f>'Spot Prices'!M36</f>
        <v>-0.15988844075858466</v>
      </c>
      <c r="N13" s="46">
        <f>'Spot Prices'!N36</f>
        <v>-8.9701176384817005E-2</v>
      </c>
      <c r="O13" s="46">
        <f>'Spot Prices'!O36</f>
        <v>-0.14714415762311406</v>
      </c>
      <c r="P13" s="46">
        <f>'Spot Prices'!P36</f>
        <v>-0.14714415762311417</v>
      </c>
      <c r="Q13" s="46">
        <f>'Spot Prices'!Q36</f>
        <v>-0.14714415762311417</v>
      </c>
      <c r="R13" s="46">
        <f>'Spot Prices'!R36</f>
        <v>-0.14714415762311428</v>
      </c>
      <c r="S13" s="46">
        <f>'Spot Prices'!S36</f>
        <v>-0.14714415762311428</v>
      </c>
      <c r="T13" s="46">
        <f>'Spot Prices'!T36</f>
        <v>-0.14714415762311439</v>
      </c>
    </row>
    <row r="15" spans="2:20" x14ac:dyDescent="0.3">
      <c r="B15" s="32" t="str">
        <f>D39</f>
        <v>Dispatched Energy</v>
      </c>
      <c r="E15" s="106">
        <f>DualFuelCM!E15</f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>AVERAGEIFS($F$39:$F$1048576,$B$39:$B$1048576,$B$2,$D$39:$D$1048576,$B$15,$C$39:$C$1048576,E$16,$E$39:$E$1048576,$B17)/100*$E$15</f>
        <v>28162.75</v>
      </c>
      <c r="F17" s="15">
        <f t="shared" ref="F17:O17" si="0">AVERAGEIFS($F$39:$F$1048576,$B$39:$B$1048576,$B$2,$D$39:$D$1048576,$B$15,$C$39:$C$1048576,F$16,$E$39:$E$1048576,$B17)/100*$E$15</f>
        <v>47504.275000000001</v>
      </c>
      <c r="G17" s="15">
        <f t="shared" si="0"/>
        <v>50692.95</v>
      </c>
      <c r="H17" s="15">
        <f t="shared" si="0"/>
        <v>50180.9</v>
      </c>
      <c r="I17" s="15">
        <f t="shared" si="0"/>
        <v>57000.474999999991</v>
      </c>
      <c r="J17" s="15">
        <f t="shared" si="0"/>
        <v>61073.599999999999</v>
      </c>
      <c r="K17" s="15">
        <f t="shared" si="0"/>
        <v>59258.15</v>
      </c>
      <c r="L17" s="15">
        <f t="shared" si="0"/>
        <v>63075.250000000007</v>
      </c>
      <c r="M17" s="15">
        <f t="shared" si="0"/>
        <v>66380.3</v>
      </c>
      <c r="N17" s="15">
        <f t="shared" si="0"/>
        <v>70337.05</v>
      </c>
      <c r="O17" s="15">
        <f t="shared" si="0"/>
        <v>73781.75</v>
      </c>
      <c r="P17" s="36">
        <f>'Spot Prices'!P17/'Spot Prices'!O17*'2hBatteryMWh'!O17</f>
        <v>77214.769356146993</v>
      </c>
      <c r="Q17" s="36">
        <f>'Spot Prices'!Q17/'Spot Prices'!P17*'2hBatteryMWh'!P17</f>
        <v>85085.369581604347</v>
      </c>
      <c r="R17" s="36">
        <f>'Spot Prices'!R17/'Spot Prices'!Q17*'2hBatteryMWh'!Q17</f>
        <v>84670.347118946564</v>
      </c>
      <c r="S17" s="36">
        <f>'Spot Prices'!S17/'Spot Prices'!R17*'2hBatteryMWh'!R17</f>
        <v>87835.269362380437</v>
      </c>
      <c r="T17" s="36">
        <f>'Spot Prices'!T17/'Spot Prices'!S17*'2hBatteryMWh'!S17</f>
        <v>86824.445900121282</v>
      </c>
    </row>
    <row r="18" spans="2:20" x14ac:dyDescent="0.3">
      <c r="B18" s="3">
        <v>0.95</v>
      </c>
      <c r="C18" s="17"/>
      <c r="D18" s="17"/>
      <c r="E18" s="15">
        <f t="shared" ref="E18:O24" si="1">AVERAGEIFS($F$39:$F$1048576,$B$39:$B$1048576,$B$2,$D$39:$D$1048576,$B$15,$C$39:$C$1048576,E$16,$E$39:$E$1048576,$B18)/100*$E$15</f>
        <v>18969.125</v>
      </c>
      <c r="F18" s="15">
        <f t="shared" si="1"/>
        <v>37077.074999999997</v>
      </c>
      <c r="G18" s="15">
        <f t="shared" si="1"/>
        <v>39614.050000000003</v>
      </c>
      <c r="H18" s="15">
        <f t="shared" si="1"/>
        <v>38287.375</v>
      </c>
      <c r="I18" s="15">
        <f t="shared" si="1"/>
        <v>47166.787499999999</v>
      </c>
      <c r="J18" s="15">
        <f t="shared" si="1"/>
        <v>51158.44999999999</v>
      </c>
      <c r="K18" s="15">
        <f t="shared" si="1"/>
        <v>50855.875</v>
      </c>
      <c r="L18" s="15">
        <f t="shared" si="1"/>
        <v>54451.862500000017</v>
      </c>
      <c r="M18" s="15">
        <f t="shared" si="1"/>
        <v>57640.537499999991</v>
      </c>
      <c r="N18" s="15">
        <f t="shared" si="1"/>
        <v>63657.125</v>
      </c>
      <c r="O18" s="15">
        <f t="shared" si="1"/>
        <v>64099.350000000006</v>
      </c>
      <c r="P18" s="36">
        <f>'Spot Prices'!P18/'Spot Prices'!O18*'2hBatteryMWh'!O18</f>
        <v>68806.248633309631</v>
      </c>
      <c r="Q18" s="36">
        <f>'Spot Prices'!Q18/'Spot Prices'!P18*'2hBatteryMWh'!P18</f>
        <v>76464.12279818955</v>
      </c>
      <c r="R18" s="36">
        <f>'Spot Prices'!R18/'Spot Prices'!Q18*'2hBatteryMWh'!Q18</f>
        <v>77299.31783445274</v>
      </c>
      <c r="S18" s="36">
        <f>'Spot Prices'!S18/'Spot Prices'!R18*'2hBatteryMWh'!R18</f>
        <v>81455.09621941112</v>
      </c>
      <c r="T18" s="36">
        <f>'Spot Prices'!T18/'Spot Prices'!S18*'2hBatteryMWh'!S18</f>
        <v>81461.155366089137</v>
      </c>
    </row>
    <row r="19" spans="2:20" x14ac:dyDescent="0.3">
      <c r="B19" s="5">
        <v>0.75</v>
      </c>
      <c r="C19" s="48"/>
      <c r="D19" s="48"/>
      <c r="E19" s="47">
        <f t="shared" si="1"/>
        <v>15175.3</v>
      </c>
      <c r="F19" s="47">
        <f t="shared" si="1"/>
        <v>27860.174999999999</v>
      </c>
      <c r="G19" s="47">
        <f t="shared" si="1"/>
        <v>30164.400000000001</v>
      </c>
      <c r="H19" s="47">
        <f t="shared" si="1"/>
        <v>29629.075000000001</v>
      </c>
      <c r="I19" s="47">
        <f t="shared" si="1"/>
        <v>38752.875</v>
      </c>
      <c r="J19" s="47">
        <f t="shared" si="1"/>
        <v>44245.775000000001</v>
      </c>
      <c r="K19" s="47">
        <f t="shared" si="1"/>
        <v>45037.125</v>
      </c>
      <c r="L19" s="47">
        <f t="shared" si="1"/>
        <v>48784.4</v>
      </c>
      <c r="M19" s="47">
        <f t="shared" si="1"/>
        <v>51949.8</v>
      </c>
      <c r="N19" s="47">
        <f t="shared" si="1"/>
        <v>57605.625</v>
      </c>
      <c r="O19" s="47">
        <f t="shared" si="1"/>
        <v>58373.7</v>
      </c>
      <c r="P19" s="50">
        <f>'Spot Prices'!P19/'Spot Prices'!O19*'2hBatteryMWh'!O19</f>
        <v>62876.899672317973</v>
      </c>
      <c r="Q19" s="50">
        <f>'Spot Prices'!Q19/'Spot Prices'!P19*'2hBatteryMWh'!P19</f>
        <v>71581.884264813925</v>
      </c>
      <c r="R19" s="50">
        <f>'Spot Prices'!R19/'Spot Prices'!Q19*'2hBatteryMWh'!Q19</f>
        <v>72069.544406454806</v>
      </c>
      <c r="S19" s="50">
        <f>'Spot Prices'!S19/'Spot Prices'!R19*'2hBatteryMWh'!R19</f>
        <v>77821.437191247038</v>
      </c>
      <c r="T19" s="50">
        <f>'Spot Prices'!T19/'Spot Prices'!S19*'2hBatteryMWh'!S19</f>
        <v>77527.087415873844</v>
      </c>
    </row>
    <row r="20" spans="2:20" x14ac:dyDescent="0.3">
      <c r="B20" s="7">
        <v>0.5</v>
      </c>
      <c r="C20" s="39"/>
      <c r="D20" s="39"/>
      <c r="E20" s="42">
        <f t="shared" si="1"/>
        <v>12824.525</v>
      </c>
      <c r="F20" s="42">
        <f t="shared" si="1"/>
        <v>21215.162499999999</v>
      </c>
      <c r="G20" s="42">
        <f t="shared" si="1"/>
        <v>23833.599999999999</v>
      </c>
      <c r="H20" s="42">
        <f t="shared" si="1"/>
        <v>23833.599999999999</v>
      </c>
      <c r="I20" s="42">
        <f t="shared" si="1"/>
        <v>29140.300000000003</v>
      </c>
      <c r="J20" s="42">
        <f t="shared" si="1"/>
        <v>36146.074999999997</v>
      </c>
      <c r="K20" s="42">
        <f t="shared" si="1"/>
        <v>38915.800000000003</v>
      </c>
      <c r="L20" s="42">
        <f t="shared" si="1"/>
        <v>43431.15</v>
      </c>
      <c r="M20" s="42">
        <f t="shared" si="1"/>
        <v>47062.05</v>
      </c>
      <c r="N20" s="42">
        <f t="shared" si="1"/>
        <v>51949.8</v>
      </c>
      <c r="O20" s="42">
        <f t="shared" si="1"/>
        <v>53206.65</v>
      </c>
      <c r="P20" s="45">
        <f>'Spot Prices'!P20/'Spot Prices'!O20*'2hBatteryMWh'!O20</f>
        <v>57749.650865151161</v>
      </c>
      <c r="Q20" s="45">
        <f>'Spot Prices'!Q20/'Spot Prices'!P20*'2hBatteryMWh'!P20</f>
        <v>66133.018971313999</v>
      </c>
      <c r="R20" s="45">
        <f>'Spot Prices'!R20/'Spot Prices'!Q20*'2hBatteryMWh'!Q20</f>
        <v>66811.855991953562</v>
      </c>
      <c r="S20" s="45">
        <f>'Spot Prices'!S20/'Spot Prices'!R20*'2hBatteryMWh'!R20</f>
        <v>73034.603027232501</v>
      </c>
      <c r="T20" s="45">
        <f>'Spot Prices'!T20/'Spot Prices'!S20*'2hBatteryMWh'!S20</f>
        <v>72460.507254150652</v>
      </c>
    </row>
    <row r="21" spans="2:20" x14ac:dyDescent="0.3">
      <c r="B21" s="5">
        <v>0.25</v>
      </c>
      <c r="C21" s="48"/>
      <c r="D21" s="48"/>
      <c r="E21" s="47">
        <f t="shared" si="1"/>
        <v>10985.8</v>
      </c>
      <c r="F21" s="47">
        <f t="shared" si="1"/>
        <v>17991.575000000001</v>
      </c>
      <c r="G21" s="47">
        <f t="shared" si="1"/>
        <v>19667.375</v>
      </c>
      <c r="H21" s="47">
        <f t="shared" si="1"/>
        <v>19504.45</v>
      </c>
      <c r="I21" s="47">
        <f t="shared" si="1"/>
        <v>22832.775000000001</v>
      </c>
      <c r="J21" s="47">
        <f t="shared" si="1"/>
        <v>27301.575000000004</v>
      </c>
      <c r="K21" s="47">
        <f t="shared" si="1"/>
        <v>30606.625000000004</v>
      </c>
      <c r="L21" s="47">
        <f t="shared" si="1"/>
        <v>36285.724999999999</v>
      </c>
      <c r="M21" s="47">
        <f t="shared" si="1"/>
        <v>40975.637499999997</v>
      </c>
      <c r="N21" s="47">
        <f t="shared" si="1"/>
        <v>46480.175000000003</v>
      </c>
      <c r="O21" s="47">
        <f t="shared" si="1"/>
        <v>47643.925000000003</v>
      </c>
      <c r="P21" s="50">
        <f>'Spot Prices'!P21/'Spot Prices'!O21*'2hBatteryMWh'!O21</f>
        <v>50946.246759037618</v>
      </c>
      <c r="Q21" s="50">
        <f>'Spot Prices'!Q21/'Spot Prices'!P21*'2hBatteryMWh'!P21</f>
        <v>57947.274996369641</v>
      </c>
      <c r="R21" s="50">
        <f>'Spot Prices'!R21/'Spot Prices'!Q21*'2hBatteryMWh'!Q21</f>
        <v>57569.492268631489</v>
      </c>
      <c r="S21" s="50">
        <f>'Spot Prices'!S21/'Spot Prices'!R21*'2hBatteryMWh'!R21</f>
        <v>62443.074577235675</v>
      </c>
      <c r="T21" s="50">
        <f>'Spot Prices'!T21/'Spot Prices'!S21*'2hBatteryMWh'!S21</f>
        <v>61277.620211181486</v>
      </c>
    </row>
    <row r="22" spans="2:20" x14ac:dyDescent="0.3">
      <c r="B22" s="3">
        <v>0.05</v>
      </c>
      <c r="C22" s="17"/>
      <c r="D22" s="17"/>
      <c r="E22" s="15">
        <f t="shared" si="1"/>
        <v>8891.0499999999993</v>
      </c>
      <c r="F22" s="15">
        <f t="shared" si="1"/>
        <v>14826.174999999997</v>
      </c>
      <c r="G22" s="15">
        <f t="shared" si="1"/>
        <v>15617.525000000001</v>
      </c>
      <c r="H22" s="15">
        <f t="shared" si="1"/>
        <v>15245.124999999998</v>
      </c>
      <c r="I22" s="15">
        <f t="shared" si="1"/>
        <v>17409.7</v>
      </c>
      <c r="J22" s="15">
        <f t="shared" si="1"/>
        <v>19969.95</v>
      </c>
      <c r="K22" s="15">
        <f t="shared" si="1"/>
        <v>21226.799999999999</v>
      </c>
      <c r="L22" s="15">
        <f t="shared" si="1"/>
        <v>25137</v>
      </c>
      <c r="M22" s="15">
        <f t="shared" si="1"/>
        <v>30979.025000000009</v>
      </c>
      <c r="N22" s="15">
        <f t="shared" si="1"/>
        <v>38811.0625</v>
      </c>
      <c r="O22" s="15">
        <f t="shared" si="1"/>
        <v>39753.699999999997</v>
      </c>
      <c r="P22" s="36">
        <f>'Spot Prices'!P22/'Spot Prices'!O22*'2hBatteryMWh'!O22</f>
        <v>41484.574236417306</v>
      </c>
      <c r="Q22" s="36">
        <f>'Spot Prices'!Q22/'Spot Prices'!P22*'2hBatteryMWh'!P22</f>
        <v>46257.256611956676</v>
      </c>
      <c r="R22" s="36">
        <f>'Spot Prices'!R22/'Spot Prices'!Q22*'2hBatteryMWh'!Q22</f>
        <v>42842.760240564305</v>
      </c>
      <c r="S22" s="36">
        <f>'Spot Prices'!S22/'Spot Prices'!R22*'2hBatteryMWh'!R22</f>
        <v>45569.620627094293</v>
      </c>
      <c r="T22" s="36">
        <f>'Spot Prices'!T22/'Spot Prices'!S22*'2hBatteryMWh'!S22</f>
        <v>43183.489358629413</v>
      </c>
    </row>
    <row r="23" spans="2:20" x14ac:dyDescent="0.3">
      <c r="B23" s="3">
        <v>0</v>
      </c>
      <c r="C23" s="17"/>
      <c r="D23" s="17"/>
      <c r="E23" s="15">
        <f t="shared" si="1"/>
        <v>4957.5749999999998</v>
      </c>
      <c r="F23" s="15">
        <f t="shared" si="1"/>
        <v>9077.25</v>
      </c>
      <c r="G23" s="15">
        <f t="shared" si="1"/>
        <v>9682.4</v>
      </c>
      <c r="H23" s="15">
        <f t="shared" si="1"/>
        <v>9333.2749999999996</v>
      </c>
      <c r="I23" s="15">
        <f t="shared" si="1"/>
        <v>10566.85</v>
      </c>
      <c r="J23" s="15">
        <f t="shared" si="1"/>
        <v>11521.125</v>
      </c>
      <c r="K23" s="15">
        <f t="shared" si="1"/>
        <v>13802.075000000003</v>
      </c>
      <c r="L23" s="15">
        <f t="shared" si="1"/>
        <v>16711.45</v>
      </c>
      <c r="M23" s="15">
        <f t="shared" si="1"/>
        <v>23275</v>
      </c>
      <c r="N23" s="15">
        <f t="shared" si="1"/>
        <v>29582.525000000005</v>
      </c>
      <c r="O23" s="15">
        <f t="shared" si="1"/>
        <v>30001.474999999999</v>
      </c>
      <c r="P23" s="36">
        <f>'Spot Prices'!P23/'Spot Prices'!O23*'2hBatteryMWh'!O23</f>
        <v>29552.5916099063</v>
      </c>
      <c r="Q23" s="36">
        <f>'Spot Prices'!Q23/'Spot Prices'!P23*'2hBatteryMWh'!P23</f>
        <v>33970.544756654992</v>
      </c>
      <c r="R23" s="36">
        <f>'Spot Prices'!R23/'Spot Prices'!Q23*'2hBatteryMWh'!Q23</f>
        <v>31030.596041455403</v>
      </c>
      <c r="S23" s="36">
        <f>'Spot Prices'!S23/'Spot Prices'!R23*'2hBatteryMWh'!R23</f>
        <v>33137.480864455058</v>
      </c>
      <c r="T23" s="36">
        <f>'Spot Prices'!T23/'Spot Prices'!S23*'2hBatteryMWh'!S23</f>
        <v>28467.575206615635</v>
      </c>
    </row>
    <row r="24" spans="2:20" x14ac:dyDescent="0.3">
      <c r="B24" s="9" t="s">
        <v>29</v>
      </c>
      <c r="C24" s="48"/>
      <c r="D24" s="48"/>
      <c r="E24" s="47">
        <f t="shared" si="1"/>
        <v>13251.145405499999</v>
      </c>
      <c r="F24" s="47">
        <f t="shared" si="1"/>
        <v>23297.4733055</v>
      </c>
      <c r="G24" s="47">
        <f t="shared" si="1"/>
        <v>25403.915113999999</v>
      </c>
      <c r="H24" s="47">
        <f t="shared" si="1"/>
        <v>25021.403419499999</v>
      </c>
      <c r="I24" s="47">
        <f t="shared" si="1"/>
        <v>30824.773816499997</v>
      </c>
      <c r="J24" s="47">
        <f t="shared" si="1"/>
        <v>35845.535269499997</v>
      </c>
      <c r="K24" s="47">
        <f t="shared" si="1"/>
        <v>37600.837497</v>
      </c>
      <c r="L24" s="47">
        <f t="shared" si="1"/>
        <v>42048.431385999997</v>
      </c>
      <c r="M24" s="47">
        <f t="shared" si="1"/>
        <v>46053.068405500002</v>
      </c>
      <c r="N24" s="47">
        <f t="shared" si="1"/>
        <v>51803.408008500002</v>
      </c>
      <c r="O24" s="47">
        <f t="shared" si="1"/>
        <v>52770.706663999998</v>
      </c>
      <c r="P24" s="50">
        <f>'Spot Prices'!P24/'Spot Prices'!O24*'2hBatteryMWh'!O24</f>
        <v>56639.534042512081</v>
      </c>
      <c r="Q24" s="50">
        <f>'Spot Prices'!Q24/'Spot Prices'!P24*'2hBatteryMWh'!P24</f>
        <v>64128.483390480767</v>
      </c>
      <c r="R24" s="50">
        <f>'Spot Prices'!R24/'Spot Prices'!Q24*'2hBatteryMWh'!Q24</f>
        <v>63977.327922901954</v>
      </c>
      <c r="S24" s="50">
        <f>'Spot Prices'!S24/'Spot Prices'!R24*'2hBatteryMWh'!R24</f>
        <v>69054.138379335767</v>
      </c>
      <c r="T24" s="50">
        <f>'Spot Prices'!T24/'Spot Prices'!S24*'2hBatteryMWh'!S24</f>
        <v>68201.820761171315</v>
      </c>
    </row>
    <row r="26" spans="2:20" x14ac:dyDescent="0.3">
      <c r="B26" s="1" t="str">
        <f>"Adjusted "&amp;B15</f>
        <v>Adjusted Dispatched Energy</v>
      </c>
      <c r="E26" s="3">
        <f>'2hBatteryCM'!E26</f>
        <v>0.8</v>
      </c>
      <c r="F26" s="3">
        <f>'2hBatteryCM'!F26</f>
        <v>0.8</v>
      </c>
      <c r="G26" s="3">
        <f>'2hBatteryCM'!G26</f>
        <v>0.8</v>
      </c>
      <c r="H26" s="3">
        <f>'2hBatteryCM'!H26</f>
        <v>0.8</v>
      </c>
      <c r="I26" s="3">
        <f>'2hBatteryCM'!I26</f>
        <v>0.8</v>
      </c>
      <c r="J26" s="3">
        <f>'2hBatteryCM'!J26</f>
        <v>0.8</v>
      </c>
      <c r="K26" s="3">
        <f>'2hBatteryCM'!K26</f>
        <v>0.8</v>
      </c>
      <c r="L26" s="3">
        <f>'2hBatteryCM'!L26</f>
        <v>0.6</v>
      </c>
      <c r="M26" s="3">
        <f>'2hBatteryCM'!M26</f>
        <v>0.59</v>
      </c>
      <c r="N26" s="3">
        <f>'2hBatteryCM'!N26</f>
        <v>0.57999999999999996</v>
      </c>
      <c r="O26" s="3">
        <f>'2hBatteryCM'!O26</f>
        <v>0.56999999999999995</v>
      </c>
      <c r="P26" s="3">
        <f>'2hBatteryCM'!P26</f>
        <v>0.55999999999999994</v>
      </c>
      <c r="Q26" s="3">
        <f>'2hBatteryCM'!Q26</f>
        <v>0.54999999999999993</v>
      </c>
      <c r="R26" s="3">
        <f>'2hBatteryCM'!R26</f>
        <v>0.53999999999999992</v>
      </c>
      <c r="S26" s="3">
        <f>'2hBatteryCM'!S26</f>
        <v>0.52999999999999992</v>
      </c>
      <c r="T26" s="3">
        <f>'2hBatteryCM'!T26</f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15">
        <f t="shared" ref="E28:E35" si="3">(E17*(1+E6))*(E$26)</f>
        <v>22919.714157089285</v>
      </c>
      <c r="F28" s="15">
        <f t="shared" ref="F28:T28" si="4">(F17*(1+F6))*(F$26)</f>
        <v>36552.85220943969</v>
      </c>
      <c r="G28" s="15">
        <f t="shared" si="4"/>
        <v>37976.209328349949</v>
      </c>
      <c r="H28" s="15">
        <f t="shared" si="4"/>
        <v>36342.34888819448</v>
      </c>
      <c r="I28" s="15">
        <f t="shared" si="4"/>
        <v>44241.310392075276</v>
      </c>
      <c r="J28" s="15">
        <f t="shared" si="4"/>
        <v>47535.936808641651</v>
      </c>
      <c r="K28" s="15">
        <f t="shared" si="4"/>
        <v>44071.164058047492</v>
      </c>
      <c r="L28" s="15">
        <f t="shared" si="4"/>
        <v>35494.507542839303</v>
      </c>
      <c r="M28" s="15">
        <f t="shared" si="4"/>
        <v>36459.536622999403</v>
      </c>
      <c r="N28" s="15">
        <f t="shared" si="4"/>
        <v>40436.005636730602</v>
      </c>
      <c r="O28" s="15">
        <f t="shared" si="4"/>
        <v>39269.446897317641</v>
      </c>
      <c r="P28" s="36">
        <f t="shared" si="4"/>
        <v>40375.636550048133</v>
      </c>
      <c r="Q28" s="36">
        <f t="shared" si="4"/>
        <v>43696.691537622355</v>
      </c>
      <c r="R28" s="36">
        <f t="shared" si="4"/>
        <v>42692.941361279176</v>
      </c>
      <c r="S28" s="36">
        <f t="shared" si="4"/>
        <v>43468.61309833781</v>
      </c>
      <c r="T28" s="36">
        <f t="shared" si="4"/>
        <v>42968.368785197643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15">
        <f t="shared" si="3"/>
        <v>15176.422957505065</v>
      </c>
      <c r="F29" s="15">
        <f t="shared" ref="F29:T29" si="5">(F18*(1+F7))*(F$26)</f>
        <v>25934.081232774264</v>
      </c>
      <c r="G29" s="15">
        <f t="shared" si="5"/>
        <v>24765.186613007834</v>
      </c>
      <c r="H29" s="15">
        <f t="shared" si="5"/>
        <v>25741.711762119317</v>
      </c>
      <c r="I29" s="15">
        <f t="shared" si="5"/>
        <v>33289.150704402702</v>
      </c>
      <c r="J29" s="15">
        <f t="shared" si="5"/>
        <v>38133.341203126962</v>
      </c>
      <c r="K29" s="15">
        <f t="shared" si="5"/>
        <v>36135.758306372176</v>
      </c>
      <c r="L29" s="15">
        <f t="shared" si="5"/>
        <v>29097.062760058161</v>
      </c>
      <c r="M29" s="15">
        <f t="shared" si="5"/>
        <v>29604.716738930543</v>
      </c>
      <c r="N29" s="15">
        <f t="shared" si="5"/>
        <v>34313.117363991907</v>
      </c>
      <c r="O29" s="15">
        <f t="shared" si="5"/>
        <v>32067.327492576394</v>
      </c>
      <c r="P29" s="36">
        <f t="shared" si="5"/>
        <v>33818.177036214765</v>
      </c>
      <c r="Q29" s="36">
        <f t="shared" si="5"/>
        <v>36910.904355892111</v>
      </c>
      <c r="R29" s="36">
        <f t="shared" si="5"/>
        <v>36635.633606353294</v>
      </c>
      <c r="S29" s="36">
        <f t="shared" si="5"/>
        <v>37890.332511262539</v>
      </c>
      <c r="T29" s="36">
        <f t="shared" si="5"/>
        <v>37893.151034510563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7">
        <f t="shared" si="3"/>
        <v>12138.516565166668</v>
      </c>
      <c r="F30" s="47">
        <f t="shared" ref="F30:T30" si="6">(F19*(1+F8))*(F$26)</f>
        <v>19030.4594432876</v>
      </c>
      <c r="G30" s="47">
        <f t="shared" si="6"/>
        <v>17398.749761634528</v>
      </c>
      <c r="H30" s="47">
        <f t="shared" si="6"/>
        <v>18964.342447582898</v>
      </c>
      <c r="I30" s="47">
        <f t="shared" si="6"/>
        <v>26562.248344915042</v>
      </c>
      <c r="J30" s="47">
        <f t="shared" si="6"/>
        <v>31872.395527851146</v>
      </c>
      <c r="K30" s="47">
        <f t="shared" si="6"/>
        <v>31197.350646252904</v>
      </c>
      <c r="L30" s="47">
        <f t="shared" si="6"/>
        <v>25565.706775487579</v>
      </c>
      <c r="M30" s="47">
        <f t="shared" si="6"/>
        <v>26026.534118500211</v>
      </c>
      <c r="N30" s="47">
        <f t="shared" si="6"/>
        <v>30572.009559356415</v>
      </c>
      <c r="O30" s="47">
        <f t="shared" si="6"/>
        <v>28697.69441876081</v>
      </c>
      <c r="P30" s="50">
        <f t="shared" si="6"/>
        <v>30369.250630904684</v>
      </c>
      <c r="Q30" s="50">
        <f t="shared" si="6"/>
        <v>33956.329958102171</v>
      </c>
      <c r="R30" s="50">
        <f t="shared" si="6"/>
        <v>33566.06766850892</v>
      </c>
      <c r="S30" s="50">
        <f t="shared" si="6"/>
        <v>35573.782538991079</v>
      </c>
      <c r="T30" s="50">
        <f t="shared" si="6"/>
        <v>35439.229191257429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42">
        <f t="shared" si="3"/>
        <v>10249.946951803277</v>
      </c>
      <c r="F31" s="42">
        <f t="shared" ref="F31:T31" si="7">(F20*(1+F9))*(F$26)</f>
        <v>14288.274798171555</v>
      </c>
      <c r="G31" s="42">
        <f t="shared" si="7"/>
        <v>12993.733009476688</v>
      </c>
      <c r="H31" s="42">
        <f t="shared" si="7"/>
        <v>14776.035250986077</v>
      </c>
      <c r="I31" s="42">
        <f t="shared" si="7"/>
        <v>19701.176323984648</v>
      </c>
      <c r="J31" s="42">
        <f t="shared" si="7"/>
        <v>25719.380871319911</v>
      </c>
      <c r="K31" s="42">
        <f t="shared" si="7"/>
        <v>26728.55885116553</v>
      </c>
      <c r="L31" s="42">
        <f t="shared" si="7"/>
        <v>22527.76698401686</v>
      </c>
      <c r="M31" s="42">
        <f t="shared" si="7"/>
        <v>23173.753439415472</v>
      </c>
      <c r="N31" s="42">
        <f t="shared" si="7"/>
        <v>27399.06534637915</v>
      </c>
      <c r="O31" s="42">
        <f t="shared" si="7"/>
        <v>25680.197638648984</v>
      </c>
      <c r="P31" s="45">
        <f t="shared" si="7"/>
        <v>27383.879836443492</v>
      </c>
      <c r="Q31" s="45">
        <f t="shared" si="7"/>
        <v>30799.142743126187</v>
      </c>
      <c r="R31" s="45">
        <f t="shared" si="7"/>
        <v>30549.554867780218</v>
      </c>
      <c r="S31" s="45">
        <f t="shared" si="7"/>
        <v>32776.466564743278</v>
      </c>
      <c r="T31" s="45">
        <f t="shared" si="7"/>
        <v>32518.823883994246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7">
        <f t="shared" si="3"/>
        <v>8780.8362536051263</v>
      </c>
      <c r="F32" s="47">
        <f t="shared" ref="F32:T32" si="8">(F21*(1+F10))*(F$26)</f>
        <v>11935.119175978878</v>
      </c>
      <c r="G32" s="47">
        <f t="shared" si="8"/>
        <v>10004.588722581873</v>
      </c>
      <c r="H32" s="47">
        <f t="shared" si="8"/>
        <v>11755.213003968804</v>
      </c>
      <c r="I32" s="47">
        <f t="shared" si="8"/>
        <v>15108.806956198088</v>
      </c>
      <c r="J32" s="47">
        <f t="shared" si="8"/>
        <v>19200.889300458537</v>
      </c>
      <c r="K32" s="47">
        <f t="shared" si="8"/>
        <v>20858.989037597858</v>
      </c>
      <c r="L32" s="47">
        <f t="shared" si="8"/>
        <v>18722.875108333166</v>
      </c>
      <c r="M32" s="47">
        <f t="shared" si="8"/>
        <v>20029.809546858029</v>
      </c>
      <c r="N32" s="47">
        <f t="shared" si="8"/>
        <v>24342.669787150389</v>
      </c>
      <c r="O32" s="47">
        <f t="shared" si="8"/>
        <v>22817.218743617719</v>
      </c>
      <c r="P32" s="50">
        <f t="shared" si="8"/>
        <v>23970.690235057966</v>
      </c>
      <c r="Q32" s="50">
        <f t="shared" si="8"/>
        <v>26777.869778626333</v>
      </c>
      <c r="R32" s="50">
        <f t="shared" si="8"/>
        <v>26119.597304314986</v>
      </c>
      <c r="S32" s="50">
        <f t="shared" si="8"/>
        <v>27806.124711781464</v>
      </c>
      <c r="T32" s="50">
        <f t="shared" si="8"/>
        <v>27287.143709199518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15">
        <f t="shared" si="3"/>
        <v>7100.5816602020004</v>
      </c>
      <c r="F33" s="15">
        <f t="shared" ref="F33:T33" si="9">(F22*(1+F11))*(F$26)</f>
        <v>9551.1266913949676</v>
      </c>
      <c r="G33" s="15">
        <f t="shared" si="9"/>
        <v>7048.2983177664473</v>
      </c>
      <c r="H33" s="15">
        <f t="shared" si="9"/>
        <v>8766.8640180314815</v>
      </c>
      <c r="I33" s="15">
        <f t="shared" si="9"/>
        <v>11106.42866672094</v>
      </c>
      <c r="J33" s="15">
        <f t="shared" si="9"/>
        <v>13678.680420010875</v>
      </c>
      <c r="K33" s="15">
        <f t="shared" si="9"/>
        <v>14240.147788329577</v>
      </c>
      <c r="L33" s="15">
        <f t="shared" si="9"/>
        <v>12683.694300581754</v>
      </c>
      <c r="M33" s="15">
        <f t="shared" si="9"/>
        <v>14776.376958595101</v>
      </c>
      <c r="N33" s="15">
        <f t="shared" si="9"/>
        <v>20064.857865558137</v>
      </c>
      <c r="O33" s="15">
        <f t="shared" si="9"/>
        <v>18694.397165372782</v>
      </c>
      <c r="P33" s="36">
        <f t="shared" si="9"/>
        <v>19166.098582138242</v>
      </c>
      <c r="Q33" s="36">
        <f t="shared" si="9"/>
        <v>20989.476905204603</v>
      </c>
      <c r="R33" s="36">
        <f t="shared" si="9"/>
        <v>19086.674038501442</v>
      </c>
      <c r="S33" s="36">
        <f t="shared" si="9"/>
        <v>19925.550830973309</v>
      </c>
      <c r="T33" s="36">
        <f t="shared" si="9"/>
        <v>18882.202669963975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15">
        <f t="shared" si="3"/>
        <v>4007.1014948383622</v>
      </c>
      <c r="F34" s="15">
        <f t="shared" ref="F34:T34" si="10">(F23*(1+F12))*(F$26)</f>
        <v>5867.4936961837493</v>
      </c>
      <c r="G34" s="15">
        <f t="shared" si="10"/>
        <v>3057.8236421019687</v>
      </c>
      <c r="H34" s="15">
        <f t="shared" si="10"/>
        <v>4154.3092390018619</v>
      </c>
      <c r="I34" s="15">
        <f t="shared" si="10"/>
        <v>5207.6092020585838</v>
      </c>
      <c r="J34" s="15">
        <f t="shared" si="10"/>
        <v>7239.400097850099</v>
      </c>
      <c r="K34" s="15">
        <f t="shared" si="10"/>
        <v>8846.4622266626011</v>
      </c>
      <c r="L34" s="15">
        <f t="shared" si="10"/>
        <v>7606.4806814260592</v>
      </c>
      <c r="M34" s="15">
        <f t="shared" si="10"/>
        <v>10731.849875911143</v>
      </c>
      <c r="N34" s="15">
        <f t="shared" si="10"/>
        <v>14468.663105892942</v>
      </c>
      <c r="O34" s="15">
        <f t="shared" si="10"/>
        <v>13199.840520490166</v>
      </c>
      <c r="P34" s="36">
        <f t="shared" si="10"/>
        <v>12774.232628418918</v>
      </c>
      <c r="Q34" s="36">
        <f t="shared" si="10"/>
        <v>14421.69884250344</v>
      </c>
      <c r="R34" s="36">
        <f t="shared" si="10"/>
        <v>12934.066780406749</v>
      </c>
      <c r="S34" s="36">
        <f t="shared" si="10"/>
        <v>13556.468866049689</v>
      </c>
      <c r="T34" s="36">
        <f t="shared" si="10"/>
        <v>11646.020968189227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47">
        <f t="shared" si="3"/>
        <v>10597.828033642792</v>
      </c>
      <c r="F35" s="47">
        <f t="shared" ref="F35:T35" si="11">(F24*(1+F13))*(F$26)</f>
        <v>15714.576276084212</v>
      </c>
      <c r="G35" s="47">
        <f t="shared" si="11"/>
        <v>13917.503993799448</v>
      </c>
      <c r="H35" s="47">
        <f t="shared" si="11"/>
        <v>15631.269342546067</v>
      </c>
      <c r="I35" s="47">
        <f t="shared" si="11"/>
        <v>20849.630502023341</v>
      </c>
      <c r="J35" s="47">
        <f t="shared" si="11"/>
        <v>25606.259478570588</v>
      </c>
      <c r="K35" s="47">
        <f t="shared" si="11"/>
        <v>25921.30282185334</v>
      </c>
      <c r="L35" s="47">
        <f t="shared" si="11"/>
        <v>21891.940120117859</v>
      </c>
      <c r="M35" s="47">
        <f t="shared" si="11"/>
        <v>22826.931912537737</v>
      </c>
      <c r="N35" s="47">
        <f t="shared" si="11"/>
        <v>27350.817194249041</v>
      </c>
      <c r="O35" s="47">
        <f t="shared" si="11"/>
        <v>25653.309126307082</v>
      </c>
      <c r="P35" s="50">
        <f t="shared" si="11"/>
        <v>27051.000209890128</v>
      </c>
      <c r="Q35" s="50">
        <f t="shared" si="11"/>
        <v>30080.793447287331</v>
      </c>
      <c r="R35" s="50">
        <f t="shared" si="11"/>
        <v>29464.256465302748</v>
      </c>
      <c r="S35" s="50">
        <f t="shared" si="11"/>
        <v>31213.409439272767</v>
      </c>
      <c r="T35" s="50">
        <f t="shared" si="11"/>
        <v>30828.150287360244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0579-D05C-4144-AF05-46BAF84BC674}">
  <dimension ref="B2:U2700"/>
  <sheetViews>
    <sheetView topLeftCell="E1" workbookViewId="0">
      <selection activeCell="G17" sqref="G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1" x14ac:dyDescent="0.3">
      <c r="B2" s="33" t="str">
        <f>B39</f>
        <v>2 Hour Battery</v>
      </c>
    </row>
    <row r="4" spans="2:21" x14ac:dyDescent="0.3">
      <c r="B4" s="1" t="s">
        <v>30</v>
      </c>
    </row>
    <row r="5" spans="2:21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1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-2.707682188700089E-2</v>
      </c>
      <c r="K6" s="14">
        <f>'Spot Prices'!K29</f>
        <v>-7.0356481385946745E-2</v>
      </c>
      <c r="L6" s="14">
        <f>'Spot Prices'!L29</f>
        <v>-6.2112118915123915E-2</v>
      </c>
      <c r="M6" s="14">
        <f>'Spot Prices'!M29</f>
        <v>-6.9063791746274972E-2</v>
      </c>
      <c r="N6" s="14">
        <f>'Spot Prices'!N29</f>
        <v>-8.8118410167702388E-3</v>
      </c>
      <c r="O6" s="14">
        <f>'Spot Prices'!O29</f>
        <v>-6.6249221704253514E-2</v>
      </c>
      <c r="P6" s="14">
        <f>'Spot Prices'!P29</f>
        <v>-6.6249221704253514E-2</v>
      </c>
      <c r="Q6" s="14">
        <f>'Spot Prices'!Q29</f>
        <v>-6.6249221704253514E-2</v>
      </c>
      <c r="R6" s="14">
        <f>'Spot Prices'!R29</f>
        <v>-6.6249221704253514E-2</v>
      </c>
      <c r="S6" s="14">
        <f>'Spot Prices'!S29</f>
        <v>-6.6249221704253514E-2</v>
      </c>
      <c r="T6" s="14">
        <f>'Spot Prices'!T29</f>
        <v>-6.6249221704253514E-2</v>
      </c>
    </row>
    <row r="7" spans="2:21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-6.8254090889995456E-2</v>
      </c>
      <c r="K7" s="14">
        <f>'Spot Prices'!K30</f>
        <v>-0.11180964081406086</v>
      </c>
      <c r="L7" s="14">
        <f>'Spot Prices'!L30</f>
        <v>-0.10939493391806532</v>
      </c>
      <c r="M7" s="14">
        <f>'Spot Prices'!M30</f>
        <v>-0.12947574442401111</v>
      </c>
      <c r="N7" s="14">
        <f>'Spot Prices'!N30</f>
        <v>-7.0637463138707668E-2</v>
      </c>
      <c r="O7" s="14">
        <f>'Spot Prices'!O30</f>
        <v>-0.12232387246950638</v>
      </c>
      <c r="P7" s="14">
        <f>'Spot Prices'!P30</f>
        <v>-0.12232387246950638</v>
      </c>
      <c r="Q7" s="14">
        <f>'Spot Prices'!Q30</f>
        <v>-0.12232387246950649</v>
      </c>
      <c r="R7" s="14">
        <f>'Spot Prices'!R30</f>
        <v>-0.12232387246950649</v>
      </c>
      <c r="S7" s="14">
        <f>'Spot Prices'!S30</f>
        <v>-0.12232387246950638</v>
      </c>
      <c r="T7" s="14">
        <f>'Spot Prices'!T30</f>
        <v>-0.12232387246950638</v>
      </c>
    </row>
    <row r="8" spans="2:21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-9.9563870000832222E-2</v>
      </c>
      <c r="K8" s="46">
        <f>'Spot Prices'!K31</f>
        <v>-0.13412127643991212</v>
      </c>
      <c r="L8" s="46">
        <f>'Spot Prices'!L31</f>
        <v>-0.12657506718378619</v>
      </c>
      <c r="M8" s="46">
        <f>'Spot Prices'!M31</f>
        <v>-0.15085775705829008</v>
      </c>
      <c r="N8" s="46">
        <f>'Spot Prices'!N31</f>
        <v>-8.4978918131081826E-2</v>
      </c>
      <c r="O8" s="46">
        <f>'Spot Prices'!O31</f>
        <v>-0.13750829031540812</v>
      </c>
      <c r="P8" s="46">
        <f>'Spot Prices'!P31</f>
        <v>-0.13750829031540812</v>
      </c>
      <c r="Q8" s="46">
        <f>'Spot Prices'!Q31</f>
        <v>-0.13750829031540812</v>
      </c>
      <c r="R8" s="46">
        <f>'Spot Prices'!R31</f>
        <v>-0.13750829031540812</v>
      </c>
      <c r="S8" s="46">
        <f>'Spot Prices'!S31</f>
        <v>-0.13750829031540823</v>
      </c>
      <c r="T8" s="46">
        <f>'Spot Prices'!T31</f>
        <v>-0.13750829031540812</v>
      </c>
    </row>
    <row r="9" spans="2:21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-0.11057490781087875</v>
      </c>
      <c r="K9" s="41">
        <f>'Spot Prices'!K32</f>
        <v>-0.14146185960568947</v>
      </c>
      <c r="L9" s="41">
        <f>'Spot Prices'!L32</f>
        <v>-0.1354988687452493</v>
      </c>
      <c r="M9" s="41">
        <f>'Spot Prices'!M32</f>
        <v>-0.16540932232235739</v>
      </c>
      <c r="N9" s="41">
        <f>'Spot Prices'!N32</f>
        <v>-9.066506822769782E-2</v>
      </c>
      <c r="O9" s="41">
        <f>'Spot Prices'!O32</f>
        <v>-0.15324534971814097</v>
      </c>
      <c r="P9" s="41">
        <f>'Spot Prices'!P32</f>
        <v>-0.15324534971814097</v>
      </c>
      <c r="Q9" s="41">
        <f>'Spot Prices'!Q32</f>
        <v>-0.15324534971814108</v>
      </c>
      <c r="R9" s="41">
        <f>'Spot Prices'!R32</f>
        <v>-0.15324534971814108</v>
      </c>
      <c r="S9" s="41">
        <f>'Spot Prices'!S32</f>
        <v>-0.15324534971814108</v>
      </c>
      <c r="T9" s="41">
        <f>'Spot Prices'!T32</f>
        <v>-0.15324534971814108</v>
      </c>
    </row>
    <row r="10" spans="2:21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-0.1208891199290455</v>
      </c>
      <c r="K10" s="46">
        <f>'Spot Prices'!K33</f>
        <v>-0.14810155327490959</v>
      </c>
      <c r="L10" s="46">
        <f>'Spot Prices'!L33</f>
        <v>-0.14002567546267997</v>
      </c>
      <c r="M10" s="46">
        <f>'Spot Prices'!M33</f>
        <v>-0.17148745421136313</v>
      </c>
      <c r="N10" s="46">
        <f>'Spot Prices'!N33</f>
        <v>-9.7031792099038339E-2</v>
      </c>
      <c r="O10" s="46">
        <f>'Spot Prices'!O33</f>
        <v>-0.15980456433561374</v>
      </c>
      <c r="P10" s="46">
        <f>'Spot Prices'!P33</f>
        <v>-0.15980456433561363</v>
      </c>
      <c r="Q10" s="46">
        <f>'Spot Prices'!Q33</f>
        <v>-0.15980456433561363</v>
      </c>
      <c r="R10" s="46">
        <f>'Spot Prices'!R33</f>
        <v>-0.15980456433561374</v>
      </c>
      <c r="S10" s="46">
        <f>'Spot Prices'!S33</f>
        <v>-0.15980456433561385</v>
      </c>
      <c r="T10" s="46">
        <f>'Spot Prices'!T33</f>
        <v>-0.15980456433561385</v>
      </c>
    </row>
    <row r="11" spans="2:21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-0.14379602728030905</v>
      </c>
      <c r="K11" s="14">
        <f>'Spot Prices'!K34</f>
        <v>-0.16142872522415197</v>
      </c>
      <c r="L11" s="14">
        <f>'Spot Prices'!L34</f>
        <v>-0.15902890158055494</v>
      </c>
      <c r="M11" s="14">
        <f>'Spot Prices'!M34</f>
        <v>-0.19155923372400463</v>
      </c>
      <c r="N11" s="14">
        <f>'Spot Prices'!N34</f>
        <v>-0.10864118891812402</v>
      </c>
      <c r="O11" s="14">
        <f>'Spot Prices'!O34</f>
        <v>-0.17499030255231729</v>
      </c>
      <c r="P11" s="14">
        <f>'Spot Prices'!P34</f>
        <v>-0.17499030255231729</v>
      </c>
      <c r="Q11" s="14">
        <f>'Spot Prices'!Q34</f>
        <v>-0.1749903025523174</v>
      </c>
      <c r="R11" s="14">
        <f>'Spot Prices'!R34</f>
        <v>-0.1749903025523174</v>
      </c>
      <c r="S11" s="14">
        <f>'Spot Prices'!S34</f>
        <v>-0.1749903025523174</v>
      </c>
      <c r="T11" s="14">
        <f>'Spot Prices'!T34</f>
        <v>-0.1749903025523174</v>
      </c>
    </row>
    <row r="12" spans="2:21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-0.21455151972462549</v>
      </c>
      <c r="K12" s="14">
        <f>'Spot Prices'!K35</f>
        <v>-0.19881048441424565</v>
      </c>
      <c r="L12" s="14">
        <f>'Spot Prices'!L35</f>
        <v>-0.24139031607809225</v>
      </c>
      <c r="M12" s="14">
        <f>'Spot Prices'!M35</f>
        <v>-0.218492972680286</v>
      </c>
      <c r="N12" s="14">
        <f>'Spot Prices'!N35</f>
        <v>-0.15673287279469184</v>
      </c>
      <c r="O12" s="14">
        <f>'Spot Prices'!O35</f>
        <v>-0.22811745261763405</v>
      </c>
      <c r="P12" s="14">
        <f>'Spot Prices'!P35</f>
        <v>-0.22811745261763394</v>
      </c>
      <c r="Q12" s="14">
        <f>'Spot Prices'!Q35</f>
        <v>-0.22811745261763405</v>
      </c>
      <c r="R12" s="14">
        <f>'Spot Prices'!R35</f>
        <v>-0.22811745261763394</v>
      </c>
      <c r="S12" s="14">
        <f>'Spot Prices'!S35</f>
        <v>-0.22811745261763394</v>
      </c>
      <c r="T12" s="14">
        <f>'Spot Prices'!T35</f>
        <v>-0.22811745261763394</v>
      </c>
    </row>
    <row r="13" spans="2:21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-0.10706245261602132</v>
      </c>
      <c r="K13" s="46">
        <f>'Spot Prices'!K36</f>
        <v>-0.13827375441034129</v>
      </c>
      <c r="L13" s="46">
        <f>'Spot Prices'!L36</f>
        <v>-0.13227281817196912</v>
      </c>
      <c r="M13" s="46">
        <f>'Spot Prices'!M36</f>
        <v>-0.15988844075858466</v>
      </c>
      <c r="N13" s="46">
        <f>'Spot Prices'!N36</f>
        <v>-8.9701176384817005E-2</v>
      </c>
      <c r="O13" s="46">
        <f>'Spot Prices'!O36</f>
        <v>-0.14714415762311406</v>
      </c>
      <c r="P13" s="46">
        <f>'Spot Prices'!P36</f>
        <v>-0.14714415762311417</v>
      </c>
      <c r="Q13" s="46">
        <f>'Spot Prices'!Q36</f>
        <v>-0.14714415762311417</v>
      </c>
      <c r="R13" s="46">
        <f>'Spot Prices'!R36</f>
        <v>-0.14714415762311428</v>
      </c>
      <c r="S13" s="46">
        <f>'Spot Prices'!S36</f>
        <v>-0.14714415762311428</v>
      </c>
      <c r="T13" s="46">
        <f>'Spot Prices'!T36</f>
        <v>-0.14714415762311439</v>
      </c>
    </row>
    <row r="15" spans="2:21" x14ac:dyDescent="0.3">
      <c r="B15" s="33" t="s">
        <v>46</v>
      </c>
    </row>
    <row r="16" spans="2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38" t="s">
        <v>47</v>
      </c>
    </row>
    <row r="17" spans="2:21" x14ac:dyDescent="0.3">
      <c r="B17" s="3">
        <v>1</v>
      </c>
      <c r="C17" s="17"/>
      <c r="D17" s="17"/>
      <c r="E17" s="15">
        <f>'2hBatteryMWh'!E17/200</f>
        <v>140.81375</v>
      </c>
      <c r="F17" s="15">
        <f>'2hBatteryMWh'!F17/200</f>
        <v>237.52137500000001</v>
      </c>
      <c r="G17" s="15">
        <f>'2hBatteryMWh'!G17/200</f>
        <v>253.46474999999998</v>
      </c>
      <c r="H17" s="15">
        <f>'2hBatteryMWh'!H17/200</f>
        <v>250.90450000000001</v>
      </c>
      <c r="I17" s="15">
        <f>'2hBatteryMWh'!I17/200</f>
        <v>285.00237499999997</v>
      </c>
      <c r="J17" s="15">
        <f>'2hBatteryMWh'!J17/200</f>
        <v>305.36799999999999</v>
      </c>
      <c r="K17" s="15">
        <f>'2hBatteryMWh'!K17/200</f>
        <v>296.29075</v>
      </c>
      <c r="L17" s="15">
        <f>'2hBatteryMWh'!L17/200</f>
        <v>315.37625000000003</v>
      </c>
      <c r="M17" s="15">
        <f>'2hBatteryMWh'!M17/200</f>
        <v>331.9015</v>
      </c>
      <c r="N17" s="15">
        <f>'2hBatteryMWh'!N17/200</f>
        <v>351.68525</v>
      </c>
      <c r="O17" s="15">
        <f>'2hBatteryMWh'!O17/200</f>
        <v>368.90875</v>
      </c>
      <c r="P17" s="15">
        <f>'2hBatteryMWh'!P17/200</f>
        <v>386.07384678073498</v>
      </c>
      <c r="Q17" s="15">
        <f>'2hBatteryMWh'!Q17/200</f>
        <v>425.42684790802173</v>
      </c>
      <c r="R17" s="15">
        <f>'2hBatteryMWh'!R17/200</f>
        <v>423.35173559473282</v>
      </c>
      <c r="S17" s="15">
        <f>'2hBatteryMWh'!S17/200</f>
        <v>439.17634681190219</v>
      </c>
      <c r="T17" s="15">
        <f>'2hBatteryMWh'!T17/200</f>
        <v>434.12222950060641</v>
      </c>
      <c r="U17" s="37">
        <f>SUM(E17:T17)</f>
        <v>5245.3882565959984</v>
      </c>
    </row>
    <row r="18" spans="2:21" x14ac:dyDescent="0.3">
      <c r="B18" s="3">
        <v>0.95</v>
      </c>
      <c r="C18" s="17"/>
      <c r="D18" s="17"/>
      <c r="E18" s="15">
        <f>'2hBatteryMWh'!E18/200</f>
        <v>94.845624999999998</v>
      </c>
      <c r="F18" s="15">
        <f>'2hBatteryMWh'!F18/200</f>
        <v>185.38537499999998</v>
      </c>
      <c r="G18" s="15">
        <f>'2hBatteryMWh'!G18/200</f>
        <v>198.07025000000002</v>
      </c>
      <c r="H18" s="15">
        <f>'2hBatteryMWh'!H18/200</f>
        <v>191.43687499999999</v>
      </c>
      <c r="I18" s="15">
        <f>'2hBatteryMWh'!I18/200</f>
        <v>235.83393749999999</v>
      </c>
      <c r="J18" s="15">
        <f>'2hBatteryMWh'!J18/200</f>
        <v>255.79224999999994</v>
      </c>
      <c r="K18" s="15">
        <f>'2hBatteryMWh'!K18/200</f>
        <v>254.27937499999999</v>
      </c>
      <c r="L18" s="15">
        <f>'2hBatteryMWh'!L18/200</f>
        <v>272.25931250000008</v>
      </c>
      <c r="M18" s="15">
        <f>'2hBatteryMWh'!M18/200</f>
        <v>288.20268749999997</v>
      </c>
      <c r="N18" s="15">
        <f>'2hBatteryMWh'!N18/200</f>
        <v>318.28562499999998</v>
      </c>
      <c r="O18" s="15">
        <f>'2hBatteryMWh'!O18/200</f>
        <v>320.49675000000002</v>
      </c>
      <c r="P18" s="15">
        <f>'2hBatteryMWh'!P18/200</f>
        <v>344.03124316654817</v>
      </c>
      <c r="Q18" s="15">
        <f>'2hBatteryMWh'!Q18/200</f>
        <v>382.32061399094778</v>
      </c>
      <c r="R18" s="15">
        <f>'2hBatteryMWh'!R18/200</f>
        <v>386.49658917226373</v>
      </c>
      <c r="S18" s="15">
        <f>'2hBatteryMWh'!S18/200</f>
        <v>407.2754810970556</v>
      </c>
      <c r="T18" s="15">
        <f>'2hBatteryMWh'!T18/200</f>
        <v>407.30577683044567</v>
      </c>
      <c r="U18" s="37">
        <f t="shared" ref="U18:U24" si="0">SUM(E18:T18)</f>
        <v>4542.3177667572618</v>
      </c>
    </row>
    <row r="19" spans="2:21" x14ac:dyDescent="0.3">
      <c r="B19" s="5">
        <v>0.75</v>
      </c>
      <c r="C19" s="48"/>
      <c r="D19" s="48"/>
      <c r="E19" s="47">
        <f>'2hBatteryMWh'!E19/200</f>
        <v>75.876499999999993</v>
      </c>
      <c r="F19" s="47">
        <f>'2hBatteryMWh'!F19/200</f>
        <v>139.30087499999999</v>
      </c>
      <c r="G19" s="47">
        <f>'2hBatteryMWh'!G19/200</f>
        <v>150.822</v>
      </c>
      <c r="H19" s="47">
        <f>'2hBatteryMWh'!H19/200</f>
        <v>148.145375</v>
      </c>
      <c r="I19" s="47">
        <f>'2hBatteryMWh'!I19/200</f>
        <v>193.764375</v>
      </c>
      <c r="J19" s="47">
        <f>'2hBatteryMWh'!J19/200</f>
        <v>221.22887500000002</v>
      </c>
      <c r="K19" s="47">
        <f>'2hBatteryMWh'!K19/200</f>
        <v>225.18562499999999</v>
      </c>
      <c r="L19" s="47">
        <f>'2hBatteryMWh'!L19/200</f>
        <v>243.922</v>
      </c>
      <c r="M19" s="47">
        <f>'2hBatteryMWh'!M19/200</f>
        <v>259.74900000000002</v>
      </c>
      <c r="N19" s="47">
        <f>'2hBatteryMWh'!N19/200</f>
        <v>288.02812499999999</v>
      </c>
      <c r="O19" s="47">
        <f>'2hBatteryMWh'!O19/200</f>
        <v>291.86849999999998</v>
      </c>
      <c r="P19" s="47">
        <f>'2hBatteryMWh'!P19/200</f>
        <v>314.38449836158986</v>
      </c>
      <c r="Q19" s="47">
        <f>'2hBatteryMWh'!Q19/200</f>
        <v>357.90942132406963</v>
      </c>
      <c r="R19" s="47">
        <f>'2hBatteryMWh'!R19/200</f>
        <v>360.34772203227402</v>
      </c>
      <c r="S19" s="47">
        <f>'2hBatteryMWh'!S19/200</f>
        <v>389.10718595623518</v>
      </c>
      <c r="T19" s="47">
        <f>'2hBatteryMWh'!T19/200</f>
        <v>387.63543707936924</v>
      </c>
      <c r="U19" s="37">
        <f t="shared" si="0"/>
        <v>4047.2755147535381</v>
      </c>
    </row>
    <row r="20" spans="2:21" x14ac:dyDescent="0.3">
      <c r="B20" s="7">
        <v>0.5</v>
      </c>
      <c r="C20" s="39"/>
      <c r="D20" s="39"/>
      <c r="E20" s="42">
        <f>'2hBatteryMWh'!E20/200</f>
        <v>64.122624999999999</v>
      </c>
      <c r="F20" s="42">
        <f>'2hBatteryMWh'!F20/200</f>
        <v>106.0758125</v>
      </c>
      <c r="G20" s="42">
        <f>'2hBatteryMWh'!G20/200</f>
        <v>119.16799999999999</v>
      </c>
      <c r="H20" s="42">
        <f>'2hBatteryMWh'!H20/200</f>
        <v>119.16799999999999</v>
      </c>
      <c r="I20" s="42">
        <f>'2hBatteryMWh'!I20/200</f>
        <v>145.70150000000001</v>
      </c>
      <c r="J20" s="42">
        <f>'2hBatteryMWh'!J20/200</f>
        <v>180.73037499999998</v>
      </c>
      <c r="K20" s="42">
        <f>'2hBatteryMWh'!K20/200</f>
        <v>194.57900000000001</v>
      </c>
      <c r="L20" s="42">
        <f>'2hBatteryMWh'!L20/200</f>
        <v>217.15575000000001</v>
      </c>
      <c r="M20" s="42">
        <f>'2hBatteryMWh'!M20/200</f>
        <v>235.31025000000002</v>
      </c>
      <c r="N20" s="42">
        <f>'2hBatteryMWh'!N20/200</f>
        <v>259.74900000000002</v>
      </c>
      <c r="O20" s="42">
        <f>'2hBatteryMWh'!O20/200</f>
        <v>266.03325000000001</v>
      </c>
      <c r="P20" s="42">
        <f>'2hBatteryMWh'!P20/200</f>
        <v>288.74825432575579</v>
      </c>
      <c r="Q20" s="42">
        <f>'2hBatteryMWh'!Q20/200</f>
        <v>330.66509485657002</v>
      </c>
      <c r="R20" s="42">
        <f>'2hBatteryMWh'!R20/200</f>
        <v>334.05927995976782</v>
      </c>
      <c r="S20" s="42">
        <f>'2hBatteryMWh'!S20/200</f>
        <v>365.17301513616252</v>
      </c>
      <c r="T20" s="42">
        <f>'2hBatteryMWh'!T20/200</f>
        <v>362.30253627075325</v>
      </c>
      <c r="U20" s="37">
        <f t="shared" si="0"/>
        <v>3588.7417430490095</v>
      </c>
    </row>
    <row r="21" spans="2:21" x14ac:dyDescent="0.3">
      <c r="B21" s="5">
        <v>0.25</v>
      </c>
      <c r="C21" s="48"/>
      <c r="D21" s="48"/>
      <c r="E21" s="47">
        <f>'2hBatteryMWh'!E21/200</f>
        <v>54.928999999999995</v>
      </c>
      <c r="F21" s="47">
        <f>'2hBatteryMWh'!F21/200</f>
        <v>89.957875000000001</v>
      </c>
      <c r="G21" s="47">
        <f>'2hBatteryMWh'!G21/200</f>
        <v>98.336875000000006</v>
      </c>
      <c r="H21" s="47">
        <f>'2hBatteryMWh'!H21/200</f>
        <v>97.52225</v>
      </c>
      <c r="I21" s="47">
        <f>'2hBatteryMWh'!I21/200</f>
        <v>114.163875</v>
      </c>
      <c r="J21" s="47">
        <f>'2hBatteryMWh'!J21/200</f>
        <v>136.50787500000001</v>
      </c>
      <c r="K21" s="47">
        <f>'2hBatteryMWh'!K21/200</f>
        <v>153.03312500000001</v>
      </c>
      <c r="L21" s="47">
        <f>'2hBatteryMWh'!L21/200</f>
        <v>181.42862499999998</v>
      </c>
      <c r="M21" s="47">
        <f>'2hBatteryMWh'!M21/200</f>
        <v>204.8781875</v>
      </c>
      <c r="N21" s="47">
        <f>'2hBatteryMWh'!N21/200</f>
        <v>232.40087500000001</v>
      </c>
      <c r="O21" s="47">
        <f>'2hBatteryMWh'!O21/200</f>
        <v>238.21962500000001</v>
      </c>
      <c r="P21" s="47">
        <f>'2hBatteryMWh'!P21/200</f>
        <v>254.7312337951881</v>
      </c>
      <c r="Q21" s="47">
        <f>'2hBatteryMWh'!Q21/200</f>
        <v>289.7363749818482</v>
      </c>
      <c r="R21" s="47">
        <f>'2hBatteryMWh'!R21/200</f>
        <v>287.84746134315742</v>
      </c>
      <c r="S21" s="47">
        <f>'2hBatteryMWh'!S21/200</f>
        <v>312.21537288617839</v>
      </c>
      <c r="T21" s="47">
        <f>'2hBatteryMWh'!T21/200</f>
        <v>306.38810105590744</v>
      </c>
      <c r="U21" s="37">
        <f t="shared" si="0"/>
        <v>3052.2967315622795</v>
      </c>
    </row>
    <row r="22" spans="2:21" x14ac:dyDescent="0.3">
      <c r="B22" s="3">
        <v>0.05</v>
      </c>
      <c r="C22" s="17"/>
      <c r="D22" s="17"/>
      <c r="E22" s="15">
        <f>'2hBatteryMWh'!E22/200</f>
        <v>44.455249999999999</v>
      </c>
      <c r="F22" s="15">
        <f>'2hBatteryMWh'!F22/200</f>
        <v>74.130874999999989</v>
      </c>
      <c r="G22" s="15">
        <f>'2hBatteryMWh'!G22/200</f>
        <v>78.087625000000003</v>
      </c>
      <c r="H22" s="15">
        <f>'2hBatteryMWh'!H22/200</f>
        <v>76.225624999999994</v>
      </c>
      <c r="I22" s="15">
        <f>'2hBatteryMWh'!I22/200</f>
        <v>87.048500000000004</v>
      </c>
      <c r="J22" s="15">
        <f>'2hBatteryMWh'!J22/200</f>
        <v>99.84975</v>
      </c>
      <c r="K22" s="15">
        <f>'2hBatteryMWh'!K22/200</f>
        <v>106.134</v>
      </c>
      <c r="L22" s="15">
        <f>'2hBatteryMWh'!L22/200</f>
        <v>125.685</v>
      </c>
      <c r="M22" s="15">
        <f>'2hBatteryMWh'!M22/200</f>
        <v>154.89512500000004</v>
      </c>
      <c r="N22" s="15">
        <f>'2hBatteryMWh'!N22/200</f>
        <v>194.05531250000001</v>
      </c>
      <c r="O22" s="15">
        <f>'2hBatteryMWh'!O22/200</f>
        <v>198.76849999999999</v>
      </c>
      <c r="P22" s="15">
        <f>'2hBatteryMWh'!P22/200</f>
        <v>207.42287118208654</v>
      </c>
      <c r="Q22" s="15">
        <f>'2hBatteryMWh'!Q22/200</f>
        <v>231.28628305978339</v>
      </c>
      <c r="R22" s="15">
        <f>'2hBatteryMWh'!R22/200</f>
        <v>214.21380120282151</v>
      </c>
      <c r="S22" s="15">
        <f>'2hBatteryMWh'!S22/200</f>
        <v>227.84810313547146</v>
      </c>
      <c r="T22" s="15">
        <f>'2hBatteryMWh'!T22/200</f>
        <v>215.91744679314706</v>
      </c>
      <c r="U22" s="37">
        <f t="shared" si="0"/>
        <v>2336.0240678733098</v>
      </c>
    </row>
    <row r="23" spans="2:21" x14ac:dyDescent="0.3">
      <c r="B23" s="3">
        <v>0</v>
      </c>
      <c r="C23" s="17"/>
      <c r="D23" s="17"/>
      <c r="E23" s="15">
        <f>'2hBatteryMWh'!E23/200</f>
        <v>24.787875</v>
      </c>
      <c r="F23" s="15">
        <f>'2hBatteryMWh'!F23/200</f>
        <v>45.386249999999997</v>
      </c>
      <c r="G23" s="15">
        <f>'2hBatteryMWh'!G23/200</f>
        <v>48.411999999999999</v>
      </c>
      <c r="H23" s="15">
        <f>'2hBatteryMWh'!H23/200</f>
        <v>46.666374999999995</v>
      </c>
      <c r="I23" s="15">
        <f>'2hBatteryMWh'!I23/200</f>
        <v>52.834250000000004</v>
      </c>
      <c r="J23" s="15">
        <f>'2hBatteryMWh'!J23/200</f>
        <v>57.605625000000003</v>
      </c>
      <c r="K23" s="15">
        <f>'2hBatteryMWh'!K23/200</f>
        <v>69.01037500000001</v>
      </c>
      <c r="L23" s="15">
        <f>'2hBatteryMWh'!L23/200</f>
        <v>83.55725000000001</v>
      </c>
      <c r="M23" s="15">
        <f>'2hBatteryMWh'!M23/200</f>
        <v>116.375</v>
      </c>
      <c r="N23" s="15">
        <f>'2hBatteryMWh'!N23/200</f>
        <v>147.91262500000002</v>
      </c>
      <c r="O23" s="15">
        <f>'2hBatteryMWh'!O23/200</f>
        <v>150.007375</v>
      </c>
      <c r="P23" s="15">
        <f>'2hBatteryMWh'!P23/200</f>
        <v>147.76295804953151</v>
      </c>
      <c r="Q23" s="15">
        <f>'2hBatteryMWh'!Q23/200</f>
        <v>169.85272378327497</v>
      </c>
      <c r="R23" s="15">
        <f>'2hBatteryMWh'!R23/200</f>
        <v>155.15298020727701</v>
      </c>
      <c r="S23" s="15">
        <f>'2hBatteryMWh'!S23/200</f>
        <v>165.68740432227528</v>
      </c>
      <c r="T23" s="15">
        <f>'2hBatteryMWh'!T23/200</f>
        <v>142.33787603307817</v>
      </c>
      <c r="U23" s="37">
        <f t="shared" si="0"/>
        <v>1623.3489423954372</v>
      </c>
    </row>
    <row r="24" spans="2:21" x14ac:dyDescent="0.3">
      <c r="B24" s="9" t="s">
        <v>29</v>
      </c>
      <c r="C24" s="48"/>
      <c r="D24" s="48"/>
      <c r="E24" s="47">
        <f>'2hBatteryMWh'!E24/200</f>
        <v>66.255727027500001</v>
      </c>
      <c r="F24" s="47">
        <f>'2hBatteryMWh'!F24/200</f>
        <v>116.4873665275</v>
      </c>
      <c r="G24" s="47">
        <f>'2hBatteryMWh'!G24/200</f>
        <v>127.01957557</v>
      </c>
      <c r="H24" s="47">
        <f>'2hBatteryMWh'!H24/200</f>
        <v>125.10701709749999</v>
      </c>
      <c r="I24" s="47">
        <f>'2hBatteryMWh'!I24/200</f>
        <v>154.12386908249999</v>
      </c>
      <c r="J24" s="47">
        <f>'2hBatteryMWh'!J24/200</f>
        <v>179.22767634749999</v>
      </c>
      <c r="K24" s="47">
        <f>'2hBatteryMWh'!K24/200</f>
        <v>188.00418748499999</v>
      </c>
      <c r="L24" s="47">
        <f>'2hBatteryMWh'!L24/200</f>
        <v>210.24215692999999</v>
      </c>
      <c r="M24" s="47">
        <f>'2hBatteryMWh'!M24/200</f>
        <v>230.2653420275</v>
      </c>
      <c r="N24" s="47">
        <f>'2hBatteryMWh'!N24/200</f>
        <v>259.01704004250001</v>
      </c>
      <c r="O24" s="47">
        <f>'2hBatteryMWh'!O24/200</f>
        <v>263.85353332</v>
      </c>
      <c r="P24" s="47">
        <f>'2hBatteryMWh'!P24/200</f>
        <v>283.19767021256041</v>
      </c>
      <c r="Q24" s="47">
        <f>'2hBatteryMWh'!Q24/200</f>
        <v>320.64241695240383</v>
      </c>
      <c r="R24" s="47">
        <f>'2hBatteryMWh'!R24/200</f>
        <v>319.88663961450976</v>
      </c>
      <c r="S24" s="47">
        <f>'2hBatteryMWh'!S24/200</f>
        <v>345.27069189667884</v>
      </c>
      <c r="T24" s="47">
        <f>'2hBatteryMWh'!T24/200</f>
        <v>341.00910380585657</v>
      </c>
      <c r="U24" s="37">
        <f t="shared" si="0"/>
        <v>3529.6100139395098</v>
      </c>
    </row>
    <row r="25" spans="2:21" x14ac:dyDescent="0.3">
      <c r="E25" s="3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37"/>
    </row>
    <row r="26" spans="2:21" x14ac:dyDescent="0.3">
      <c r="B26" s="1" t="str">
        <f>"Adjusted "&amp;B15</f>
        <v>Adjusted Cycles</v>
      </c>
      <c r="E26" s="3">
        <v>1</v>
      </c>
    </row>
    <row r="27" spans="2:21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1" x14ac:dyDescent="0.3">
      <c r="B28" s="3">
        <v>1</v>
      </c>
      <c r="C28" s="20">
        <f t="shared" ref="C28:D35" si="1">(C17*(1+C6))*($E$26)</f>
        <v>0</v>
      </c>
      <c r="D28" s="20">
        <f t="shared" si="1"/>
        <v>0</v>
      </c>
      <c r="E28" s="15">
        <f>'2hBatteryMWh'!E28/200</f>
        <v>114.59857078544643</v>
      </c>
      <c r="F28" s="15">
        <f>'2hBatteryMWh'!F28/200</f>
        <v>182.76426104719846</v>
      </c>
      <c r="G28" s="15">
        <f>'2hBatteryMWh'!G28/200</f>
        <v>189.88104664174975</v>
      </c>
      <c r="H28" s="15">
        <f>'2hBatteryMWh'!H28/200</f>
        <v>181.71174444097241</v>
      </c>
      <c r="I28" s="15">
        <f>'2hBatteryMWh'!I28/200</f>
        <v>221.20655196037637</v>
      </c>
      <c r="J28" s="15">
        <f>'2hBatteryMWh'!J28/200</f>
        <v>237.67968404320825</v>
      </c>
      <c r="K28" s="15">
        <f>'2hBatteryMWh'!K28/200</f>
        <v>220.35582029023746</v>
      </c>
      <c r="L28" s="15">
        <f>'2hBatteryMWh'!L28/200</f>
        <v>177.47253771419651</v>
      </c>
      <c r="M28" s="15">
        <f>'2hBatteryMWh'!M28/200</f>
        <v>182.29768311499703</v>
      </c>
      <c r="N28" s="15">
        <f>'2hBatteryMWh'!N28/200</f>
        <v>202.18002818365301</v>
      </c>
      <c r="O28" s="15">
        <f>'2hBatteryMWh'!O28/200</f>
        <v>196.34723448658821</v>
      </c>
      <c r="P28" s="15">
        <f>'2hBatteryMWh'!P28/200</f>
        <v>201.87818275024065</v>
      </c>
      <c r="Q28" s="15">
        <f>'2hBatteryMWh'!Q28/200</f>
        <v>218.48345768811177</v>
      </c>
      <c r="R28" s="15">
        <f>'2hBatteryMWh'!R28/200</f>
        <v>213.46470680639587</v>
      </c>
      <c r="S28" s="15">
        <f>'2hBatteryMWh'!S28/200</f>
        <v>217.34306549168906</v>
      </c>
      <c r="T28" s="15">
        <f>'2hBatteryMWh'!T28/200</f>
        <v>214.8418439259882</v>
      </c>
      <c r="U28" s="37">
        <f>SUM(E28:T28)</f>
        <v>3172.5064193710496</v>
      </c>
    </row>
    <row r="29" spans="2:21" x14ac:dyDescent="0.3">
      <c r="B29" s="3">
        <v>0.95</v>
      </c>
      <c r="C29" s="20">
        <f t="shared" si="1"/>
        <v>0</v>
      </c>
      <c r="D29" s="20">
        <f t="shared" si="1"/>
        <v>0</v>
      </c>
      <c r="E29" s="15">
        <f>'2hBatteryMWh'!E29/200</f>
        <v>75.882114787525325</v>
      </c>
      <c r="F29" s="15">
        <f>'2hBatteryMWh'!F29/200</f>
        <v>129.67040616387132</v>
      </c>
      <c r="G29" s="15">
        <f>'2hBatteryMWh'!G29/200</f>
        <v>123.82593306503917</v>
      </c>
      <c r="H29" s="15">
        <f>'2hBatteryMWh'!H29/200</f>
        <v>128.7085588105966</v>
      </c>
      <c r="I29" s="15">
        <f>'2hBatteryMWh'!I29/200</f>
        <v>166.44575352201352</v>
      </c>
      <c r="J29" s="15">
        <f>'2hBatteryMWh'!J29/200</f>
        <v>190.66670601563482</v>
      </c>
      <c r="K29" s="15">
        <f>'2hBatteryMWh'!K29/200</f>
        <v>180.67879153186087</v>
      </c>
      <c r="L29" s="15">
        <f>'2hBatteryMWh'!L29/200</f>
        <v>145.48531380029081</v>
      </c>
      <c r="M29" s="15">
        <f>'2hBatteryMWh'!M29/200</f>
        <v>148.02358369465273</v>
      </c>
      <c r="N29" s="15">
        <f>'2hBatteryMWh'!N29/200</f>
        <v>171.56558681995955</v>
      </c>
      <c r="O29" s="15">
        <f>'2hBatteryMWh'!O29/200</f>
        <v>160.33663746288198</v>
      </c>
      <c r="P29" s="15">
        <f>'2hBatteryMWh'!P29/200</f>
        <v>169.09088518107382</v>
      </c>
      <c r="Q29" s="15">
        <f>'2hBatteryMWh'!Q29/200</f>
        <v>184.55452177946054</v>
      </c>
      <c r="R29" s="15">
        <f>'2hBatteryMWh'!R29/200</f>
        <v>183.17816803176646</v>
      </c>
      <c r="S29" s="15">
        <f>'2hBatteryMWh'!S29/200</f>
        <v>189.4516625563127</v>
      </c>
      <c r="T29" s="15">
        <f>'2hBatteryMWh'!T29/200</f>
        <v>189.4657551725528</v>
      </c>
      <c r="U29" s="37">
        <f t="shared" ref="U29:U35" si="2">SUM(E29:T29)</f>
        <v>2537.0303783954928</v>
      </c>
    </row>
    <row r="30" spans="2:21" x14ac:dyDescent="0.3">
      <c r="B30" s="5">
        <v>0.75</v>
      </c>
      <c r="C30" s="51">
        <f t="shared" si="1"/>
        <v>0</v>
      </c>
      <c r="D30" s="51">
        <f t="shared" si="1"/>
        <v>0</v>
      </c>
      <c r="E30" s="47">
        <f>'2hBatteryMWh'!E30/200</f>
        <v>60.692582825833341</v>
      </c>
      <c r="F30" s="47">
        <f>'2hBatteryMWh'!F30/200</f>
        <v>95.152297216438001</v>
      </c>
      <c r="G30" s="47">
        <f>'2hBatteryMWh'!G30/200</f>
        <v>86.99374880817264</v>
      </c>
      <c r="H30" s="47">
        <f>'2hBatteryMWh'!H30/200</f>
        <v>94.821712237914483</v>
      </c>
      <c r="I30" s="47">
        <f>'2hBatteryMWh'!I30/200</f>
        <v>132.81124172457521</v>
      </c>
      <c r="J30" s="47">
        <f>'2hBatteryMWh'!J30/200</f>
        <v>159.36197763925574</v>
      </c>
      <c r="K30" s="47">
        <f>'2hBatteryMWh'!K30/200</f>
        <v>155.98675323126452</v>
      </c>
      <c r="L30" s="47">
        <f>'2hBatteryMWh'!L30/200</f>
        <v>127.82853387743789</v>
      </c>
      <c r="M30" s="47">
        <f>'2hBatteryMWh'!M30/200</f>
        <v>130.13267059250106</v>
      </c>
      <c r="N30" s="47">
        <f>'2hBatteryMWh'!N30/200</f>
        <v>152.86004779678208</v>
      </c>
      <c r="O30" s="47">
        <f>'2hBatteryMWh'!O30/200</f>
        <v>143.48847209380403</v>
      </c>
      <c r="P30" s="47">
        <f>'2hBatteryMWh'!P30/200</f>
        <v>151.84625315452342</v>
      </c>
      <c r="Q30" s="47">
        <f>'2hBatteryMWh'!Q30/200</f>
        <v>169.78164979051087</v>
      </c>
      <c r="R30" s="47">
        <f>'2hBatteryMWh'!R30/200</f>
        <v>167.83033834254459</v>
      </c>
      <c r="S30" s="47">
        <f>'2hBatteryMWh'!S30/200</f>
        <v>177.86891269495538</v>
      </c>
      <c r="T30" s="47">
        <f>'2hBatteryMWh'!T30/200</f>
        <v>177.19614595628715</v>
      </c>
      <c r="U30" s="37">
        <f t="shared" si="2"/>
        <v>2184.6533379828002</v>
      </c>
    </row>
    <row r="31" spans="2:21" x14ac:dyDescent="0.3">
      <c r="B31" s="7">
        <v>0.5</v>
      </c>
      <c r="C31" s="43">
        <f t="shared" si="1"/>
        <v>0</v>
      </c>
      <c r="D31" s="43">
        <f t="shared" si="1"/>
        <v>0</v>
      </c>
      <c r="E31" s="42">
        <f>'2hBatteryMWh'!E31/200</f>
        <v>51.249734759016384</v>
      </c>
      <c r="F31" s="42">
        <f>'2hBatteryMWh'!F31/200</f>
        <v>71.44137399085777</v>
      </c>
      <c r="G31" s="42">
        <f>'2hBatteryMWh'!G31/200</f>
        <v>64.968665047383439</v>
      </c>
      <c r="H31" s="42">
        <f>'2hBatteryMWh'!H31/200</f>
        <v>73.88017625493039</v>
      </c>
      <c r="I31" s="42">
        <f>'2hBatteryMWh'!I31/200</f>
        <v>98.505881619923244</v>
      </c>
      <c r="J31" s="42">
        <f>'2hBatteryMWh'!J31/200</f>
        <v>128.59690435659957</v>
      </c>
      <c r="K31" s="42">
        <f>'2hBatteryMWh'!K31/200</f>
        <v>133.64279425582765</v>
      </c>
      <c r="L31" s="42">
        <f>'2hBatteryMWh'!L31/200</f>
        <v>112.63883492008431</v>
      </c>
      <c r="M31" s="42">
        <f>'2hBatteryMWh'!M31/200</f>
        <v>115.86876719707736</v>
      </c>
      <c r="N31" s="42">
        <f>'2hBatteryMWh'!N31/200</f>
        <v>136.99532673189574</v>
      </c>
      <c r="O31" s="42">
        <f>'2hBatteryMWh'!O31/200</f>
        <v>128.40098819324493</v>
      </c>
      <c r="P31" s="42">
        <f>'2hBatteryMWh'!P31/200</f>
        <v>136.91939918221746</v>
      </c>
      <c r="Q31" s="42">
        <f>'2hBatteryMWh'!Q31/200</f>
        <v>153.99571371563093</v>
      </c>
      <c r="R31" s="42">
        <f>'2hBatteryMWh'!R31/200</f>
        <v>152.74777433890108</v>
      </c>
      <c r="S31" s="42">
        <f>'2hBatteryMWh'!S31/200</f>
        <v>163.88233282371638</v>
      </c>
      <c r="T31" s="42">
        <f>'2hBatteryMWh'!T31/200</f>
        <v>162.59411941997124</v>
      </c>
      <c r="U31" s="37">
        <f t="shared" si="2"/>
        <v>1886.3287868072778</v>
      </c>
    </row>
    <row r="32" spans="2:21" x14ac:dyDescent="0.3">
      <c r="B32" s="5">
        <v>0.25</v>
      </c>
      <c r="C32" s="51">
        <f t="shared" si="1"/>
        <v>0</v>
      </c>
      <c r="D32" s="51">
        <f t="shared" si="1"/>
        <v>0</v>
      </c>
      <c r="E32" s="47">
        <f>'2hBatteryMWh'!E32/200</f>
        <v>43.904181268025631</v>
      </c>
      <c r="F32" s="47">
        <f>'2hBatteryMWh'!F32/200</f>
        <v>59.675595879894388</v>
      </c>
      <c r="G32" s="47">
        <f>'2hBatteryMWh'!G32/200</f>
        <v>50.022943612909366</v>
      </c>
      <c r="H32" s="47">
        <f>'2hBatteryMWh'!H32/200</f>
        <v>58.776065019844019</v>
      </c>
      <c r="I32" s="47">
        <f>'2hBatteryMWh'!I32/200</f>
        <v>75.544034780990444</v>
      </c>
      <c r="J32" s="47">
        <f>'2hBatteryMWh'!J32/200</f>
        <v>96.00444650229268</v>
      </c>
      <c r="K32" s="47">
        <f>'2hBatteryMWh'!K32/200</f>
        <v>104.29494518798928</v>
      </c>
      <c r="L32" s="47">
        <f>'2hBatteryMWh'!L32/200</f>
        <v>93.614375541665837</v>
      </c>
      <c r="M32" s="47">
        <f>'2hBatteryMWh'!M32/200</f>
        <v>100.14904773429015</v>
      </c>
      <c r="N32" s="47">
        <f>'2hBatteryMWh'!N32/200</f>
        <v>121.71334893575195</v>
      </c>
      <c r="O32" s="47">
        <f>'2hBatteryMWh'!O32/200</f>
        <v>114.08609371808859</v>
      </c>
      <c r="P32" s="47">
        <f>'2hBatteryMWh'!P32/200</f>
        <v>119.85345117528983</v>
      </c>
      <c r="Q32" s="47">
        <f>'2hBatteryMWh'!Q32/200</f>
        <v>133.88934889313165</v>
      </c>
      <c r="R32" s="47">
        <f>'2hBatteryMWh'!R32/200</f>
        <v>130.59798652157494</v>
      </c>
      <c r="S32" s="47">
        <f>'2hBatteryMWh'!S32/200</f>
        <v>139.03062355890731</v>
      </c>
      <c r="T32" s="47">
        <f>'2hBatteryMWh'!T32/200</f>
        <v>136.43571854599759</v>
      </c>
      <c r="U32" s="37">
        <f t="shared" si="2"/>
        <v>1577.5922068766438</v>
      </c>
    </row>
    <row r="33" spans="2:21" x14ac:dyDescent="0.3">
      <c r="B33" s="3">
        <v>0.05</v>
      </c>
      <c r="C33" s="20">
        <f t="shared" si="1"/>
        <v>0</v>
      </c>
      <c r="D33" s="20">
        <f t="shared" si="1"/>
        <v>0</v>
      </c>
      <c r="E33" s="15">
        <f>'2hBatteryMWh'!E33/200</f>
        <v>35.502908301010002</v>
      </c>
      <c r="F33" s="15">
        <f>'2hBatteryMWh'!F33/200</f>
        <v>47.755633456974834</v>
      </c>
      <c r="G33" s="15">
        <f>'2hBatteryMWh'!G33/200</f>
        <v>35.24149158883224</v>
      </c>
      <c r="H33" s="15">
        <f>'2hBatteryMWh'!H33/200</f>
        <v>43.834320090157405</v>
      </c>
      <c r="I33" s="15">
        <f>'2hBatteryMWh'!I33/200</f>
        <v>55.532143333604701</v>
      </c>
      <c r="J33" s="15">
        <f>'2hBatteryMWh'!J33/200</f>
        <v>68.393402100054374</v>
      </c>
      <c r="K33" s="15">
        <f>'2hBatteryMWh'!K33/200</f>
        <v>71.200738941647884</v>
      </c>
      <c r="L33" s="15">
        <f>'2hBatteryMWh'!L33/200</f>
        <v>63.418471502908773</v>
      </c>
      <c r="M33" s="15">
        <f>'2hBatteryMWh'!M33/200</f>
        <v>73.881884792975512</v>
      </c>
      <c r="N33" s="15">
        <f>'2hBatteryMWh'!N33/200</f>
        <v>100.32428932779068</v>
      </c>
      <c r="O33" s="15">
        <f>'2hBatteryMWh'!O33/200</f>
        <v>93.471985826863914</v>
      </c>
      <c r="P33" s="15">
        <f>'2hBatteryMWh'!P33/200</f>
        <v>95.830492910691206</v>
      </c>
      <c r="Q33" s="15">
        <f>'2hBatteryMWh'!Q33/200</f>
        <v>104.94738452602301</v>
      </c>
      <c r="R33" s="15">
        <f>'2hBatteryMWh'!R33/200</f>
        <v>95.433370192507212</v>
      </c>
      <c r="S33" s="15">
        <f>'2hBatteryMWh'!S33/200</f>
        <v>99.627754154866537</v>
      </c>
      <c r="T33" s="15">
        <f>'2hBatteryMWh'!T33/200</f>
        <v>94.411013349819882</v>
      </c>
      <c r="U33" s="37">
        <f t="shared" si="2"/>
        <v>1178.8072843967284</v>
      </c>
    </row>
    <row r="34" spans="2:21" x14ac:dyDescent="0.3">
      <c r="B34" s="3">
        <v>0</v>
      </c>
      <c r="C34" s="20">
        <f t="shared" si="1"/>
        <v>0</v>
      </c>
      <c r="D34" s="20">
        <f t="shared" si="1"/>
        <v>0</v>
      </c>
      <c r="E34" s="15">
        <f>'2hBatteryMWh'!E34/200</f>
        <v>20.03550747419181</v>
      </c>
      <c r="F34" s="15">
        <f>'2hBatteryMWh'!F34/200</f>
        <v>29.337468480918748</v>
      </c>
      <c r="G34" s="15">
        <f>'2hBatteryMWh'!G34/200</f>
        <v>15.289118210509844</v>
      </c>
      <c r="H34" s="15">
        <f>'2hBatteryMWh'!H34/200</f>
        <v>20.771546195009311</v>
      </c>
      <c r="I34" s="15">
        <f>'2hBatteryMWh'!I34/200</f>
        <v>26.03804601029292</v>
      </c>
      <c r="J34" s="15">
        <f>'2hBatteryMWh'!J34/200</f>
        <v>36.197000489250492</v>
      </c>
      <c r="K34" s="15">
        <f>'2hBatteryMWh'!K34/200</f>
        <v>44.232311133313004</v>
      </c>
      <c r="L34" s="15">
        <f>'2hBatteryMWh'!L34/200</f>
        <v>38.032403407130296</v>
      </c>
      <c r="M34" s="15">
        <f>'2hBatteryMWh'!M34/200</f>
        <v>53.65924937955571</v>
      </c>
      <c r="N34" s="15">
        <f>'2hBatteryMWh'!N34/200</f>
        <v>72.343315529464704</v>
      </c>
      <c r="O34" s="15">
        <f>'2hBatteryMWh'!O34/200</f>
        <v>65.999202602450836</v>
      </c>
      <c r="P34" s="15">
        <f>'2hBatteryMWh'!P34/200</f>
        <v>63.871163142094595</v>
      </c>
      <c r="Q34" s="15">
        <f>'2hBatteryMWh'!Q34/200</f>
        <v>72.108494212517201</v>
      </c>
      <c r="R34" s="15">
        <f>'2hBatteryMWh'!R34/200</f>
        <v>64.670333902033747</v>
      </c>
      <c r="S34" s="15">
        <f>'2hBatteryMWh'!S34/200</f>
        <v>67.782344330248449</v>
      </c>
      <c r="T34" s="15">
        <f>'2hBatteryMWh'!T34/200</f>
        <v>58.230104840946133</v>
      </c>
      <c r="U34" s="37">
        <f t="shared" si="2"/>
        <v>748.59760933992777</v>
      </c>
    </row>
    <row r="35" spans="2:21" x14ac:dyDescent="0.3">
      <c r="B35" s="9" t="s">
        <v>29</v>
      </c>
      <c r="C35" s="51">
        <f t="shared" si="1"/>
        <v>0</v>
      </c>
      <c r="D35" s="51">
        <f t="shared" si="1"/>
        <v>0</v>
      </c>
      <c r="E35" s="47">
        <f>'2hBatteryMWh'!E35/200</f>
        <v>52.989140168213964</v>
      </c>
      <c r="F35" s="47">
        <f>'2hBatteryMWh'!F35/200</f>
        <v>78.572881380421052</v>
      </c>
      <c r="G35" s="47">
        <f>'2hBatteryMWh'!G35/200</f>
        <v>69.587519968997242</v>
      </c>
      <c r="H35" s="47">
        <f>'2hBatteryMWh'!H35/200</f>
        <v>78.15634671273034</v>
      </c>
      <c r="I35" s="47">
        <f>'2hBatteryMWh'!I35/200</f>
        <v>104.24815251011671</v>
      </c>
      <c r="J35" s="47">
        <f>'2hBatteryMWh'!J35/200</f>
        <v>128.03129739285293</v>
      </c>
      <c r="K35" s="47">
        <f>'2hBatteryMWh'!K35/200</f>
        <v>129.6065141092667</v>
      </c>
      <c r="L35" s="47">
        <f>'2hBatteryMWh'!L35/200</f>
        <v>109.4597006005893</v>
      </c>
      <c r="M35" s="47">
        <f>'2hBatteryMWh'!M35/200</f>
        <v>114.13465956268868</v>
      </c>
      <c r="N35" s="47">
        <f>'2hBatteryMWh'!N35/200</f>
        <v>136.75408597124522</v>
      </c>
      <c r="O35" s="47">
        <f>'2hBatteryMWh'!O35/200</f>
        <v>128.26654563153542</v>
      </c>
      <c r="P35" s="47">
        <f>'2hBatteryMWh'!P35/200</f>
        <v>135.25500104945064</v>
      </c>
      <c r="Q35" s="47">
        <f>'2hBatteryMWh'!Q35/200</f>
        <v>150.40396723643664</v>
      </c>
      <c r="R35" s="47">
        <f>'2hBatteryMWh'!R35/200</f>
        <v>147.32128232651374</v>
      </c>
      <c r="S35" s="47">
        <f>'2hBatteryMWh'!S35/200</f>
        <v>156.06704719636383</v>
      </c>
      <c r="T35" s="47">
        <f>'2hBatteryMWh'!T35/200</f>
        <v>154.14075143680122</v>
      </c>
      <c r="U35" s="37">
        <f t="shared" si="2"/>
        <v>1872.9948932542234</v>
      </c>
    </row>
    <row r="38" spans="2:21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1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1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1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1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1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1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1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1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1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1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D7F-E0C4-4C14-BEB5-FB79B5F99128}">
  <sheetPr>
    <tabColor theme="4"/>
  </sheetPr>
  <dimension ref="B2:S264"/>
  <sheetViews>
    <sheetView topLeftCell="A232" workbookViewId="0">
      <selection activeCell="B262" sqref="B262"/>
    </sheetView>
  </sheetViews>
  <sheetFormatPr defaultRowHeight="15.05" x14ac:dyDescent="0.3"/>
  <cols>
    <col min="2" max="2" width="21.88671875" bestFit="1" customWidth="1"/>
    <col min="3" max="3" width="17.77734375" bestFit="1" customWidth="1"/>
    <col min="4" max="4" width="9.6640625" bestFit="1" customWidth="1"/>
    <col min="5" max="5" width="11.109375" customWidth="1"/>
    <col min="6" max="6" width="15.88671875" bestFit="1" customWidth="1"/>
    <col min="7" max="7" width="13.88671875" customWidth="1"/>
    <col min="8" max="8" width="13.109375" customWidth="1"/>
    <col min="9" max="9" width="29.77734375" bestFit="1" customWidth="1"/>
    <col min="10" max="10" width="5" customWidth="1"/>
    <col min="15" max="15" width="9.6640625" bestFit="1" customWidth="1"/>
  </cols>
  <sheetData>
    <row r="2" spans="2:19" x14ac:dyDescent="0.3">
      <c r="B2" t="str">
        <f>'Spot Prices'!B3</f>
        <v>MarinusPortland</v>
      </c>
    </row>
    <row r="4" spans="2:19" x14ac:dyDescent="0.3">
      <c r="B4" s="54" t="s">
        <v>58</v>
      </c>
      <c r="C4" s="55" t="s">
        <v>59</v>
      </c>
      <c r="D4" s="55" t="s">
        <v>0</v>
      </c>
      <c r="E4" s="55" t="s">
        <v>20</v>
      </c>
      <c r="F4" s="55" t="s">
        <v>60</v>
      </c>
      <c r="G4" s="55" t="s">
        <v>61</v>
      </c>
      <c r="H4" s="55" t="s">
        <v>62</v>
      </c>
      <c r="I4" s="55" t="s">
        <v>63</v>
      </c>
      <c r="K4" s="58" t="s">
        <v>66</v>
      </c>
      <c r="L4" s="58" t="s">
        <v>65</v>
      </c>
      <c r="O4" s="59" t="s">
        <v>0</v>
      </c>
      <c r="P4" s="58" t="s">
        <v>66</v>
      </c>
      <c r="R4" s="58" t="s">
        <v>33</v>
      </c>
      <c r="S4" s="58" t="s">
        <v>65</v>
      </c>
    </row>
    <row r="5" spans="2:19" x14ac:dyDescent="0.3">
      <c r="B5" t="str">
        <f>$B$2</f>
        <v>MarinusPortland</v>
      </c>
      <c r="C5" t="s">
        <v>64</v>
      </c>
      <c r="D5" s="56">
        <v>1</v>
      </c>
      <c r="E5" t="s">
        <v>3</v>
      </c>
      <c r="F5" t="s">
        <v>34</v>
      </c>
      <c r="G5" s="73" cm="1">
        <f t="array" ref="G5">INDEX(PPAcfd!$E$28:$T$35,Summary!K5,Summary!L5)</f>
        <v>42921549.349923119</v>
      </c>
      <c r="H5" s="73" cm="1">
        <f t="array" ref="H5">INDEX(SwapSold!$E$28:$T$35,Summary!K5,Summary!L5)</f>
        <v>7378144.2146676332</v>
      </c>
      <c r="I5" s="20" cm="1">
        <f t="array" ref="I5">INDEX(DualFuelCM!$E$28:$T$35,Summary!K5,Summary!L5)</f>
        <v>11902262.444492944</v>
      </c>
      <c r="J5" s="20"/>
      <c r="K5">
        <f>VLOOKUP(D5,$O$5:$P$12,2,FALSE)</f>
        <v>1</v>
      </c>
      <c r="L5">
        <f t="shared" ref="L5:L36" si="0">VLOOKUP(E5,$R$5:$S$20,2,FALSE)</f>
        <v>1</v>
      </c>
      <c r="O5" s="56">
        <v>1</v>
      </c>
      <c r="P5">
        <v>1</v>
      </c>
      <c r="R5" t="s">
        <v>3</v>
      </c>
      <c r="S5">
        <v>1</v>
      </c>
    </row>
    <row r="6" spans="2:19" x14ac:dyDescent="0.3">
      <c r="B6" t="str">
        <f t="shared" ref="B6:B253" si="1">$B$2</f>
        <v>MarinusPortland</v>
      </c>
      <c r="C6" t="s">
        <v>64</v>
      </c>
      <c r="D6" s="57">
        <v>0.95</v>
      </c>
      <c r="E6" t="str">
        <f>E5</f>
        <v>Cal-22</v>
      </c>
      <c r="F6" t="s">
        <v>34</v>
      </c>
      <c r="G6" s="73" cm="1">
        <f t="array" ref="G6">INDEX(PPAcfd!$E$28:$T$35,Summary!K6,Summary!L6)</f>
        <v>30217301.135695796</v>
      </c>
      <c r="H6" s="73" cm="1">
        <f t="array" ref="H6">INDEX(SwapSold!$E$28:$T$35,Summary!K6,Summary!L6)</f>
        <v>3305517.361466316</v>
      </c>
      <c r="I6" s="20" cm="1">
        <f t="array" ref="I6">INDEX(DualFuelCM!$E$28:$T$35,Summary!K6,Summary!L6)</f>
        <v>7874159.7120792056</v>
      </c>
      <c r="J6" s="20"/>
      <c r="K6">
        <f t="shared" ref="K6:K12" si="2">VLOOKUP(D6,$O$5:$P$12,2,FALSE)</f>
        <v>2</v>
      </c>
      <c r="L6">
        <f t="shared" si="0"/>
        <v>1</v>
      </c>
      <c r="O6" s="57">
        <v>0.95</v>
      </c>
      <c r="P6">
        <v>2</v>
      </c>
      <c r="R6" t="s">
        <v>4</v>
      </c>
      <c r="S6">
        <v>2</v>
      </c>
    </row>
    <row r="7" spans="2:19" x14ac:dyDescent="0.3">
      <c r="B7" t="str">
        <f t="shared" si="1"/>
        <v>MarinusPortland</v>
      </c>
      <c r="C7" t="s">
        <v>64</v>
      </c>
      <c r="D7" s="57">
        <v>0.75</v>
      </c>
      <c r="E7" t="str">
        <f t="shared" ref="E7:E12" si="3">E6</f>
        <v>Cal-22</v>
      </c>
      <c r="F7" t="s">
        <v>34</v>
      </c>
      <c r="G7" s="73" cm="1">
        <f t="array" ref="G7">INDEX(PPAcfd!$E$28:$T$35,Summary!K7,Summary!L7)</f>
        <v>23619270.426674854</v>
      </c>
      <c r="H7" s="73" cm="1">
        <f t="array" ref="H7">INDEX(SwapSold!$E$28:$T$35,Summary!K7,Summary!L7)</f>
        <v>1411985.7959917195</v>
      </c>
      <c r="I7" s="20" cm="1">
        <f t="array" ref="I7">INDEX(DualFuelCM!$E$28:$T$35,Summary!K7,Summary!L7)</f>
        <v>6189283.1413722942</v>
      </c>
      <c r="J7" s="20"/>
      <c r="K7">
        <f t="shared" si="2"/>
        <v>3</v>
      </c>
      <c r="L7">
        <f t="shared" si="0"/>
        <v>1</v>
      </c>
      <c r="O7" s="57">
        <v>0.75</v>
      </c>
      <c r="P7">
        <v>3</v>
      </c>
      <c r="R7" t="s">
        <v>5</v>
      </c>
      <c r="S7">
        <v>3</v>
      </c>
    </row>
    <row r="8" spans="2:19" x14ac:dyDescent="0.3">
      <c r="B8" t="str">
        <f t="shared" si="1"/>
        <v>MarinusPortland</v>
      </c>
      <c r="C8" t="s">
        <v>64</v>
      </c>
      <c r="D8" s="57">
        <v>0.5</v>
      </c>
      <c r="E8" t="str">
        <f t="shared" si="3"/>
        <v>Cal-22</v>
      </c>
      <c r="F8" t="s">
        <v>34</v>
      </c>
      <c r="G8" s="73" cm="1">
        <f t="array" ref="G8">INDEX(PPAcfd!$E$28:$T$35,Summary!K8,Summary!L8)</f>
        <v>17933129.052012369</v>
      </c>
      <c r="H8" s="73" cm="1">
        <f t="array" ref="H8">INDEX(SwapSold!$E$28:$T$35,Summary!K8,Summary!L8)</f>
        <v>92.540903407009267</v>
      </c>
      <c r="I8" s="20" cm="1">
        <f t="array" ref="I8">INDEX(DualFuelCM!$E$28:$T$35,Summary!K8,Summary!L8)</f>
        <v>5173012.2209259439</v>
      </c>
      <c r="J8" s="20"/>
      <c r="K8">
        <f t="shared" si="2"/>
        <v>4</v>
      </c>
      <c r="L8">
        <f t="shared" si="0"/>
        <v>1</v>
      </c>
      <c r="O8" s="57">
        <v>0.5</v>
      </c>
      <c r="P8">
        <v>4</v>
      </c>
      <c r="R8" t="s">
        <v>6</v>
      </c>
      <c r="S8">
        <v>4</v>
      </c>
    </row>
    <row r="9" spans="2:19" x14ac:dyDescent="0.3">
      <c r="B9" t="str">
        <f t="shared" si="1"/>
        <v>MarinusPortland</v>
      </c>
      <c r="C9" t="s">
        <v>64</v>
      </c>
      <c r="D9" s="57">
        <v>0.25</v>
      </c>
      <c r="E9" t="str">
        <f t="shared" si="3"/>
        <v>Cal-22</v>
      </c>
      <c r="F9" t="s">
        <v>34</v>
      </c>
      <c r="G9" s="73" cm="1">
        <f t="array" ref="G9">INDEX(PPAcfd!$E$28:$T$35,Summary!K9,Summary!L9)</f>
        <v>13976925.106400451</v>
      </c>
      <c r="H9" s="73" cm="1">
        <f t="array" ref="H9">INDEX(SwapSold!$E$28:$T$35,Summary!K9,Summary!L9)</f>
        <v>-1590820.0822472016</v>
      </c>
      <c r="I9" s="20" cm="1">
        <f t="array" ref="I9">INDEX(DualFuelCM!$E$28:$T$35,Summary!K9,Summary!L9)</f>
        <v>4400044.0634945026</v>
      </c>
      <c r="J9" s="20"/>
      <c r="K9">
        <f t="shared" si="2"/>
        <v>5</v>
      </c>
      <c r="L9">
        <f t="shared" si="0"/>
        <v>1</v>
      </c>
      <c r="O9" s="57">
        <v>0.25</v>
      </c>
      <c r="P9">
        <v>5</v>
      </c>
      <c r="R9" t="s">
        <v>7</v>
      </c>
      <c r="S9">
        <v>5</v>
      </c>
    </row>
    <row r="10" spans="2:19" x14ac:dyDescent="0.3">
      <c r="B10" t="str">
        <f t="shared" si="1"/>
        <v>MarinusPortland</v>
      </c>
      <c r="C10" t="s">
        <v>64</v>
      </c>
      <c r="D10" s="57">
        <v>0.05</v>
      </c>
      <c r="E10" t="str">
        <f t="shared" si="3"/>
        <v>Cal-22</v>
      </c>
      <c r="F10" t="s">
        <v>34</v>
      </c>
      <c r="G10" s="73" cm="1">
        <f t="array" ref="G10">INDEX(PPAcfd!$E$28:$T$35,Summary!K10,Summary!L10)</f>
        <v>10329686.279967198</v>
      </c>
      <c r="H10" s="73" cm="1">
        <f t="array" ref="H10">INDEX(SwapSold!$E$28:$T$35,Summary!K10,Summary!L10)</f>
        <v>-3924983.1195126427</v>
      </c>
      <c r="I10" s="20" cm="1">
        <f t="array" ref="I10">INDEX(DualFuelCM!$E$28:$T$35,Summary!K10,Summary!L10)</f>
        <v>3452157.2799194478</v>
      </c>
      <c r="J10" s="20"/>
      <c r="K10">
        <f t="shared" si="2"/>
        <v>6</v>
      </c>
      <c r="L10">
        <f t="shared" si="0"/>
        <v>1</v>
      </c>
      <c r="O10" s="57">
        <v>0.05</v>
      </c>
      <c r="P10">
        <v>6</v>
      </c>
      <c r="R10" t="s">
        <v>8</v>
      </c>
      <c r="S10">
        <v>6</v>
      </c>
    </row>
    <row r="11" spans="2:19" x14ac:dyDescent="0.3">
      <c r="B11" t="str">
        <f t="shared" si="1"/>
        <v>MarinusPortland</v>
      </c>
      <c r="C11" t="s">
        <v>64</v>
      </c>
      <c r="D11" s="57">
        <v>0</v>
      </c>
      <c r="E11" t="str">
        <f t="shared" si="3"/>
        <v>Cal-22</v>
      </c>
      <c r="F11" t="s">
        <v>34</v>
      </c>
      <c r="G11" s="73" cm="1">
        <f t="array" ref="G11">INDEX(PPAcfd!$E$28:$T$35,Summary!K11,Summary!L11)</f>
        <v>3733222.8768259604</v>
      </c>
      <c r="H11" s="73" cm="1">
        <f t="array" ref="H11">INDEX(SwapSold!$E$28:$T$35,Summary!K11,Summary!L11)</f>
        <v>-9214907.5181044675</v>
      </c>
      <c r="I11" s="20" cm="1">
        <f t="array" ref="I11">INDEX(DualFuelCM!$E$28:$T$35,Summary!K11,Summary!L11)</f>
        <v>1855093.030273994</v>
      </c>
      <c r="J11" s="20"/>
      <c r="K11">
        <f t="shared" si="2"/>
        <v>7</v>
      </c>
      <c r="L11">
        <f t="shared" si="0"/>
        <v>1</v>
      </c>
      <c r="O11" s="57">
        <v>0</v>
      </c>
      <c r="P11">
        <v>7</v>
      </c>
      <c r="R11" t="s">
        <v>9</v>
      </c>
      <c r="S11">
        <v>7</v>
      </c>
    </row>
    <row r="12" spans="2:19" x14ac:dyDescent="0.3">
      <c r="B12" t="str">
        <f t="shared" si="1"/>
        <v>MarinusPortland</v>
      </c>
      <c r="C12" t="s">
        <v>64</v>
      </c>
      <c r="D12" s="57" t="s">
        <v>24</v>
      </c>
      <c r="E12" t="str">
        <f t="shared" si="3"/>
        <v>Cal-22</v>
      </c>
      <c r="F12" t="s">
        <v>34</v>
      </c>
      <c r="G12" s="73" cm="1">
        <f t="array" ref="G12">INDEX(PPAcfd!$E$28:$T$35,Summary!K12,Summary!L12)</f>
        <v>19013643.015240952</v>
      </c>
      <c r="H12" s="73" cm="1">
        <f t="array" ref="H12">INDEX(SwapSold!$E$28:$T$35,Summary!K12,Summary!L12)</f>
        <v>-122596.3724619749</v>
      </c>
      <c r="I12" s="20" cm="1">
        <f t="array" ref="I12">INDEX(DualFuelCM!$E$28:$T$35,Summary!K12,Summary!L12)</f>
        <v>5361150.893304239</v>
      </c>
      <c r="J12" s="20"/>
      <c r="K12">
        <f t="shared" si="2"/>
        <v>8</v>
      </c>
      <c r="L12">
        <f t="shared" si="0"/>
        <v>1</v>
      </c>
      <c r="O12" s="57" t="s">
        <v>24</v>
      </c>
      <c r="P12">
        <v>8</v>
      </c>
      <c r="R12" t="s">
        <v>10</v>
      </c>
      <c r="S12">
        <v>8</v>
      </c>
    </row>
    <row r="13" spans="2:19" x14ac:dyDescent="0.3">
      <c r="B13" t="str">
        <f t="shared" si="1"/>
        <v>MarinusPortland</v>
      </c>
      <c r="C13" t="s">
        <v>64</v>
      </c>
      <c r="D13">
        <f>D5</f>
        <v>1</v>
      </c>
      <c r="E13" t="s">
        <v>4</v>
      </c>
      <c r="F13" t="s">
        <v>34</v>
      </c>
      <c r="G13" s="73" cm="1">
        <f t="array" ref="G13">INDEX(PPAcfd!$E$28:$T$35,Summary!K13,Summary!L13)</f>
        <v>26744147.762844302</v>
      </c>
      <c r="H13" s="73" cm="1">
        <f t="array" ref="H13">INDEX(SwapSold!$E$28:$T$35,Summary!K13,Summary!L13)</f>
        <v>10027127.994788829</v>
      </c>
      <c r="I13" s="20" cm="1">
        <f t="array" ref="I13">INDEX(DualFuelCM!$E$28:$T$35,Summary!K13,Summary!L13)</f>
        <v>13718036.891405039</v>
      </c>
      <c r="J13" s="20"/>
      <c r="K13">
        <f>K5</f>
        <v>1</v>
      </c>
      <c r="L13">
        <f t="shared" si="0"/>
        <v>2</v>
      </c>
      <c r="R13" t="s">
        <v>11</v>
      </c>
      <c r="S13">
        <v>9</v>
      </c>
    </row>
    <row r="14" spans="2:19" x14ac:dyDescent="0.3">
      <c r="B14" t="str">
        <f t="shared" si="1"/>
        <v>MarinusPortland</v>
      </c>
      <c r="C14" t="s">
        <v>64</v>
      </c>
      <c r="D14">
        <f>D6</f>
        <v>0.95</v>
      </c>
      <c r="E14" t="str">
        <f>E13</f>
        <v>Cal-23</v>
      </c>
      <c r="F14" t="s">
        <v>34</v>
      </c>
      <c r="G14" s="73" cm="1">
        <f t="array" ref="G14">INDEX(PPAcfd!$E$28:$T$35,Summary!K14,Summary!L14)</f>
        <v>15472973.955126081</v>
      </c>
      <c r="H14" s="73" cm="1">
        <f t="array" ref="H14">INDEX(SwapSold!$E$28:$T$35,Summary!K14,Summary!L14)</f>
        <v>4493800.4094558423</v>
      </c>
      <c r="I14" s="20" cm="1">
        <f t="array" ref="I14">INDEX(DualFuelCM!$E$28:$T$35,Summary!K14,Summary!L14)</f>
        <v>9266244.8349261656</v>
      </c>
      <c r="J14" s="20"/>
      <c r="K14">
        <f>K6</f>
        <v>2</v>
      </c>
      <c r="L14">
        <f t="shared" si="0"/>
        <v>2</v>
      </c>
      <c r="R14" t="s">
        <v>12</v>
      </c>
      <c r="S14">
        <v>10</v>
      </c>
    </row>
    <row r="15" spans="2:19" x14ac:dyDescent="0.3">
      <c r="B15" t="str">
        <f t="shared" si="1"/>
        <v>MarinusPortland</v>
      </c>
      <c r="C15" t="s">
        <v>64</v>
      </c>
      <c r="D15">
        <f t="shared" ref="D15:D260" si="4">D7</f>
        <v>0.75</v>
      </c>
      <c r="E15" t="str">
        <f t="shared" ref="E15:E66" si="5">E14</f>
        <v>Cal-23</v>
      </c>
      <c r="F15" t="s">
        <v>34</v>
      </c>
      <c r="G15" s="73" cm="1">
        <f t="array" ref="G15">INDEX(PPAcfd!$E$28:$T$35,Summary!K15,Summary!L15)</f>
        <v>8973749.8142748699</v>
      </c>
      <c r="H15" s="73" cm="1">
        <f t="array" ref="H15">INDEX(SwapSold!$E$28:$T$35,Summary!K15,Summary!L15)</f>
        <v>1958943.5200518938</v>
      </c>
      <c r="I15" s="20" cm="1">
        <f t="array" ref="I15">INDEX(DualFuelCM!$E$28:$T$35,Summary!K15,Summary!L15)</f>
        <v>7488924.9582065959</v>
      </c>
      <c r="J15" s="20"/>
      <c r="K15">
        <f t="shared" ref="K15:K260" si="6">K7</f>
        <v>3</v>
      </c>
      <c r="L15">
        <f t="shared" si="0"/>
        <v>2</v>
      </c>
      <c r="R15" t="s">
        <v>13</v>
      </c>
      <c r="S15">
        <v>11</v>
      </c>
    </row>
    <row r="16" spans="2:19" x14ac:dyDescent="0.3">
      <c r="B16" t="str">
        <f t="shared" si="1"/>
        <v>MarinusPortland</v>
      </c>
      <c r="C16" t="s">
        <v>64</v>
      </c>
      <c r="D16">
        <f t="shared" si="4"/>
        <v>0.5</v>
      </c>
      <c r="E16" t="str">
        <f t="shared" si="5"/>
        <v>Cal-23</v>
      </c>
      <c r="F16" t="s">
        <v>34</v>
      </c>
      <c r="G16" s="73" cm="1">
        <f t="array" ref="G16">INDEX(PPAcfd!$E$28:$T$35,Summary!K16,Summary!L16)</f>
        <v>3748075.5122986105</v>
      </c>
      <c r="H16" s="73" cm="1">
        <f t="array" ref="H16">INDEX(SwapSold!$E$28:$T$35,Summary!K16,Summary!L16)</f>
        <v>389.19601309524626</v>
      </c>
      <c r="I16" s="20" cm="1">
        <f t="array" ref="I16">INDEX(DualFuelCM!$E$28:$T$35,Summary!K16,Summary!L16)</f>
        <v>6459032.5193413571</v>
      </c>
      <c r="J16" s="20"/>
      <c r="K16">
        <f t="shared" si="6"/>
        <v>4</v>
      </c>
      <c r="L16">
        <f t="shared" si="0"/>
        <v>2</v>
      </c>
      <c r="R16" t="s">
        <v>14</v>
      </c>
      <c r="S16">
        <v>12</v>
      </c>
    </row>
    <row r="17" spans="2:19" x14ac:dyDescent="0.3">
      <c r="B17" t="str">
        <f t="shared" si="1"/>
        <v>MarinusPortland</v>
      </c>
      <c r="C17" t="s">
        <v>64</v>
      </c>
      <c r="D17">
        <f t="shared" si="4"/>
        <v>0.25</v>
      </c>
      <c r="E17" t="str">
        <f t="shared" si="5"/>
        <v>Cal-23</v>
      </c>
      <c r="F17" t="s">
        <v>34</v>
      </c>
      <c r="G17" s="73" cm="1">
        <f t="array" ref="G17">INDEX(PPAcfd!$E$28:$T$35,Summary!K17,Summary!L17)</f>
        <v>1602024.2522986692</v>
      </c>
      <c r="H17" s="73" cm="1">
        <f t="array" ref="H17">INDEX(SwapSold!$E$28:$T$35,Summary!K17,Summary!L17)</f>
        <v>-2124895.7829911434</v>
      </c>
      <c r="I17" s="20" cm="1">
        <f t="array" ref="I17">INDEX(DualFuelCM!$E$28:$T$35,Summary!K17,Summary!L17)</f>
        <v>5540096.4428083496</v>
      </c>
      <c r="J17" s="20"/>
      <c r="K17">
        <f t="shared" si="6"/>
        <v>5</v>
      </c>
      <c r="L17">
        <f t="shared" si="0"/>
        <v>2</v>
      </c>
      <c r="R17" t="s">
        <v>15</v>
      </c>
      <c r="S17">
        <v>13</v>
      </c>
    </row>
    <row r="18" spans="2:19" x14ac:dyDescent="0.3">
      <c r="B18" t="str">
        <f t="shared" si="1"/>
        <v>MarinusPortland</v>
      </c>
      <c r="C18" t="s">
        <v>64</v>
      </c>
      <c r="D18">
        <f t="shared" si="4"/>
        <v>0.05</v>
      </c>
      <c r="E18" t="str">
        <f t="shared" si="5"/>
        <v>Cal-23</v>
      </c>
      <c r="F18" t="s">
        <v>34</v>
      </c>
      <c r="G18" s="73" cm="1">
        <f t="array" ref="G18">INDEX(PPAcfd!$E$28:$T$35,Summary!K18,Summary!L18)</f>
        <v>-2226182.7781293415</v>
      </c>
      <c r="H18" s="73" cm="1">
        <f t="array" ref="H18">INDEX(SwapSold!$E$28:$T$35,Summary!K18,Summary!L18)</f>
        <v>-5472448.160202329</v>
      </c>
      <c r="I18" s="20" cm="1">
        <f t="array" ref="I18">INDEX(DualFuelCM!$E$28:$T$35,Summary!K18,Summary!L18)</f>
        <v>4378586.7097803121</v>
      </c>
      <c r="J18" s="20"/>
      <c r="K18">
        <f t="shared" si="6"/>
        <v>6</v>
      </c>
      <c r="L18">
        <f t="shared" si="0"/>
        <v>2</v>
      </c>
      <c r="R18" t="s">
        <v>16</v>
      </c>
      <c r="S18">
        <v>14</v>
      </c>
    </row>
    <row r="19" spans="2:19" x14ac:dyDescent="0.3">
      <c r="B19" t="str">
        <f t="shared" si="1"/>
        <v>MarinusPortland</v>
      </c>
      <c r="C19" t="s">
        <v>64</v>
      </c>
      <c r="D19">
        <f t="shared" si="4"/>
        <v>0</v>
      </c>
      <c r="E19" t="str">
        <f t="shared" si="5"/>
        <v>Cal-23</v>
      </c>
      <c r="F19" t="s">
        <v>34</v>
      </c>
      <c r="G19" s="73" cm="1">
        <f t="array" ref="G19">INDEX(PPAcfd!$E$28:$T$35,Summary!K19,Summary!L19)</f>
        <v>-6409679.0053364141</v>
      </c>
      <c r="H19" s="73" cm="1">
        <f t="array" ref="H19">INDEX(SwapSold!$E$28:$T$35,Summary!K19,Summary!L19)</f>
        <v>-15847278.123349112</v>
      </c>
      <c r="I19" s="20" cm="1">
        <f t="array" ref="I19">INDEX(DualFuelCM!$E$28:$T$35,Summary!K19,Summary!L19)</f>
        <v>2289288.9242196986</v>
      </c>
      <c r="J19" s="20"/>
      <c r="K19">
        <f t="shared" si="6"/>
        <v>7</v>
      </c>
      <c r="L19">
        <f t="shared" si="0"/>
        <v>2</v>
      </c>
      <c r="R19" t="s">
        <v>17</v>
      </c>
      <c r="S19">
        <v>15</v>
      </c>
    </row>
    <row r="20" spans="2:19" x14ac:dyDescent="0.3">
      <c r="B20" t="str">
        <f t="shared" si="1"/>
        <v>MarinusPortland</v>
      </c>
      <c r="C20" t="s">
        <v>64</v>
      </c>
      <c r="D20" t="str">
        <f t="shared" si="4"/>
        <v>avg</v>
      </c>
      <c r="E20" t="str">
        <f t="shared" si="5"/>
        <v>Cal-23</v>
      </c>
      <c r="F20" t="s">
        <v>34</v>
      </c>
      <c r="G20" s="73" cm="1">
        <f t="array" ref="G20">INDEX(PPAcfd!$E$28:$T$35,Summary!K20,Summary!L20)</f>
        <v>5402854.1614119262</v>
      </c>
      <c r="H20" s="73" cm="1">
        <f t="array" ref="H20">INDEX(SwapSold!$E$28:$T$35,Summary!K20,Summary!L20)</f>
        <v>-175074.13036700661</v>
      </c>
      <c r="I20" s="20" cm="1">
        <f t="array" ref="I20">INDEX(DualFuelCM!$E$28:$T$35,Summary!K20,Summary!L20)</f>
        <v>6572457.4609526834</v>
      </c>
      <c r="J20" s="20"/>
      <c r="K20">
        <f t="shared" si="6"/>
        <v>8</v>
      </c>
      <c r="L20">
        <f t="shared" si="0"/>
        <v>2</v>
      </c>
      <c r="R20" t="s">
        <v>18</v>
      </c>
      <c r="S20">
        <v>16</v>
      </c>
    </row>
    <row r="21" spans="2:19" x14ac:dyDescent="0.3">
      <c r="B21" t="str">
        <f t="shared" si="1"/>
        <v>MarinusPortland</v>
      </c>
      <c r="C21" t="s">
        <v>64</v>
      </c>
      <c r="D21">
        <f t="shared" si="4"/>
        <v>1</v>
      </c>
      <c r="E21" t="s">
        <v>5</v>
      </c>
      <c r="F21" t="s">
        <v>34</v>
      </c>
      <c r="G21" s="73" cm="1">
        <f t="array" ref="G21">INDEX(PPAcfd!$E$28:$T$35,Summary!K21,Summary!L21)</f>
        <v>16341145.621148063</v>
      </c>
      <c r="H21" s="73" cm="1">
        <f t="array" ref="H21">INDEX(SwapSold!$E$28:$T$35,Summary!K21,Summary!L21)</f>
        <v>11924784.01556894</v>
      </c>
      <c r="I21" s="20" cm="1">
        <f t="array" ref="I21">INDEX(DualFuelCM!$E$28:$T$35,Summary!K21,Summary!L21)</f>
        <v>11678368.07275871</v>
      </c>
      <c r="J21" s="20"/>
      <c r="K21">
        <f t="shared" si="6"/>
        <v>1</v>
      </c>
      <c r="L21">
        <f t="shared" si="0"/>
        <v>3</v>
      </c>
    </row>
    <row r="22" spans="2:19" x14ac:dyDescent="0.3">
      <c r="B22" t="str">
        <f t="shared" si="1"/>
        <v>MarinusPortland</v>
      </c>
      <c r="C22" t="s">
        <v>64</v>
      </c>
      <c r="D22">
        <f t="shared" si="4"/>
        <v>0.95</v>
      </c>
      <c r="E22" t="str">
        <f t="shared" si="5"/>
        <v>Cal-24</v>
      </c>
      <c r="F22" t="s">
        <v>34</v>
      </c>
      <c r="G22" s="73" cm="1">
        <f t="array" ref="G22">INDEX(PPAcfd!$E$28:$T$35,Summary!K22,Summary!L22)</f>
        <v>6106770.9114028793</v>
      </c>
      <c r="H22" s="73" cm="1">
        <f t="array" ref="H22">INDEX(SwapSold!$E$28:$T$35,Summary!K22,Summary!L22)</f>
        <v>5888229.0578002948</v>
      </c>
      <c r="I22" s="20" cm="1">
        <f t="array" ref="I22">INDEX(DualFuelCM!$E$28:$T$35,Summary!K22,Summary!L22)</f>
        <v>7441819.5229787091</v>
      </c>
      <c r="J22" s="20"/>
      <c r="K22">
        <f t="shared" si="6"/>
        <v>2</v>
      </c>
      <c r="L22">
        <f t="shared" si="0"/>
        <v>3</v>
      </c>
    </row>
    <row r="23" spans="2:19" x14ac:dyDescent="0.3">
      <c r="B23" t="str">
        <f t="shared" si="1"/>
        <v>MarinusPortland</v>
      </c>
      <c r="C23" t="s">
        <v>64</v>
      </c>
      <c r="D23">
        <f t="shared" si="4"/>
        <v>0.75</v>
      </c>
      <c r="E23" t="str">
        <f t="shared" si="5"/>
        <v>Cal-24</v>
      </c>
      <c r="F23" t="s">
        <v>34</v>
      </c>
      <c r="G23" s="73" cm="1">
        <f t="array" ref="G23">INDEX(PPAcfd!$E$28:$T$35,Summary!K23,Summary!L23)</f>
        <v>-326455.46626934822</v>
      </c>
      <c r="H23" s="73" cm="1">
        <f t="array" ref="H23">INDEX(SwapSold!$E$28:$T$35,Summary!K23,Summary!L23)</f>
        <v>2489219.4461912522</v>
      </c>
      <c r="I23" s="20" cm="1">
        <f t="array" ref="I23">INDEX(DualFuelCM!$E$28:$T$35,Summary!K23,Summary!L23)</f>
        <v>5749825.5997739742</v>
      </c>
      <c r="J23" s="20"/>
      <c r="K23">
        <f t="shared" si="6"/>
        <v>3</v>
      </c>
      <c r="L23">
        <f t="shared" si="0"/>
        <v>3</v>
      </c>
    </row>
    <row r="24" spans="2:19" x14ac:dyDescent="0.3">
      <c r="B24" t="str">
        <f t="shared" si="1"/>
        <v>MarinusPortland</v>
      </c>
      <c r="C24" t="s">
        <v>64</v>
      </c>
      <c r="D24">
        <f t="shared" si="4"/>
        <v>0.5</v>
      </c>
      <c r="E24" t="str">
        <f t="shared" si="5"/>
        <v>Cal-24</v>
      </c>
      <c r="F24" t="s">
        <v>34</v>
      </c>
      <c r="G24" s="73" cm="1">
        <f t="array" ref="G24">INDEX(PPAcfd!$E$28:$T$35,Summary!K24,Summary!L24)</f>
        <v>-4430930.384617975</v>
      </c>
      <c r="H24" s="73" cm="1">
        <f t="array" ref="H24">INDEX(SwapSold!$E$28:$T$35,Summary!K24,Summary!L24)</f>
        <v>-1328.9987945802475</v>
      </c>
      <c r="I24" s="20" cm="1">
        <f t="array" ref="I24">INDEX(DualFuelCM!$E$28:$T$35,Summary!K24,Summary!L24)</f>
        <v>4693637.2979198219</v>
      </c>
      <c r="J24" s="20"/>
      <c r="K24">
        <f t="shared" si="6"/>
        <v>4</v>
      </c>
      <c r="L24">
        <f t="shared" si="0"/>
        <v>3</v>
      </c>
    </row>
    <row r="25" spans="2:19" x14ac:dyDescent="0.3">
      <c r="B25" t="str">
        <f t="shared" si="1"/>
        <v>MarinusPortland</v>
      </c>
      <c r="C25" t="s">
        <v>64</v>
      </c>
      <c r="D25">
        <f t="shared" si="4"/>
        <v>0.25</v>
      </c>
      <c r="E25" t="str">
        <f t="shared" si="5"/>
        <v>Cal-24</v>
      </c>
      <c r="F25" t="s">
        <v>34</v>
      </c>
      <c r="G25" s="73" cm="1">
        <f t="array" ref="G25">INDEX(PPAcfd!$E$28:$T$35,Summary!K25,Summary!L25)</f>
        <v>-7222673.6401614686</v>
      </c>
      <c r="H25" s="73" cm="1">
        <f t="array" ref="H25">INDEX(SwapSold!$E$28:$T$35,Summary!K25,Summary!L25)</f>
        <v>-2531642.5358235184</v>
      </c>
      <c r="I25" s="20" cm="1">
        <f t="array" ref="I25">INDEX(DualFuelCM!$E$28:$T$35,Summary!K25,Summary!L25)</f>
        <v>3777656.1247893106</v>
      </c>
      <c r="J25" s="20"/>
      <c r="K25">
        <f t="shared" si="6"/>
        <v>5</v>
      </c>
      <c r="L25">
        <f t="shared" si="0"/>
        <v>3</v>
      </c>
    </row>
    <row r="26" spans="2:19" x14ac:dyDescent="0.3">
      <c r="B26" t="str">
        <f t="shared" si="1"/>
        <v>MarinusPortland</v>
      </c>
      <c r="C26" t="s">
        <v>64</v>
      </c>
      <c r="D26">
        <f t="shared" si="4"/>
        <v>0.05</v>
      </c>
      <c r="E26" t="str">
        <f t="shared" si="5"/>
        <v>Cal-24</v>
      </c>
      <c r="F26" t="s">
        <v>34</v>
      </c>
      <c r="G26" s="73" cm="1">
        <f t="array" ref="G26">INDEX(PPAcfd!$E$28:$T$35,Summary!K26,Summary!L26)</f>
        <v>-10796945.24338685</v>
      </c>
      <c r="H26" s="73" cm="1">
        <f t="array" ref="H26">INDEX(SwapSold!$E$28:$T$35,Summary!K26,Summary!L26)</f>
        <v>-6345462.0643353947</v>
      </c>
      <c r="I26" s="20" cm="1">
        <f t="array" ref="I26">INDEX(DualFuelCM!$E$28:$T$35,Summary!K26,Summary!L26)</f>
        <v>2665480.1510470123</v>
      </c>
      <c r="J26" s="20"/>
      <c r="K26">
        <f t="shared" si="6"/>
        <v>6</v>
      </c>
      <c r="L26">
        <f t="shared" si="0"/>
        <v>3</v>
      </c>
    </row>
    <row r="27" spans="2:19" x14ac:dyDescent="0.3">
      <c r="B27" t="str">
        <f t="shared" si="1"/>
        <v>MarinusPortland</v>
      </c>
      <c r="C27" t="s">
        <v>64</v>
      </c>
      <c r="D27">
        <f t="shared" si="4"/>
        <v>0</v>
      </c>
      <c r="E27" t="str">
        <f t="shared" si="5"/>
        <v>Cal-24</v>
      </c>
      <c r="F27" t="s">
        <v>34</v>
      </c>
      <c r="G27" s="73" cm="1">
        <f t="array" ref="G27">INDEX(PPAcfd!$E$28:$T$35,Summary!K27,Summary!L27)</f>
        <v>-16434156.496391505</v>
      </c>
      <c r="H27" s="73" cm="1">
        <f t="array" ref="H27">INDEX(SwapSold!$E$28:$T$35,Summary!K27,Summary!L27)</f>
        <v>-14274221.106096838</v>
      </c>
      <c r="I27" s="20" cm="1">
        <f t="array" ref="I27">INDEX(DualFuelCM!$E$28:$T$35,Summary!K27,Summary!L27)</f>
        <v>1217973.9946507066</v>
      </c>
      <c r="J27" s="20"/>
      <c r="K27">
        <f t="shared" si="6"/>
        <v>7</v>
      </c>
      <c r="L27">
        <f t="shared" si="0"/>
        <v>3</v>
      </c>
    </row>
    <row r="28" spans="2:19" x14ac:dyDescent="0.3">
      <c r="B28" t="str">
        <f t="shared" si="1"/>
        <v>MarinusPortland</v>
      </c>
      <c r="C28" t="s">
        <v>64</v>
      </c>
      <c r="D28" t="str">
        <f t="shared" si="4"/>
        <v>avg</v>
      </c>
      <c r="E28" t="str">
        <f t="shared" si="5"/>
        <v>Cal-24</v>
      </c>
      <c r="F28" t="s">
        <v>34</v>
      </c>
      <c r="G28" s="73" cm="1">
        <f t="array" ref="G28">INDEX(PPAcfd!$E$28:$T$35,Summary!K28,Summary!L28)</f>
        <v>-3552232.1300931172</v>
      </c>
      <c r="H28" s="73" cm="1">
        <f t="array" ref="H28">INDEX(SwapSold!$E$28:$T$35,Summary!K28,Summary!L28)</f>
        <v>-88522.436880655383</v>
      </c>
      <c r="I28" s="20" cm="1">
        <f t="array" ref="I28">INDEX(DualFuelCM!$E$28:$T$35,Summary!K28,Summary!L28)</f>
        <v>4791987.9379691379</v>
      </c>
      <c r="J28" s="20"/>
      <c r="K28">
        <f t="shared" si="6"/>
        <v>8</v>
      </c>
      <c r="L28">
        <f t="shared" si="0"/>
        <v>3</v>
      </c>
    </row>
    <row r="29" spans="2:19" x14ac:dyDescent="0.3">
      <c r="B29" t="str">
        <f t="shared" si="1"/>
        <v>MarinusPortland</v>
      </c>
      <c r="C29" t="s">
        <v>64</v>
      </c>
      <c r="D29">
        <f t="shared" si="4"/>
        <v>1</v>
      </c>
      <c r="E29" t="s">
        <v>6</v>
      </c>
      <c r="F29" t="s">
        <v>34</v>
      </c>
      <c r="G29" s="73" cm="1">
        <f t="array" ref="G29">INDEX(PPAcfd!$E$28:$T$35,Summary!K29,Summary!L29)</f>
        <v>14008390.89326204</v>
      </c>
      <c r="H29" s="73" cm="1">
        <f t="array" ref="H29">INDEX(SwapSold!$E$28:$T$35,Summary!K29,Summary!L29)</f>
        <v>10095271.477715801</v>
      </c>
      <c r="I29" s="20" cm="1">
        <f t="array" ref="I29">INDEX(DualFuelCM!$E$28:$T$35,Summary!K29,Summary!L29)</f>
        <v>10721981.111278608</v>
      </c>
      <c r="J29" s="20"/>
      <c r="K29">
        <f t="shared" si="6"/>
        <v>1</v>
      </c>
      <c r="L29">
        <f t="shared" si="0"/>
        <v>4</v>
      </c>
    </row>
    <row r="30" spans="2:19" x14ac:dyDescent="0.3">
      <c r="B30" t="str">
        <f t="shared" si="1"/>
        <v>MarinusPortland</v>
      </c>
      <c r="C30" t="s">
        <v>64</v>
      </c>
      <c r="D30">
        <f t="shared" si="4"/>
        <v>0.95</v>
      </c>
      <c r="E30" t="str">
        <f t="shared" si="5"/>
        <v>Cal-25</v>
      </c>
      <c r="F30" t="s">
        <v>34</v>
      </c>
      <c r="G30" s="73" cm="1">
        <f t="array" ref="G30">INDEX(PPAcfd!$E$28:$T$35,Summary!K30,Summary!L30)</f>
        <v>5091551.1218864843</v>
      </c>
      <c r="H30" s="73" cm="1">
        <f t="array" ref="H30">INDEX(SwapSold!$E$28:$T$35,Summary!K30,Summary!L30)</f>
        <v>5063190.5790629871</v>
      </c>
      <c r="I30" s="20" cm="1">
        <f t="array" ref="I30">INDEX(DualFuelCM!$E$28:$T$35,Summary!K30,Summary!L30)</f>
        <v>8119609.5339955157</v>
      </c>
      <c r="J30" s="20"/>
      <c r="K30">
        <f t="shared" si="6"/>
        <v>2</v>
      </c>
      <c r="L30">
        <f t="shared" si="0"/>
        <v>4</v>
      </c>
    </row>
    <row r="31" spans="2:19" x14ac:dyDescent="0.3">
      <c r="B31" t="str">
        <f t="shared" si="1"/>
        <v>MarinusPortland</v>
      </c>
      <c r="C31" t="s">
        <v>64</v>
      </c>
      <c r="D31">
        <f t="shared" si="4"/>
        <v>0.75</v>
      </c>
      <c r="E31" t="str">
        <f t="shared" si="5"/>
        <v>Cal-25</v>
      </c>
      <c r="F31" t="s">
        <v>34</v>
      </c>
      <c r="G31" s="73" cm="1">
        <f t="array" ref="G31">INDEX(PPAcfd!$E$28:$T$35,Summary!K31,Summary!L31)</f>
        <v>-835607.01633421273</v>
      </c>
      <c r="H31" s="73" cm="1">
        <f t="array" ref="H31">INDEX(SwapSold!$E$28:$T$35,Summary!K31,Summary!L31)</f>
        <v>2187841.3767984277</v>
      </c>
      <c r="I31" s="20" cm="1">
        <f t="array" ref="I31">INDEX(DualFuelCM!$E$28:$T$35,Summary!K31,Summary!L31)</f>
        <v>6209012.5860835128</v>
      </c>
      <c r="J31" s="20"/>
      <c r="K31">
        <f t="shared" si="6"/>
        <v>3</v>
      </c>
      <c r="L31">
        <f t="shared" si="0"/>
        <v>4</v>
      </c>
    </row>
    <row r="32" spans="2:19" x14ac:dyDescent="0.3">
      <c r="B32" t="str">
        <f t="shared" si="1"/>
        <v>MarinusPortland</v>
      </c>
      <c r="C32" t="s">
        <v>64</v>
      </c>
      <c r="D32">
        <f t="shared" si="4"/>
        <v>0.5</v>
      </c>
      <c r="E32" t="str">
        <f t="shared" si="5"/>
        <v>Cal-25</v>
      </c>
      <c r="F32" t="s">
        <v>34</v>
      </c>
      <c r="G32" s="73" cm="1">
        <f t="array" ref="G32">INDEX(PPAcfd!$E$28:$T$35,Summary!K32,Summary!L32)</f>
        <v>-4034908.4475090615</v>
      </c>
      <c r="H32" s="73" cm="1">
        <f t="array" ref="H32">INDEX(SwapSold!$E$28:$T$35,Summary!K32,Summary!L32)</f>
        <v>100771.99969843622</v>
      </c>
      <c r="I32" s="20" cm="1">
        <f t="array" ref="I32">INDEX(DualFuelCM!$E$28:$T$35,Summary!K32,Summary!L32)</f>
        <v>5271737.6170443585</v>
      </c>
      <c r="J32" s="20"/>
      <c r="K32">
        <f t="shared" si="6"/>
        <v>4</v>
      </c>
      <c r="L32">
        <f t="shared" si="0"/>
        <v>4</v>
      </c>
    </row>
    <row r="33" spans="2:12" x14ac:dyDescent="0.3">
      <c r="B33" t="str">
        <f t="shared" si="1"/>
        <v>MarinusPortland</v>
      </c>
      <c r="C33" t="s">
        <v>64</v>
      </c>
      <c r="D33">
        <f t="shared" si="4"/>
        <v>0.25</v>
      </c>
      <c r="E33" t="str">
        <f t="shared" si="5"/>
        <v>Cal-25</v>
      </c>
      <c r="F33" t="s">
        <v>34</v>
      </c>
      <c r="G33" s="73" cm="1">
        <f t="array" ref="G33">INDEX(PPAcfd!$E$28:$T$35,Summary!K33,Summary!L33)</f>
        <v>-6266918.8883838234</v>
      </c>
      <c r="H33" s="73" cm="1">
        <f t="array" ref="H33">INDEX(SwapSold!$E$28:$T$35,Summary!K33,Summary!L33)</f>
        <v>-2111992.6559934411</v>
      </c>
      <c r="I33" s="20" cm="1">
        <f t="array" ref="I33">INDEX(DualFuelCM!$E$28:$T$35,Summary!K33,Summary!L33)</f>
        <v>4471923.5851989174</v>
      </c>
      <c r="J33" s="20"/>
      <c r="K33">
        <f t="shared" si="6"/>
        <v>5</v>
      </c>
      <c r="L33">
        <f t="shared" si="0"/>
        <v>4</v>
      </c>
    </row>
    <row r="34" spans="2:12" x14ac:dyDescent="0.3">
      <c r="B34" t="str">
        <f t="shared" si="1"/>
        <v>MarinusPortland</v>
      </c>
      <c r="C34" t="s">
        <v>64</v>
      </c>
      <c r="D34">
        <f t="shared" si="4"/>
        <v>0.05</v>
      </c>
      <c r="E34" t="str">
        <f t="shared" si="5"/>
        <v>Cal-25</v>
      </c>
      <c r="F34" t="s">
        <v>34</v>
      </c>
      <c r="G34" s="73" cm="1">
        <f t="array" ref="G34">INDEX(PPAcfd!$E$28:$T$35,Summary!K34,Summary!L34)</f>
        <v>-9713014.5360519662</v>
      </c>
      <c r="H34" s="73" cm="1">
        <f t="array" ref="H34">INDEX(SwapSold!$E$28:$T$35,Summary!K34,Summary!L34)</f>
        <v>-5599637.7208701055</v>
      </c>
      <c r="I34" s="20" cm="1">
        <f t="array" ref="I34">INDEX(DualFuelCM!$E$28:$T$35,Summary!K34,Summary!L34)</f>
        <v>3407574.5199101092</v>
      </c>
      <c r="J34" s="20"/>
      <c r="K34">
        <f t="shared" si="6"/>
        <v>6</v>
      </c>
      <c r="L34">
        <f t="shared" si="0"/>
        <v>4</v>
      </c>
    </row>
    <row r="35" spans="2:12" x14ac:dyDescent="0.3">
      <c r="B35" t="str">
        <f t="shared" si="1"/>
        <v>MarinusPortland</v>
      </c>
      <c r="C35" t="s">
        <v>64</v>
      </c>
      <c r="D35">
        <f t="shared" si="4"/>
        <v>0</v>
      </c>
      <c r="E35" t="str">
        <f t="shared" si="5"/>
        <v>Cal-25</v>
      </c>
      <c r="F35" t="s">
        <v>34</v>
      </c>
      <c r="G35" s="73" cm="1">
        <f t="array" ref="G35">INDEX(PPAcfd!$E$28:$T$35,Summary!K35,Summary!L35)</f>
        <v>-14119223.01328058</v>
      </c>
      <c r="H35" s="73" cm="1">
        <f t="array" ref="H35">INDEX(SwapSold!$E$28:$T$35,Summary!K35,Summary!L35)</f>
        <v>-15062286.304095477</v>
      </c>
      <c r="I35" s="20" cm="1">
        <f t="array" ref="I35">INDEX(DualFuelCM!$E$28:$T$35,Summary!K35,Summary!L35)</f>
        <v>1792503.5586776915</v>
      </c>
      <c r="J35" s="20"/>
      <c r="K35">
        <f t="shared" si="6"/>
        <v>7</v>
      </c>
      <c r="L35">
        <f t="shared" si="0"/>
        <v>4</v>
      </c>
    </row>
    <row r="36" spans="2:12" x14ac:dyDescent="0.3">
      <c r="B36" t="str">
        <f t="shared" si="1"/>
        <v>MarinusPortland</v>
      </c>
      <c r="C36" t="s">
        <v>64</v>
      </c>
      <c r="D36" t="str">
        <f t="shared" si="4"/>
        <v>avg</v>
      </c>
      <c r="E36" t="str">
        <f t="shared" si="5"/>
        <v>Cal-25</v>
      </c>
      <c r="F36" t="s">
        <v>34</v>
      </c>
      <c r="G36" s="73" cm="1">
        <f t="array" ref="G36">INDEX(PPAcfd!$E$28:$T$35,Summary!K36,Summary!L36)</f>
        <v>-3348012.7250320832</v>
      </c>
      <c r="H36" s="73" cm="1">
        <f t="array" ref="H36">INDEX(SwapSold!$E$28:$T$35,Summary!K36,Summary!L36)</f>
        <v>-41082.764922050592</v>
      </c>
      <c r="I36" s="20" cm="1">
        <f t="array" ref="I36">INDEX(DualFuelCM!$E$28:$T$35,Summary!K36,Summary!L36)</f>
        <v>5413425.0986614069</v>
      </c>
      <c r="J36" s="20"/>
      <c r="K36">
        <f t="shared" si="6"/>
        <v>8</v>
      </c>
      <c r="L36">
        <f t="shared" si="0"/>
        <v>4</v>
      </c>
    </row>
    <row r="37" spans="2:12" x14ac:dyDescent="0.3">
      <c r="B37" t="str">
        <f t="shared" si="1"/>
        <v>MarinusPortland</v>
      </c>
      <c r="C37" t="s">
        <v>64</v>
      </c>
      <c r="D37">
        <f t="shared" si="4"/>
        <v>1</v>
      </c>
      <c r="E37" t="s">
        <v>7</v>
      </c>
      <c r="F37" t="s">
        <v>34</v>
      </c>
      <c r="G37" s="73" cm="1">
        <f t="array" ref="G37">INDEX(PPAcfd!$E$28:$T$35,Summary!K37,Summary!L37)</f>
        <v>17860497.031073336</v>
      </c>
      <c r="H37" s="73" cm="1">
        <f t="array" ref="H37">INDEX(SwapSold!$E$28:$T$35,Summary!K37,Summary!L37)</f>
        <v>12721376.261145793</v>
      </c>
      <c r="I37" s="20" cm="1">
        <f t="array" ref="I37">INDEX(DualFuelCM!$E$28:$T$35,Summary!K37,Summary!L37)</f>
        <v>12416417.495090801</v>
      </c>
      <c r="J37" s="20"/>
      <c r="K37">
        <f t="shared" si="6"/>
        <v>1</v>
      </c>
      <c r="L37">
        <f t="shared" ref="L37:L68" si="7">VLOOKUP(E37,$R$5:$S$20,2,FALSE)</f>
        <v>5</v>
      </c>
    </row>
    <row r="38" spans="2:12" x14ac:dyDescent="0.3">
      <c r="B38" t="str">
        <f t="shared" si="1"/>
        <v>MarinusPortland</v>
      </c>
      <c r="C38" t="s">
        <v>64</v>
      </c>
      <c r="D38">
        <f t="shared" si="4"/>
        <v>0.95</v>
      </c>
      <c r="E38" t="str">
        <f t="shared" si="5"/>
        <v>Cal-26</v>
      </c>
      <c r="F38" t="s">
        <v>34</v>
      </c>
      <c r="G38" s="73" cm="1">
        <f t="array" ref="G38">INDEX(PPAcfd!$E$28:$T$35,Summary!K38,Summary!L38)</f>
        <v>6417285.7733485429</v>
      </c>
      <c r="H38" s="73" cm="1">
        <f t="array" ref="H38">INDEX(SwapSold!$E$28:$T$35,Summary!K38,Summary!L38)</f>
        <v>5586877.5939936759</v>
      </c>
      <c r="I38" s="20" cm="1">
        <f t="array" ref="I38">INDEX(DualFuelCM!$E$28:$T$35,Summary!K38,Summary!L38)</f>
        <v>8429347.8424704447</v>
      </c>
      <c r="J38" s="20"/>
      <c r="K38">
        <f t="shared" si="6"/>
        <v>2</v>
      </c>
      <c r="L38">
        <f t="shared" si="7"/>
        <v>5</v>
      </c>
    </row>
    <row r="39" spans="2:12" x14ac:dyDescent="0.3">
      <c r="B39" t="str">
        <f t="shared" si="1"/>
        <v>MarinusPortland</v>
      </c>
      <c r="C39" t="s">
        <v>64</v>
      </c>
      <c r="D39">
        <f t="shared" si="4"/>
        <v>0.75</v>
      </c>
      <c r="E39" t="str">
        <f t="shared" si="5"/>
        <v>Cal-26</v>
      </c>
      <c r="F39" t="s">
        <v>34</v>
      </c>
      <c r="G39" s="73" cm="1">
        <f t="array" ref="G39">INDEX(PPAcfd!$E$28:$T$35,Summary!K39,Summary!L39)</f>
        <v>1140654.1441268765</v>
      </c>
      <c r="H39" s="73" cm="1">
        <f t="array" ref="H39">INDEX(SwapSold!$E$28:$T$35,Summary!K39,Summary!L39)</f>
        <v>2331061.5797656192</v>
      </c>
      <c r="I39" s="20" cm="1">
        <f t="array" ref="I39">INDEX(DualFuelCM!$E$28:$T$35,Summary!K39,Summary!L39)</f>
        <v>6816631.9923396185</v>
      </c>
      <c r="J39" s="20"/>
      <c r="K39">
        <f t="shared" si="6"/>
        <v>3</v>
      </c>
      <c r="L39">
        <f t="shared" si="7"/>
        <v>5</v>
      </c>
    </row>
    <row r="40" spans="2:12" x14ac:dyDescent="0.3">
      <c r="B40" t="str">
        <f t="shared" si="1"/>
        <v>MarinusPortland</v>
      </c>
      <c r="C40" t="s">
        <v>64</v>
      </c>
      <c r="D40">
        <f t="shared" si="4"/>
        <v>0.5</v>
      </c>
      <c r="E40" t="str">
        <f t="shared" si="5"/>
        <v>Cal-26</v>
      </c>
      <c r="F40" t="s">
        <v>34</v>
      </c>
      <c r="G40" s="73" cm="1">
        <f t="array" ref="G40">INDEX(PPAcfd!$E$28:$T$35,Summary!K40,Summary!L40)</f>
        <v>-2195834.406320299</v>
      </c>
      <c r="H40" s="73" cm="1">
        <f t="array" ref="H40">INDEX(SwapSold!$E$28:$T$35,Summary!K40,Summary!L40)</f>
        <v>13103.939556304624</v>
      </c>
      <c r="I40" s="20" cm="1">
        <f t="array" ref="I40">INDEX(DualFuelCM!$E$28:$T$35,Summary!K40,Summary!L40)</f>
        <v>5802433.8512245435</v>
      </c>
      <c r="J40" s="20"/>
      <c r="K40">
        <f t="shared" si="6"/>
        <v>4</v>
      </c>
      <c r="L40">
        <f t="shared" si="7"/>
        <v>5</v>
      </c>
    </row>
    <row r="41" spans="2:12" x14ac:dyDescent="0.3">
      <c r="B41" t="str">
        <f t="shared" si="1"/>
        <v>MarinusPortland</v>
      </c>
      <c r="C41" t="s">
        <v>64</v>
      </c>
      <c r="D41">
        <f t="shared" si="4"/>
        <v>0.25</v>
      </c>
      <c r="E41" t="str">
        <f t="shared" si="5"/>
        <v>Cal-26</v>
      </c>
      <c r="F41" t="s">
        <v>34</v>
      </c>
      <c r="G41" s="73" cm="1">
        <f t="array" ref="G41">INDEX(PPAcfd!$E$28:$T$35,Summary!K41,Summary!L41)</f>
        <v>-5000816.0483356267</v>
      </c>
      <c r="H41" s="73" cm="1">
        <f t="array" ref="H41">INDEX(SwapSold!$E$28:$T$35,Summary!K41,Summary!L41)</f>
        <v>-2418494.3378620916</v>
      </c>
      <c r="I41" s="20" cm="1">
        <f t="array" ref="I41">INDEX(DualFuelCM!$E$28:$T$35,Summary!K41,Summary!L41)</f>
        <v>4955061.4288612911</v>
      </c>
      <c r="J41" s="20"/>
      <c r="K41">
        <f t="shared" si="6"/>
        <v>5</v>
      </c>
      <c r="L41">
        <f t="shared" si="7"/>
        <v>5</v>
      </c>
    </row>
    <row r="42" spans="2:12" x14ac:dyDescent="0.3">
      <c r="B42" t="str">
        <f t="shared" si="1"/>
        <v>MarinusPortland</v>
      </c>
      <c r="C42" t="s">
        <v>64</v>
      </c>
      <c r="D42">
        <f t="shared" si="4"/>
        <v>0.05</v>
      </c>
      <c r="E42" t="str">
        <f t="shared" si="5"/>
        <v>Cal-26</v>
      </c>
      <c r="F42" t="s">
        <v>34</v>
      </c>
      <c r="G42" s="73" cm="1">
        <f t="array" ref="G42">INDEX(PPAcfd!$E$28:$T$35,Summary!K42,Summary!L42)</f>
        <v>-6896357.0562213697</v>
      </c>
      <c r="H42" s="73" cm="1">
        <f t="array" ref="H42">INDEX(SwapSold!$E$28:$T$35,Summary!K42,Summary!L42)</f>
        <v>-6270854.0950252926</v>
      </c>
      <c r="I42" s="20" cm="1">
        <f t="array" ref="I42">INDEX(DualFuelCM!$E$28:$T$35,Summary!K42,Summary!L42)</f>
        <v>3827295.6426779125</v>
      </c>
      <c r="J42" s="20"/>
      <c r="K42">
        <f t="shared" si="6"/>
        <v>6</v>
      </c>
      <c r="L42">
        <f t="shared" si="7"/>
        <v>5</v>
      </c>
    </row>
    <row r="43" spans="2:12" x14ac:dyDescent="0.3">
      <c r="B43" t="str">
        <f t="shared" si="1"/>
        <v>MarinusPortland</v>
      </c>
      <c r="C43" t="s">
        <v>64</v>
      </c>
      <c r="D43">
        <f t="shared" si="4"/>
        <v>0</v>
      </c>
      <c r="E43" t="str">
        <f t="shared" si="5"/>
        <v>Cal-26</v>
      </c>
      <c r="F43" t="s">
        <v>34</v>
      </c>
      <c r="G43" s="73" cm="1">
        <f t="array" ref="G43">INDEX(PPAcfd!$E$28:$T$35,Summary!K43,Summary!L43)</f>
        <v>-13196633.102378299</v>
      </c>
      <c r="H43" s="73" cm="1">
        <f t="array" ref="H43">INDEX(SwapSold!$E$28:$T$35,Summary!K43,Summary!L43)</f>
        <v>-14686262.573220557</v>
      </c>
      <c r="I43" s="20" cm="1">
        <f t="array" ref="I43">INDEX(DualFuelCM!$E$28:$T$35,Summary!K43,Summary!L43)</f>
        <v>1548178.6571150774</v>
      </c>
      <c r="J43" s="20"/>
      <c r="K43">
        <f t="shared" si="6"/>
        <v>7</v>
      </c>
      <c r="L43">
        <f t="shared" si="7"/>
        <v>5</v>
      </c>
    </row>
    <row r="44" spans="2:12" x14ac:dyDescent="0.3">
      <c r="B44" t="str">
        <f t="shared" si="1"/>
        <v>MarinusPortland</v>
      </c>
      <c r="C44" t="s">
        <v>64</v>
      </c>
      <c r="D44" t="str">
        <f t="shared" si="4"/>
        <v>avg</v>
      </c>
      <c r="E44" t="str">
        <f t="shared" si="5"/>
        <v>Cal-26</v>
      </c>
      <c r="F44" t="s">
        <v>34</v>
      </c>
      <c r="G44" s="73" cm="1">
        <f t="array" ref="G44">INDEX(PPAcfd!$E$28:$T$35,Summary!K44,Summary!L44)</f>
        <v>-1603081.1115662763</v>
      </c>
      <c r="H44" s="73" cm="1">
        <f t="array" ref="H44">INDEX(SwapSold!$E$28:$T$35,Summary!K44,Summary!L44)</f>
        <v>-119280.11124567494</v>
      </c>
      <c r="I44" s="20" cm="1">
        <f t="array" ref="I44">INDEX(DualFuelCM!$E$28:$T$35,Summary!K44,Summary!L44)</f>
        <v>5916532.6700934255</v>
      </c>
      <c r="J44" s="20"/>
      <c r="K44">
        <f t="shared" si="6"/>
        <v>8</v>
      </c>
      <c r="L44">
        <f t="shared" si="7"/>
        <v>5</v>
      </c>
    </row>
    <row r="45" spans="2:12" x14ac:dyDescent="0.3">
      <c r="B45" t="str">
        <f t="shared" si="1"/>
        <v>MarinusPortland</v>
      </c>
      <c r="C45" t="s">
        <v>64</v>
      </c>
      <c r="D45">
        <f t="shared" si="4"/>
        <v>1</v>
      </c>
      <c r="E45" t="s">
        <v>8</v>
      </c>
      <c r="F45" t="s">
        <v>34</v>
      </c>
      <c r="G45" s="73" cm="1">
        <f t="array" ref="G45">INDEX(PPAcfd!$E$28:$T$35,Summary!K45,Summary!L45)</f>
        <v>18773330.945654888</v>
      </c>
      <c r="H45" s="73" cm="1">
        <f t="array" ref="H45">INDEX(SwapSold!$E$28:$T$35,Summary!K45,Summary!L45)</f>
        <v>14690052.361895915</v>
      </c>
      <c r="I45" s="20" cm="1">
        <f t="array" ref="I45">INDEX(DualFuelCM!$E$28:$T$35,Summary!K45,Summary!L45)</f>
        <v>12961885.285271753</v>
      </c>
      <c r="J45" s="20"/>
      <c r="K45">
        <f t="shared" si="6"/>
        <v>1</v>
      </c>
      <c r="L45">
        <f t="shared" si="7"/>
        <v>6</v>
      </c>
    </row>
    <row r="46" spans="2:12" x14ac:dyDescent="0.3">
      <c r="B46" t="str">
        <f t="shared" si="1"/>
        <v>MarinusPortland</v>
      </c>
      <c r="C46" t="s">
        <v>64</v>
      </c>
      <c r="D46">
        <f t="shared" si="4"/>
        <v>0.95</v>
      </c>
      <c r="E46" t="str">
        <f t="shared" si="5"/>
        <v>Cal-27</v>
      </c>
      <c r="F46" t="s">
        <v>34</v>
      </c>
      <c r="G46" s="73" cm="1">
        <f t="array" ref="G46">INDEX(PPAcfd!$E$28:$T$35,Summary!K46,Summary!L46)</f>
        <v>8346943.4587955428</v>
      </c>
      <c r="H46" s="73" cm="1">
        <f t="array" ref="H46">INDEX(SwapSold!$E$28:$T$35,Summary!K46,Summary!L46)</f>
        <v>5823358.5533748129</v>
      </c>
      <c r="I46" s="20" cm="1">
        <f t="array" ref="I46">INDEX(DualFuelCM!$E$28:$T$35,Summary!K46,Summary!L46)</f>
        <v>8865183.0067633651</v>
      </c>
      <c r="J46" s="20"/>
      <c r="K46">
        <f t="shared" si="6"/>
        <v>2</v>
      </c>
      <c r="L46">
        <f t="shared" si="7"/>
        <v>6</v>
      </c>
    </row>
    <row r="47" spans="2:12" x14ac:dyDescent="0.3">
      <c r="B47" t="str">
        <f t="shared" si="1"/>
        <v>MarinusPortland</v>
      </c>
      <c r="C47" t="s">
        <v>64</v>
      </c>
      <c r="D47">
        <f t="shared" si="4"/>
        <v>0.75</v>
      </c>
      <c r="E47" t="str">
        <f t="shared" si="5"/>
        <v>Cal-27</v>
      </c>
      <c r="F47" t="s">
        <v>34</v>
      </c>
      <c r="G47" s="73" cm="1">
        <f t="array" ref="G47">INDEX(PPAcfd!$E$28:$T$35,Summary!K47,Summary!L47)</f>
        <v>2733462.9441192173</v>
      </c>
      <c r="H47" s="73" cm="1">
        <f t="array" ref="H47">INDEX(SwapSold!$E$28:$T$35,Summary!K47,Summary!L47)</f>
        <v>2565424.4392272891</v>
      </c>
      <c r="I47" s="20" cm="1">
        <f t="array" ref="I47">INDEX(DualFuelCM!$E$28:$T$35,Summary!K47,Summary!L47)</f>
        <v>7065817.4927045908</v>
      </c>
      <c r="J47" s="20"/>
      <c r="K47">
        <f t="shared" si="6"/>
        <v>3</v>
      </c>
      <c r="L47">
        <f t="shared" si="7"/>
        <v>6</v>
      </c>
    </row>
    <row r="48" spans="2:12" x14ac:dyDescent="0.3">
      <c r="B48" t="str">
        <f t="shared" si="1"/>
        <v>MarinusPortland</v>
      </c>
      <c r="C48" t="s">
        <v>64</v>
      </c>
      <c r="D48">
        <f t="shared" si="4"/>
        <v>0.5</v>
      </c>
      <c r="E48" t="str">
        <f t="shared" si="5"/>
        <v>Cal-27</v>
      </c>
      <c r="F48" t="s">
        <v>34</v>
      </c>
      <c r="G48" s="73" cm="1">
        <f t="array" ref="G48">INDEX(PPAcfd!$E$28:$T$35,Summary!K48,Summary!L48)</f>
        <v>-665372.71057744452</v>
      </c>
      <c r="H48" s="73" cm="1">
        <f t="array" ref="H48">INDEX(SwapSold!$E$28:$T$35,Summary!K48,Summary!L48)</f>
        <v>112752.0407873208</v>
      </c>
      <c r="I48" s="20" cm="1">
        <f t="array" ref="I48">INDEX(DualFuelCM!$E$28:$T$35,Summary!K48,Summary!L48)</f>
        <v>6052410.0309037324</v>
      </c>
      <c r="J48" s="20"/>
      <c r="K48">
        <f t="shared" si="6"/>
        <v>4</v>
      </c>
      <c r="L48">
        <f t="shared" si="7"/>
        <v>6</v>
      </c>
    </row>
    <row r="49" spans="2:12" x14ac:dyDescent="0.3">
      <c r="B49" t="str">
        <f t="shared" si="1"/>
        <v>MarinusPortland</v>
      </c>
      <c r="C49" t="s">
        <v>64</v>
      </c>
      <c r="D49">
        <f t="shared" si="4"/>
        <v>0.25</v>
      </c>
      <c r="E49" t="str">
        <f t="shared" si="5"/>
        <v>Cal-27</v>
      </c>
      <c r="F49" t="s">
        <v>34</v>
      </c>
      <c r="G49" s="73" cm="1">
        <f t="array" ref="G49">INDEX(PPAcfd!$E$28:$T$35,Summary!K49,Summary!L49)</f>
        <v>-3126043.7672759341</v>
      </c>
      <c r="H49" s="73" cm="1">
        <f t="array" ref="H49">INDEX(SwapSold!$E$28:$T$35,Summary!K49,Summary!L49)</f>
        <v>-2626642.6507591479</v>
      </c>
      <c r="I49" s="20" cm="1">
        <f t="array" ref="I49">INDEX(DualFuelCM!$E$28:$T$35,Summary!K49,Summary!L49)</f>
        <v>5195628.9530151347</v>
      </c>
      <c r="J49" s="20"/>
      <c r="K49">
        <f t="shared" si="6"/>
        <v>5</v>
      </c>
      <c r="L49">
        <f t="shared" si="7"/>
        <v>6</v>
      </c>
    </row>
    <row r="50" spans="2:12" x14ac:dyDescent="0.3">
      <c r="B50" t="str">
        <f t="shared" si="1"/>
        <v>MarinusPortland</v>
      </c>
      <c r="C50" t="s">
        <v>64</v>
      </c>
      <c r="D50">
        <f t="shared" si="4"/>
        <v>0.05</v>
      </c>
      <c r="E50" t="str">
        <f t="shared" si="5"/>
        <v>Cal-27</v>
      </c>
      <c r="F50" t="s">
        <v>34</v>
      </c>
      <c r="G50" s="73" cm="1">
        <f t="array" ref="G50">INDEX(PPAcfd!$E$28:$T$35,Summary!K50,Summary!L50)</f>
        <v>-5892643.4799591517</v>
      </c>
      <c r="H50" s="73" cm="1">
        <f t="array" ref="H50">INDEX(SwapSold!$E$28:$T$35,Summary!K50,Summary!L50)</f>
        <v>-6837888.731358462</v>
      </c>
      <c r="I50" s="20" cm="1">
        <f t="array" ref="I50">INDEX(DualFuelCM!$E$28:$T$35,Summary!K50,Summary!L50)</f>
        <v>4032593.48216801</v>
      </c>
      <c r="J50" s="20"/>
      <c r="K50">
        <f t="shared" si="6"/>
        <v>6</v>
      </c>
      <c r="L50">
        <f t="shared" si="7"/>
        <v>6</v>
      </c>
    </row>
    <row r="51" spans="2:12" x14ac:dyDescent="0.3">
      <c r="B51" t="str">
        <f t="shared" si="1"/>
        <v>MarinusPortland</v>
      </c>
      <c r="C51" t="s">
        <v>64</v>
      </c>
      <c r="D51">
        <f t="shared" si="4"/>
        <v>0</v>
      </c>
      <c r="E51" t="str">
        <f t="shared" si="5"/>
        <v>Cal-27</v>
      </c>
      <c r="F51" t="s">
        <v>34</v>
      </c>
      <c r="G51" s="73" cm="1">
        <f t="array" ref="G51">INDEX(PPAcfd!$E$28:$T$35,Summary!K51,Summary!L51)</f>
        <v>-10688050.332502784</v>
      </c>
      <c r="H51" s="73" cm="1">
        <f t="array" ref="H51">INDEX(SwapSold!$E$28:$T$35,Summary!K51,Summary!L51)</f>
        <v>-15141798.813231004</v>
      </c>
      <c r="I51" s="20" cm="1">
        <f t="array" ref="I51">INDEX(DualFuelCM!$E$28:$T$35,Summary!K51,Summary!L51)</f>
        <v>2439049.8700572969</v>
      </c>
      <c r="J51" s="20"/>
      <c r="K51">
        <f t="shared" si="6"/>
        <v>7</v>
      </c>
      <c r="L51">
        <f t="shared" si="7"/>
        <v>6</v>
      </c>
    </row>
    <row r="52" spans="2:12" x14ac:dyDescent="0.3">
      <c r="B52" t="str">
        <f t="shared" si="1"/>
        <v>MarinusPortland</v>
      </c>
      <c r="C52" t="s">
        <v>64</v>
      </c>
      <c r="D52" t="str">
        <f t="shared" si="4"/>
        <v>avg</v>
      </c>
      <c r="E52" t="str">
        <f t="shared" si="5"/>
        <v>Cal-27</v>
      </c>
      <c r="F52" t="s">
        <v>34</v>
      </c>
      <c r="G52" s="73" cm="1">
        <f t="array" ref="G52">INDEX(PPAcfd!$E$28:$T$35,Summary!K52,Summary!L52)</f>
        <v>52237.14087490258</v>
      </c>
      <c r="H52" s="73" cm="1">
        <f t="array" ref="H52">INDEX(SwapSold!$E$28:$T$35,Summary!K52,Summary!L52)</f>
        <v>-136408.22380056352</v>
      </c>
      <c r="I52" s="20" cm="1">
        <f t="array" ref="I52">INDEX(DualFuelCM!$E$28:$T$35,Summary!K52,Summary!L52)</f>
        <v>6185968.6090535782</v>
      </c>
      <c r="J52" s="20"/>
      <c r="K52">
        <f t="shared" si="6"/>
        <v>8</v>
      </c>
      <c r="L52">
        <f t="shared" si="7"/>
        <v>6</v>
      </c>
    </row>
    <row r="53" spans="2:12" x14ac:dyDescent="0.3">
      <c r="B53" t="str">
        <f t="shared" si="1"/>
        <v>MarinusPortland</v>
      </c>
      <c r="C53" t="s">
        <v>64</v>
      </c>
      <c r="D53">
        <f t="shared" si="4"/>
        <v>1</v>
      </c>
      <c r="E53" t="s">
        <v>9</v>
      </c>
      <c r="F53" t="s">
        <v>34</v>
      </c>
      <c r="G53" s="73" cm="1">
        <f t="array" ref="G53">INDEX(PPAcfd!$E$28:$T$35,Summary!K53,Summary!L53)</f>
        <v>13012473.700651761</v>
      </c>
      <c r="H53" s="73" cm="1">
        <f t="array" ref="H53">INDEX(SwapSold!$E$28:$T$35,Summary!K53,Summary!L53)</f>
        <v>10076966.426589588</v>
      </c>
      <c r="I53" s="20" cm="1">
        <f t="array" ref="I53">INDEX(DualFuelCM!$E$28:$T$35,Summary!K53,Summary!L53)</f>
        <v>11225472.939637797</v>
      </c>
      <c r="J53" s="20"/>
      <c r="K53">
        <f t="shared" si="6"/>
        <v>1</v>
      </c>
      <c r="L53">
        <f t="shared" si="7"/>
        <v>7</v>
      </c>
    </row>
    <row r="54" spans="2:12" x14ac:dyDescent="0.3">
      <c r="B54" t="str">
        <f t="shared" si="1"/>
        <v>MarinusPortland</v>
      </c>
      <c r="C54" t="s">
        <v>64</v>
      </c>
      <c r="D54">
        <f t="shared" si="4"/>
        <v>0.95</v>
      </c>
      <c r="E54" t="str">
        <f t="shared" si="5"/>
        <v>Cal-28</v>
      </c>
      <c r="F54" t="s">
        <v>34</v>
      </c>
      <c r="G54" s="73" cm="1">
        <f t="array" ref="G54">INDEX(PPAcfd!$E$28:$T$35,Summary!K54,Summary!L54)</f>
        <v>5342757.7298130281</v>
      </c>
      <c r="H54" s="73" cm="1">
        <f t="array" ref="H54">INDEX(SwapSold!$E$28:$T$35,Summary!K54,Summary!L54)</f>
        <v>5111055.8270826451</v>
      </c>
      <c r="I54" s="20" cm="1">
        <f t="array" ref="I54">INDEX(DualFuelCM!$E$28:$T$35,Summary!K54,Summary!L54)</f>
        <v>7956647.7255809875</v>
      </c>
      <c r="J54" s="20"/>
      <c r="K54">
        <f t="shared" si="6"/>
        <v>2</v>
      </c>
      <c r="L54">
        <f t="shared" si="7"/>
        <v>7</v>
      </c>
    </row>
    <row r="55" spans="2:12" x14ac:dyDescent="0.3">
      <c r="B55" t="str">
        <f t="shared" si="1"/>
        <v>MarinusPortland</v>
      </c>
      <c r="C55" t="s">
        <v>64</v>
      </c>
      <c r="D55">
        <f t="shared" si="4"/>
        <v>0.75</v>
      </c>
      <c r="E55" t="str">
        <f t="shared" si="5"/>
        <v>Cal-28</v>
      </c>
      <c r="F55" t="s">
        <v>34</v>
      </c>
      <c r="G55" s="73" cm="1">
        <f t="array" ref="G55">INDEX(PPAcfd!$E$28:$T$35,Summary!K55,Summary!L55)</f>
        <v>668469.38931148627</v>
      </c>
      <c r="H55" s="73" cm="1">
        <f t="array" ref="H55">INDEX(SwapSold!$E$28:$T$35,Summary!K55,Summary!L55)</f>
        <v>2219901.9240953242</v>
      </c>
      <c r="I55" s="20" cm="1">
        <f t="array" ref="I55">INDEX(DualFuelCM!$E$28:$T$35,Summary!K55,Summary!L55)</f>
        <v>6504167.822013611</v>
      </c>
      <c r="J55" s="20"/>
      <c r="K55">
        <f t="shared" si="6"/>
        <v>3</v>
      </c>
      <c r="L55">
        <f t="shared" si="7"/>
        <v>7</v>
      </c>
    </row>
    <row r="56" spans="2:12" x14ac:dyDescent="0.3">
      <c r="B56" t="str">
        <f t="shared" si="1"/>
        <v>MarinusPortland</v>
      </c>
      <c r="C56" t="s">
        <v>64</v>
      </c>
      <c r="D56">
        <f t="shared" si="4"/>
        <v>0.5</v>
      </c>
      <c r="E56" t="str">
        <f t="shared" si="5"/>
        <v>Cal-28</v>
      </c>
      <c r="F56" t="s">
        <v>34</v>
      </c>
      <c r="G56" s="73" cm="1">
        <f t="array" ref="G56">INDEX(PPAcfd!$E$28:$T$35,Summary!K56,Summary!L56)</f>
        <v>-2225864.3436882682</v>
      </c>
      <c r="H56" s="73" cm="1">
        <f t="array" ref="H56">INDEX(SwapSold!$E$28:$T$35,Summary!K56,Summary!L56)</f>
        <v>53144.852677830706</v>
      </c>
      <c r="I56" s="20" cm="1">
        <f t="array" ref="I56">INDEX(DualFuelCM!$E$28:$T$35,Summary!K56,Summary!L56)</f>
        <v>5704064.4696414182</v>
      </c>
      <c r="J56" s="20"/>
      <c r="K56">
        <f t="shared" si="6"/>
        <v>4</v>
      </c>
      <c r="L56">
        <f t="shared" si="7"/>
        <v>7</v>
      </c>
    </row>
    <row r="57" spans="2:12" x14ac:dyDescent="0.3">
      <c r="B57" t="str">
        <f t="shared" si="1"/>
        <v>MarinusPortland</v>
      </c>
      <c r="C57" t="s">
        <v>64</v>
      </c>
      <c r="D57">
        <f t="shared" si="4"/>
        <v>0.25</v>
      </c>
      <c r="E57" t="str">
        <f t="shared" si="5"/>
        <v>Cal-28</v>
      </c>
      <c r="F57" t="s">
        <v>34</v>
      </c>
      <c r="G57" s="73" cm="1">
        <f t="array" ref="G57">INDEX(PPAcfd!$E$28:$T$35,Summary!K57,Summary!L57)</f>
        <v>-4635717.6325035151</v>
      </c>
      <c r="H57" s="73" cm="1">
        <f t="array" ref="H57">INDEX(SwapSold!$E$28:$T$35,Summary!K57,Summary!L57)</f>
        <v>-2288720.8947115894</v>
      </c>
      <c r="I57" s="20" cm="1">
        <f t="array" ref="I57">INDEX(DualFuelCM!$E$28:$T$35,Summary!K57,Summary!L57)</f>
        <v>4943205.2386132311</v>
      </c>
      <c r="J57" s="20"/>
      <c r="K57">
        <f t="shared" si="6"/>
        <v>5</v>
      </c>
      <c r="L57">
        <f t="shared" si="7"/>
        <v>7</v>
      </c>
    </row>
    <row r="58" spans="2:12" x14ac:dyDescent="0.3">
      <c r="B58" t="str">
        <f t="shared" si="1"/>
        <v>MarinusPortland</v>
      </c>
      <c r="C58" t="s">
        <v>64</v>
      </c>
      <c r="D58">
        <f t="shared" si="4"/>
        <v>0.05</v>
      </c>
      <c r="E58" t="str">
        <f t="shared" si="5"/>
        <v>Cal-28</v>
      </c>
      <c r="F58" t="s">
        <v>34</v>
      </c>
      <c r="G58" s="73" cm="1">
        <f t="array" ref="G58">INDEX(PPAcfd!$E$28:$T$35,Summary!K58,Summary!L58)</f>
        <v>-7443692.1316822292</v>
      </c>
      <c r="H58" s="73" cm="1">
        <f t="array" ref="H58">INDEX(SwapSold!$E$28:$T$35,Summary!K58,Summary!L58)</f>
        <v>-5838592.6623999272</v>
      </c>
      <c r="I58" s="20" cm="1">
        <f t="array" ref="I58">INDEX(DualFuelCM!$E$28:$T$35,Summary!K58,Summary!L58)</f>
        <v>3922390.5579896187</v>
      </c>
      <c r="J58" s="20"/>
      <c r="K58">
        <f t="shared" si="6"/>
        <v>6</v>
      </c>
      <c r="L58">
        <f t="shared" si="7"/>
        <v>7</v>
      </c>
    </row>
    <row r="59" spans="2:12" x14ac:dyDescent="0.3">
      <c r="B59" t="str">
        <f t="shared" si="1"/>
        <v>MarinusPortland</v>
      </c>
      <c r="C59" t="s">
        <v>64</v>
      </c>
      <c r="D59">
        <f t="shared" si="4"/>
        <v>0</v>
      </c>
      <c r="E59" t="str">
        <f t="shared" si="5"/>
        <v>Cal-28</v>
      </c>
      <c r="F59" t="s">
        <v>34</v>
      </c>
      <c r="G59" s="73" cm="1">
        <f t="array" ref="G59">INDEX(PPAcfd!$E$28:$T$35,Summary!K59,Summary!L59)</f>
        <v>-10321246.370392105</v>
      </c>
      <c r="H59" s="73" cm="1">
        <f t="array" ref="H59">INDEX(SwapSold!$E$28:$T$35,Summary!K59,Summary!L59)</f>
        <v>-13295062.304821184</v>
      </c>
      <c r="I59" s="20" cm="1">
        <f t="array" ref="I59">INDEX(DualFuelCM!$E$28:$T$35,Summary!K59,Summary!L59)</f>
        <v>2485600.2060880293</v>
      </c>
      <c r="J59" s="20"/>
      <c r="K59">
        <f t="shared" si="6"/>
        <v>7</v>
      </c>
      <c r="L59">
        <f t="shared" si="7"/>
        <v>7</v>
      </c>
    </row>
    <row r="60" spans="2:12" x14ac:dyDescent="0.3">
      <c r="B60" t="str">
        <f t="shared" si="1"/>
        <v>MarinusPortland</v>
      </c>
      <c r="C60" t="s">
        <v>64</v>
      </c>
      <c r="D60" t="str">
        <f t="shared" si="4"/>
        <v>avg</v>
      </c>
      <c r="E60" t="str">
        <f t="shared" si="5"/>
        <v>Cal-28</v>
      </c>
      <c r="F60" t="s">
        <v>34</v>
      </c>
      <c r="G60" s="73" cm="1">
        <f t="array" ref="G60">INDEX(PPAcfd!$E$28:$T$35,Summary!K60,Summary!L60)</f>
        <v>-1815795.4897569402</v>
      </c>
      <c r="H60" s="73" cm="1">
        <f t="array" ref="H60">INDEX(SwapSold!$E$28:$T$35,Summary!K60,Summary!L60)</f>
        <v>-101048.17129290028</v>
      </c>
      <c r="I60" s="20" cm="1">
        <f t="array" ref="I60">INDEX(DualFuelCM!$E$28:$T$35,Summary!K60,Summary!L60)</f>
        <v>5772623.7373809349</v>
      </c>
      <c r="J60" s="20"/>
      <c r="K60">
        <f t="shared" si="6"/>
        <v>8</v>
      </c>
      <c r="L60">
        <f t="shared" si="7"/>
        <v>7</v>
      </c>
    </row>
    <row r="61" spans="2:12" x14ac:dyDescent="0.3">
      <c r="B61" t="str">
        <f t="shared" si="1"/>
        <v>MarinusPortland</v>
      </c>
      <c r="C61" t="s">
        <v>64</v>
      </c>
      <c r="D61">
        <f t="shared" si="4"/>
        <v>1</v>
      </c>
      <c r="E61" t="s">
        <v>10</v>
      </c>
      <c r="F61" t="s">
        <v>34</v>
      </c>
      <c r="G61" s="73" cm="1">
        <f t="array" ref="G61">INDEX(PPAcfd!$E$28:$T$35,Summary!K61,Summary!L61)</f>
        <v>16416573.711353535</v>
      </c>
      <c r="H61" s="73" cm="1">
        <f t="array" ref="H61">INDEX(SwapSold!$E$28:$T$35,Summary!K61,Summary!L61)</f>
        <v>12214883.419456434</v>
      </c>
      <c r="I61" s="20" cm="1">
        <f t="array" ref="I61">INDEX(DualFuelCM!$E$28:$T$35,Summary!K61,Summary!L61)</f>
        <v>13755499.256638283</v>
      </c>
      <c r="J61" s="20"/>
      <c r="K61">
        <f t="shared" si="6"/>
        <v>1</v>
      </c>
      <c r="L61">
        <f t="shared" si="7"/>
        <v>8</v>
      </c>
    </row>
    <row r="62" spans="2:12" x14ac:dyDescent="0.3">
      <c r="B62" t="str">
        <f t="shared" si="1"/>
        <v>MarinusPortland</v>
      </c>
      <c r="C62" t="s">
        <v>64</v>
      </c>
      <c r="D62">
        <f t="shared" si="4"/>
        <v>0.95</v>
      </c>
      <c r="E62" t="str">
        <f t="shared" si="5"/>
        <v>Cal-29</v>
      </c>
      <c r="F62" t="s">
        <v>34</v>
      </c>
      <c r="G62" s="73" cm="1">
        <f t="array" ref="G62">INDEX(PPAcfd!$E$28:$T$35,Summary!K62,Summary!L62)</f>
        <v>6605204.4125064295</v>
      </c>
      <c r="H62" s="73" cm="1">
        <f t="array" ref="H62">INDEX(SwapSold!$E$28:$T$35,Summary!K62,Summary!L62)</f>
        <v>5771698.2735815914</v>
      </c>
      <c r="I62" s="20" cm="1">
        <f t="array" ref="I62">INDEX(DualFuelCM!$E$28:$T$35,Summary!K62,Summary!L62)</f>
        <v>8525102.2746409122</v>
      </c>
      <c r="J62" s="20"/>
      <c r="K62">
        <f t="shared" si="6"/>
        <v>2</v>
      </c>
      <c r="L62">
        <f t="shared" si="7"/>
        <v>8</v>
      </c>
    </row>
    <row r="63" spans="2:12" x14ac:dyDescent="0.3">
      <c r="B63" t="str">
        <f t="shared" si="1"/>
        <v>MarinusPortland</v>
      </c>
      <c r="C63" t="s">
        <v>64</v>
      </c>
      <c r="D63">
        <f t="shared" si="4"/>
        <v>0.75</v>
      </c>
      <c r="E63" t="str">
        <f t="shared" si="5"/>
        <v>Cal-29</v>
      </c>
      <c r="F63" t="s">
        <v>34</v>
      </c>
      <c r="G63" s="73" cm="1">
        <f t="array" ref="G63">INDEX(PPAcfd!$E$28:$T$35,Summary!K63,Summary!L63)</f>
        <v>1446894.0205003924</v>
      </c>
      <c r="H63" s="73" cm="1">
        <f t="array" ref="H63">INDEX(SwapSold!$E$28:$T$35,Summary!K63,Summary!L63)</f>
        <v>2400154.0467617302</v>
      </c>
      <c r="I63" s="20" cm="1">
        <f t="array" ref="I63">INDEX(DualFuelCM!$E$28:$T$35,Summary!K63,Summary!L63)</f>
        <v>6871167.8063621167</v>
      </c>
      <c r="J63" s="20"/>
      <c r="K63">
        <f t="shared" si="6"/>
        <v>3</v>
      </c>
      <c r="L63">
        <f t="shared" si="7"/>
        <v>8</v>
      </c>
    </row>
    <row r="64" spans="2:12" x14ac:dyDescent="0.3">
      <c r="B64" t="str">
        <f t="shared" si="1"/>
        <v>MarinusPortland</v>
      </c>
      <c r="C64" t="s">
        <v>64</v>
      </c>
      <c r="D64">
        <f t="shared" si="4"/>
        <v>0.5</v>
      </c>
      <c r="E64" t="str">
        <f t="shared" si="5"/>
        <v>Cal-29</v>
      </c>
      <c r="F64" t="s">
        <v>34</v>
      </c>
      <c r="G64" s="73" cm="1">
        <f t="array" ref="G64">INDEX(PPAcfd!$E$28:$T$35,Summary!K64,Summary!L64)</f>
        <v>-1422851.1473726921</v>
      </c>
      <c r="H64" s="73" cm="1">
        <f t="array" ref="H64">INDEX(SwapSold!$E$28:$T$35,Summary!K64,Summary!L64)</f>
        <v>-21509.658641293328</v>
      </c>
      <c r="I64" s="20" cm="1">
        <f t="array" ref="I64">INDEX(DualFuelCM!$E$28:$T$35,Summary!K64,Summary!L64)</f>
        <v>5970819.0529992385</v>
      </c>
      <c r="J64" s="20"/>
      <c r="K64">
        <f t="shared" si="6"/>
        <v>4</v>
      </c>
      <c r="L64">
        <f t="shared" si="7"/>
        <v>8</v>
      </c>
    </row>
    <row r="65" spans="2:12" x14ac:dyDescent="0.3">
      <c r="B65" t="str">
        <f t="shared" si="1"/>
        <v>MarinusPortland</v>
      </c>
      <c r="C65" t="s">
        <v>64</v>
      </c>
      <c r="D65">
        <f t="shared" si="4"/>
        <v>0.25</v>
      </c>
      <c r="E65" t="str">
        <f t="shared" si="5"/>
        <v>Cal-29</v>
      </c>
      <c r="F65" t="s">
        <v>34</v>
      </c>
      <c r="G65" s="73" cm="1">
        <f t="array" ref="G65">INDEX(PPAcfd!$E$28:$T$35,Summary!K65,Summary!L65)</f>
        <v>-3938384.9869741341</v>
      </c>
      <c r="H65" s="73" cm="1">
        <f t="array" ref="H65">INDEX(SwapSold!$E$28:$T$35,Summary!K65,Summary!L65)</f>
        <v>-2692375.1847101087</v>
      </c>
      <c r="I65" s="20" cm="1">
        <f t="array" ref="I65">INDEX(DualFuelCM!$E$28:$T$35,Summary!K65,Summary!L65)</f>
        <v>5120064.8421317963</v>
      </c>
      <c r="J65" s="20"/>
      <c r="K65">
        <f t="shared" si="6"/>
        <v>5</v>
      </c>
      <c r="L65">
        <f t="shared" si="7"/>
        <v>8</v>
      </c>
    </row>
    <row r="66" spans="2:12" x14ac:dyDescent="0.3">
      <c r="B66" t="str">
        <f t="shared" si="1"/>
        <v>MarinusPortland</v>
      </c>
      <c r="C66" t="s">
        <v>64</v>
      </c>
      <c r="D66">
        <f t="shared" si="4"/>
        <v>0.05</v>
      </c>
      <c r="E66" t="str">
        <f t="shared" si="5"/>
        <v>Cal-29</v>
      </c>
      <c r="F66" t="s">
        <v>34</v>
      </c>
      <c r="G66" s="73" cm="1">
        <f t="array" ref="G66">INDEX(PPAcfd!$E$28:$T$35,Summary!K66,Summary!L66)</f>
        <v>-6788811.1834711172</v>
      </c>
      <c r="H66" s="73" cm="1">
        <f t="array" ref="H66">INDEX(SwapSold!$E$28:$T$35,Summary!K66,Summary!L66)</f>
        <v>-6531736.3569507189</v>
      </c>
      <c r="I66" s="20" cm="1">
        <f t="array" ref="I66">INDEX(DualFuelCM!$E$28:$T$35,Summary!K66,Summary!L66)</f>
        <v>4097592.1186092477</v>
      </c>
      <c r="J66" s="20"/>
      <c r="K66">
        <f t="shared" si="6"/>
        <v>6</v>
      </c>
      <c r="L66">
        <f t="shared" si="7"/>
        <v>8</v>
      </c>
    </row>
    <row r="67" spans="2:12" x14ac:dyDescent="0.3">
      <c r="B67" t="str">
        <f t="shared" si="1"/>
        <v>MarinusPortland</v>
      </c>
      <c r="C67" t="s">
        <v>64</v>
      </c>
      <c r="D67">
        <f t="shared" si="4"/>
        <v>0</v>
      </c>
      <c r="E67" t="str">
        <f t="shared" ref="E67:E119" si="8">E66</f>
        <v>Cal-29</v>
      </c>
      <c r="F67" t="s">
        <v>34</v>
      </c>
      <c r="G67" s="73" cm="1">
        <f t="array" ref="G67">INDEX(PPAcfd!$E$28:$T$35,Summary!K67,Summary!L67)</f>
        <v>-11147496.83599486</v>
      </c>
      <c r="H67" s="73" cm="1">
        <f t="array" ref="H67">INDEX(SwapSold!$E$28:$T$35,Summary!K67,Summary!L67)</f>
        <v>-15968257.4606882</v>
      </c>
      <c r="I67" s="20" cm="1">
        <f t="array" ref="I67">INDEX(DualFuelCM!$E$28:$T$35,Summary!K67,Summary!L67)</f>
        <v>2052224.7994884674</v>
      </c>
      <c r="J67" s="20"/>
      <c r="K67">
        <f t="shared" si="6"/>
        <v>7</v>
      </c>
      <c r="L67">
        <f t="shared" si="7"/>
        <v>8</v>
      </c>
    </row>
    <row r="68" spans="2:12" x14ac:dyDescent="0.3">
      <c r="B68" t="str">
        <f t="shared" si="1"/>
        <v>MarinusPortland</v>
      </c>
      <c r="C68" t="s">
        <v>64</v>
      </c>
      <c r="D68" t="str">
        <f t="shared" si="4"/>
        <v>avg</v>
      </c>
      <c r="E68" t="str">
        <f t="shared" si="8"/>
        <v>Cal-29</v>
      </c>
      <c r="F68" t="s">
        <v>34</v>
      </c>
      <c r="G68" s="73" cm="1">
        <f t="array" ref="G68">INDEX(PPAcfd!$E$28:$T$35,Summary!K68,Summary!L68)</f>
        <v>-1017094.1755379711</v>
      </c>
      <c r="H68" s="73" cm="1">
        <f t="array" ref="H68">INDEX(SwapSold!$E$28:$T$35,Summary!K68,Summary!L68)</f>
        <v>-172678.6399866314</v>
      </c>
      <c r="I68" s="20" cm="1">
        <f t="array" ref="I68">INDEX(DualFuelCM!$E$28:$T$35,Summary!K68,Summary!L68)</f>
        <v>6080932.0282908678</v>
      </c>
      <c r="J68" s="20"/>
      <c r="K68">
        <f t="shared" si="6"/>
        <v>8</v>
      </c>
      <c r="L68">
        <f t="shared" si="7"/>
        <v>8</v>
      </c>
    </row>
    <row r="69" spans="2:12" x14ac:dyDescent="0.3">
      <c r="B69" t="str">
        <f t="shared" si="1"/>
        <v>MarinusPortland</v>
      </c>
      <c r="C69" t="s">
        <v>64</v>
      </c>
      <c r="D69">
        <f t="shared" si="4"/>
        <v>1</v>
      </c>
      <c r="E69" t="s">
        <v>11</v>
      </c>
      <c r="F69" t="s">
        <v>34</v>
      </c>
      <c r="G69" s="73" cm="1">
        <f t="array" ref="G69">INDEX(PPAcfd!$E$28:$T$35,Summary!K69,Summary!L69)</f>
        <v>15656147.491762327</v>
      </c>
      <c r="H69" s="73" cm="1">
        <f t="array" ref="H69">INDEX(SwapSold!$E$28:$T$35,Summary!K69,Summary!L69)</f>
        <v>11597644.230425859</v>
      </c>
      <c r="I69" s="20" cm="1">
        <f t="array" ref="I69">INDEX(DualFuelCM!$E$28:$T$35,Summary!K69,Summary!L69)</f>
        <v>10963263.513034655</v>
      </c>
      <c r="J69" s="20"/>
      <c r="K69">
        <f t="shared" si="6"/>
        <v>1</v>
      </c>
      <c r="L69">
        <f t="shared" ref="L69:L100" si="9">VLOOKUP(E69,$R$5:$S$20,2,FALSE)</f>
        <v>9</v>
      </c>
    </row>
    <row r="70" spans="2:12" x14ac:dyDescent="0.3">
      <c r="B70" t="str">
        <f t="shared" si="1"/>
        <v>MarinusPortland</v>
      </c>
      <c r="C70" t="s">
        <v>64</v>
      </c>
      <c r="D70">
        <f t="shared" si="4"/>
        <v>0.95</v>
      </c>
      <c r="E70" t="str">
        <f t="shared" si="8"/>
        <v>Cal-30</v>
      </c>
      <c r="F70" t="s">
        <v>34</v>
      </c>
      <c r="G70" s="73" cm="1">
        <f t="array" ref="G70">INDEX(PPAcfd!$E$28:$T$35,Summary!K70,Summary!L70)</f>
        <v>7148719.1713374928</v>
      </c>
      <c r="H70" s="73" cm="1">
        <f t="array" ref="H70">INDEX(SwapSold!$E$28:$T$35,Summary!K70,Summary!L70)</f>
        <v>5897538.5327206925</v>
      </c>
      <c r="I70" s="20" cm="1">
        <f t="array" ref="I70">INDEX(DualFuelCM!$E$28:$T$35,Summary!K70,Summary!L70)</f>
        <v>8471758.5748681761</v>
      </c>
      <c r="J70" s="20"/>
      <c r="K70">
        <f t="shared" si="6"/>
        <v>2</v>
      </c>
      <c r="L70">
        <f t="shared" si="9"/>
        <v>9</v>
      </c>
    </row>
    <row r="71" spans="2:12" x14ac:dyDescent="0.3">
      <c r="B71" t="str">
        <f t="shared" si="1"/>
        <v>MarinusPortland</v>
      </c>
      <c r="C71" t="s">
        <v>64</v>
      </c>
      <c r="D71">
        <f t="shared" si="4"/>
        <v>0.75</v>
      </c>
      <c r="E71" t="str">
        <f t="shared" si="8"/>
        <v>Cal-30</v>
      </c>
      <c r="F71" t="s">
        <v>34</v>
      </c>
      <c r="G71" s="73" cm="1">
        <f t="array" ref="G71">INDEX(PPAcfd!$E$28:$T$35,Summary!K71,Summary!L71)</f>
        <v>1632475.7398351033</v>
      </c>
      <c r="H71" s="73" cm="1">
        <f t="array" ref="H71">INDEX(SwapSold!$E$28:$T$35,Summary!K71,Summary!L71)</f>
        <v>2574591.9525325187</v>
      </c>
      <c r="I71" s="20" cm="1">
        <f t="array" ref="I71">INDEX(DualFuelCM!$E$28:$T$35,Summary!K71,Summary!L71)</f>
        <v>6814363.8715119809</v>
      </c>
      <c r="J71" s="20"/>
      <c r="K71">
        <f t="shared" si="6"/>
        <v>3</v>
      </c>
      <c r="L71">
        <f t="shared" si="9"/>
        <v>9</v>
      </c>
    </row>
    <row r="72" spans="2:12" x14ac:dyDescent="0.3">
      <c r="B72" t="str">
        <f t="shared" si="1"/>
        <v>MarinusPortland</v>
      </c>
      <c r="C72" t="s">
        <v>64</v>
      </c>
      <c r="D72">
        <f t="shared" si="4"/>
        <v>0.5</v>
      </c>
      <c r="E72" t="str">
        <f t="shared" si="8"/>
        <v>Cal-30</v>
      </c>
      <c r="F72" t="s">
        <v>34</v>
      </c>
      <c r="G72" s="73" cm="1">
        <f t="array" ref="G72">INDEX(PPAcfd!$E$28:$T$35,Summary!K72,Summary!L72)</f>
        <v>-1639773.4038182318</v>
      </c>
      <c r="H72" s="73" cm="1">
        <f t="array" ref="H72">INDEX(SwapSold!$E$28:$T$35,Summary!K72,Summary!L72)</f>
        <v>-700.95791172732049</v>
      </c>
      <c r="I72" s="20" cm="1">
        <f t="array" ref="I72">INDEX(DualFuelCM!$E$28:$T$35,Summary!K72,Summary!L72)</f>
        <v>5869058.3176879687</v>
      </c>
      <c r="J72" s="20"/>
      <c r="K72">
        <f t="shared" si="6"/>
        <v>4</v>
      </c>
      <c r="L72">
        <f t="shared" si="9"/>
        <v>9</v>
      </c>
    </row>
    <row r="73" spans="2:12" x14ac:dyDescent="0.3">
      <c r="B73" t="str">
        <f t="shared" si="1"/>
        <v>MarinusPortland</v>
      </c>
      <c r="C73" t="s">
        <v>64</v>
      </c>
      <c r="D73">
        <f t="shared" si="4"/>
        <v>0.25</v>
      </c>
      <c r="E73" t="str">
        <f t="shared" si="8"/>
        <v>Cal-30</v>
      </c>
      <c r="F73" t="s">
        <v>34</v>
      </c>
      <c r="G73" s="73" cm="1">
        <f t="array" ref="G73">INDEX(PPAcfd!$E$28:$T$35,Summary!K73,Summary!L73)</f>
        <v>-4181822.0727730361</v>
      </c>
      <c r="H73" s="73" cm="1">
        <f t="array" ref="H73">INDEX(SwapSold!$E$28:$T$35,Summary!K73,Summary!L73)</f>
        <v>-2825250.8715586932</v>
      </c>
      <c r="I73" s="20" cm="1">
        <f t="array" ref="I73">INDEX(DualFuelCM!$E$28:$T$35,Summary!K73,Summary!L73)</f>
        <v>5018330.4985661814</v>
      </c>
      <c r="J73" s="20"/>
      <c r="K73">
        <f t="shared" si="6"/>
        <v>5</v>
      </c>
      <c r="L73">
        <f t="shared" si="9"/>
        <v>9</v>
      </c>
    </row>
    <row r="74" spans="2:12" x14ac:dyDescent="0.3">
      <c r="B74" t="str">
        <f t="shared" si="1"/>
        <v>MarinusPortland</v>
      </c>
      <c r="C74" t="s">
        <v>64</v>
      </c>
      <c r="D74">
        <f t="shared" si="4"/>
        <v>0.05</v>
      </c>
      <c r="E74" t="str">
        <f t="shared" si="8"/>
        <v>Cal-30</v>
      </c>
      <c r="F74" t="s">
        <v>34</v>
      </c>
      <c r="G74" s="73" cm="1">
        <f t="array" ref="G74">INDEX(PPAcfd!$E$28:$T$35,Summary!K74,Summary!L74)</f>
        <v>-7563644.1725519486</v>
      </c>
      <c r="H74" s="73" cm="1">
        <f t="array" ref="H74">INDEX(SwapSold!$E$28:$T$35,Summary!K74,Summary!L74)</f>
        <v>-7185939.2630695021</v>
      </c>
      <c r="I74" s="20" cm="1">
        <f t="array" ref="I74">INDEX(DualFuelCM!$E$28:$T$35,Summary!K74,Summary!L74)</f>
        <v>3902929.6680532512</v>
      </c>
      <c r="J74" s="20"/>
      <c r="K74">
        <f t="shared" si="6"/>
        <v>6</v>
      </c>
      <c r="L74">
        <f t="shared" si="9"/>
        <v>9</v>
      </c>
    </row>
    <row r="75" spans="2:12" x14ac:dyDescent="0.3">
      <c r="B75" t="str">
        <f t="shared" si="1"/>
        <v>MarinusPortland</v>
      </c>
      <c r="C75" t="s">
        <v>64</v>
      </c>
      <c r="D75">
        <f t="shared" si="4"/>
        <v>0</v>
      </c>
      <c r="E75" t="str">
        <f t="shared" si="8"/>
        <v>Cal-30</v>
      </c>
      <c r="F75" t="s">
        <v>34</v>
      </c>
      <c r="G75" s="73" cm="1">
        <f t="array" ref="G75">INDEX(PPAcfd!$E$28:$T$35,Summary!K75,Summary!L75)</f>
        <v>-10923820.989063902</v>
      </c>
      <c r="H75" s="73" cm="1">
        <f t="array" ref="H75">INDEX(SwapSold!$E$28:$T$35,Summary!K75,Summary!L75)</f>
        <v>-16844391.822619341</v>
      </c>
      <c r="I75" s="20" cm="1">
        <f t="array" ref="I75">INDEX(DualFuelCM!$E$28:$T$35,Summary!K75,Summary!L75)</f>
        <v>2323442.7718474972</v>
      </c>
      <c r="J75" s="20"/>
      <c r="K75">
        <f t="shared" si="6"/>
        <v>7</v>
      </c>
      <c r="L75">
        <f t="shared" si="9"/>
        <v>9</v>
      </c>
    </row>
    <row r="76" spans="2:12" x14ac:dyDescent="0.3">
      <c r="B76" t="str">
        <f t="shared" si="1"/>
        <v>MarinusPortland</v>
      </c>
      <c r="C76" t="s">
        <v>64</v>
      </c>
      <c r="D76" t="str">
        <f t="shared" si="4"/>
        <v>avg</v>
      </c>
      <c r="E76" t="str">
        <f t="shared" si="8"/>
        <v>Cal-30</v>
      </c>
      <c r="F76" t="s">
        <v>34</v>
      </c>
      <c r="G76" s="73" cm="1">
        <f t="array" ref="G76">INDEX(PPAcfd!$E$28:$T$35,Summary!K76,Summary!L76)</f>
        <v>-1093677.876296662</v>
      </c>
      <c r="H76" s="73" cm="1">
        <f t="array" ref="H76">INDEX(SwapSold!$E$28:$T$35,Summary!K76,Summary!L76)</f>
        <v>-220152.29276093279</v>
      </c>
      <c r="I76" s="20" cm="1">
        <f t="array" ref="I76">INDEX(DualFuelCM!$E$28:$T$35,Summary!K76,Summary!L76)</f>
        <v>5969394.7646103185</v>
      </c>
      <c r="J76" s="20"/>
      <c r="K76">
        <f t="shared" si="6"/>
        <v>8</v>
      </c>
      <c r="L76">
        <f t="shared" si="9"/>
        <v>9</v>
      </c>
    </row>
    <row r="77" spans="2:12" x14ac:dyDescent="0.3">
      <c r="B77" t="str">
        <f t="shared" si="1"/>
        <v>MarinusPortland</v>
      </c>
      <c r="C77" t="s">
        <v>64</v>
      </c>
      <c r="D77">
        <f t="shared" si="4"/>
        <v>1</v>
      </c>
      <c r="E77" t="s">
        <v>12</v>
      </c>
      <c r="F77" t="s">
        <v>34</v>
      </c>
      <c r="G77" s="73" cm="1">
        <f t="array" ref="G77">INDEX(PPAcfd!$E$28:$T$35,Summary!K77,Summary!L77)</f>
        <v>19903436.755312122</v>
      </c>
      <c r="H77" s="73" cm="1">
        <f t="array" ref="H77">INDEX(SwapSold!$E$28:$T$35,Summary!K77,Summary!L77)</f>
        <v>16048624.034002012</v>
      </c>
      <c r="I77" s="20" cm="1">
        <f t="array" ref="I77">INDEX(DualFuelCM!$E$28:$T$35,Summary!K77,Summary!L77)</f>
        <v>13256226.749818075</v>
      </c>
      <c r="J77" s="20"/>
      <c r="K77">
        <f t="shared" si="6"/>
        <v>1</v>
      </c>
      <c r="L77">
        <f t="shared" si="9"/>
        <v>10</v>
      </c>
    </row>
    <row r="78" spans="2:12" x14ac:dyDescent="0.3">
      <c r="B78" t="str">
        <f t="shared" si="1"/>
        <v>MarinusPortland</v>
      </c>
      <c r="C78" t="s">
        <v>64</v>
      </c>
      <c r="D78">
        <f t="shared" si="4"/>
        <v>0.95</v>
      </c>
      <c r="E78" t="str">
        <f t="shared" si="8"/>
        <v>Cal-31</v>
      </c>
      <c r="F78" t="s">
        <v>34</v>
      </c>
      <c r="G78" s="73" cm="1">
        <f t="array" ref="G78">INDEX(PPAcfd!$E$28:$T$35,Summary!K78,Summary!L78)</f>
        <v>6988277.3993282923</v>
      </c>
      <c r="H78" s="73" cm="1">
        <f t="array" ref="H78">INDEX(SwapSold!$E$28:$T$35,Summary!K78,Summary!L78)</f>
        <v>7319410.7111703753</v>
      </c>
      <c r="I78" s="20" cm="1">
        <f t="array" ref="I78">INDEX(DualFuelCM!$E$28:$T$35,Summary!K78,Summary!L78)</f>
        <v>8772971.5592536144</v>
      </c>
      <c r="J78" s="20"/>
      <c r="K78">
        <f t="shared" si="6"/>
        <v>2</v>
      </c>
      <c r="L78">
        <f t="shared" si="9"/>
        <v>10</v>
      </c>
    </row>
    <row r="79" spans="2:12" x14ac:dyDescent="0.3">
      <c r="B79" t="str">
        <f t="shared" si="1"/>
        <v>MarinusPortland</v>
      </c>
      <c r="C79" t="s">
        <v>64</v>
      </c>
      <c r="D79">
        <f t="shared" si="4"/>
        <v>0.75</v>
      </c>
      <c r="E79" t="str">
        <f t="shared" si="8"/>
        <v>Cal-31</v>
      </c>
      <c r="F79" t="s">
        <v>34</v>
      </c>
      <c r="G79" s="73" cm="1">
        <f t="array" ref="G79">INDEX(PPAcfd!$E$28:$T$35,Summary!K79,Summary!L79)</f>
        <v>2009461.7223529855</v>
      </c>
      <c r="H79" s="73" cm="1">
        <f t="array" ref="H79">INDEX(SwapSold!$E$28:$T$35,Summary!K79,Summary!L79)</f>
        <v>3183799.6713941144</v>
      </c>
      <c r="I79" s="20" cm="1">
        <f t="array" ref="I79">INDEX(DualFuelCM!$E$28:$T$35,Summary!K79,Summary!L79)</f>
        <v>6999487.5163088944</v>
      </c>
      <c r="J79" s="20"/>
      <c r="K79">
        <f t="shared" si="6"/>
        <v>3</v>
      </c>
      <c r="L79">
        <f t="shared" si="9"/>
        <v>10</v>
      </c>
    </row>
    <row r="80" spans="2:12" x14ac:dyDescent="0.3">
      <c r="B80" t="str">
        <f t="shared" si="1"/>
        <v>MarinusPortland</v>
      </c>
      <c r="C80" t="s">
        <v>64</v>
      </c>
      <c r="D80">
        <f t="shared" si="4"/>
        <v>0.5</v>
      </c>
      <c r="E80" t="str">
        <f t="shared" si="8"/>
        <v>Cal-31</v>
      </c>
      <c r="F80" t="s">
        <v>34</v>
      </c>
      <c r="G80" s="73" cm="1">
        <f t="array" ref="G80">INDEX(PPAcfd!$E$28:$T$35,Summary!K80,Summary!L80)</f>
        <v>-1331513.4535291225</v>
      </c>
      <c r="H80" s="73" cm="1">
        <f t="array" ref="H80">INDEX(SwapSold!$E$28:$T$35,Summary!K80,Summary!L80)</f>
        <v>-574.24896118991023</v>
      </c>
      <c r="I80" s="20" cm="1">
        <f t="array" ref="I80">INDEX(DualFuelCM!$E$28:$T$35,Summary!K80,Summary!L80)</f>
        <v>6082478.4508343497</v>
      </c>
      <c r="J80" s="20"/>
      <c r="K80">
        <f t="shared" si="6"/>
        <v>4</v>
      </c>
      <c r="L80">
        <f t="shared" si="9"/>
        <v>10</v>
      </c>
    </row>
    <row r="81" spans="2:12" x14ac:dyDescent="0.3">
      <c r="B81" t="str">
        <f t="shared" si="1"/>
        <v>MarinusPortland</v>
      </c>
      <c r="C81" t="s">
        <v>64</v>
      </c>
      <c r="D81">
        <f t="shared" si="4"/>
        <v>0.25</v>
      </c>
      <c r="E81" t="str">
        <f t="shared" si="8"/>
        <v>Cal-31</v>
      </c>
      <c r="F81" t="s">
        <v>34</v>
      </c>
      <c r="G81" s="73" cm="1">
        <f t="array" ref="G81">INDEX(PPAcfd!$E$28:$T$35,Summary!K81,Summary!L81)</f>
        <v>-4156992.3580149505</v>
      </c>
      <c r="H81" s="73" cm="1">
        <f t="array" ref="H81">INDEX(SwapSold!$E$28:$T$35,Summary!K81,Summary!L81)</f>
        <v>-3391208.5692786914</v>
      </c>
      <c r="I81" s="20" cm="1">
        <f t="array" ref="I81">INDEX(DualFuelCM!$E$28:$T$35,Summary!K81,Summary!L81)</f>
        <v>5248554.7509970022</v>
      </c>
      <c r="J81" s="20"/>
      <c r="K81">
        <f t="shared" si="6"/>
        <v>5</v>
      </c>
      <c r="L81">
        <f t="shared" si="9"/>
        <v>10</v>
      </c>
    </row>
    <row r="82" spans="2:12" x14ac:dyDescent="0.3">
      <c r="B82" t="str">
        <f t="shared" si="1"/>
        <v>MarinusPortland</v>
      </c>
      <c r="C82" t="s">
        <v>64</v>
      </c>
      <c r="D82">
        <f t="shared" si="4"/>
        <v>0.05</v>
      </c>
      <c r="E82" t="str">
        <f t="shared" si="8"/>
        <v>Cal-31</v>
      </c>
      <c r="F82" t="s">
        <v>34</v>
      </c>
      <c r="G82" s="73" cm="1">
        <f t="array" ref="G82">INDEX(PPAcfd!$E$28:$T$35,Summary!K82,Summary!L82)</f>
        <v>-7145211.1888805712</v>
      </c>
      <c r="H82" s="73" cm="1">
        <f t="array" ref="H82">INDEX(SwapSold!$E$28:$T$35,Summary!K82,Summary!L82)</f>
        <v>-8700319.4330287892</v>
      </c>
      <c r="I82" s="20" cm="1">
        <f t="array" ref="I82">INDEX(DualFuelCM!$E$28:$T$35,Summary!K82,Summary!L82)</f>
        <v>4182478.1375122978</v>
      </c>
      <c r="J82" s="20"/>
      <c r="K82">
        <f t="shared" si="6"/>
        <v>6</v>
      </c>
      <c r="L82">
        <f t="shared" si="9"/>
        <v>10</v>
      </c>
    </row>
    <row r="83" spans="2:12" x14ac:dyDescent="0.3">
      <c r="B83" t="str">
        <f t="shared" si="1"/>
        <v>MarinusPortland</v>
      </c>
      <c r="C83" t="s">
        <v>64</v>
      </c>
      <c r="D83">
        <f t="shared" si="4"/>
        <v>0</v>
      </c>
      <c r="E83" t="str">
        <f t="shared" si="8"/>
        <v>Cal-31</v>
      </c>
      <c r="F83" t="s">
        <v>34</v>
      </c>
      <c r="G83" s="73" cm="1">
        <f t="array" ref="G83">INDEX(PPAcfd!$E$28:$T$35,Summary!K83,Summary!L83)</f>
        <v>-11518585.64704437</v>
      </c>
      <c r="H83" s="73" cm="1">
        <f t="array" ref="H83">INDEX(SwapSold!$E$28:$T$35,Summary!K83,Summary!L83)</f>
        <v>-18861587.799728066</v>
      </c>
      <c r="I83" s="20" cm="1">
        <f t="array" ref="I83">INDEX(DualFuelCM!$E$28:$T$35,Summary!K83,Summary!L83)</f>
        <v>2276107.1547318092</v>
      </c>
      <c r="J83" s="20"/>
      <c r="K83">
        <f t="shared" si="6"/>
        <v>7</v>
      </c>
      <c r="L83">
        <f t="shared" si="9"/>
        <v>10</v>
      </c>
    </row>
    <row r="84" spans="2:12" x14ac:dyDescent="0.3">
      <c r="B84" t="str">
        <f t="shared" si="1"/>
        <v>MarinusPortland</v>
      </c>
      <c r="C84" t="s">
        <v>64</v>
      </c>
      <c r="D84" t="str">
        <f t="shared" si="4"/>
        <v>avg</v>
      </c>
      <c r="E84" t="str">
        <f t="shared" si="8"/>
        <v>Cal-31</v>
      </c>
      <c r="F84" t="s">
        <v>34</v>
      </c>
      <c r="G84" s="73" cm="1">
        <f t="array" ref="G84">INDEX(PPAcfd!$E$28:$T$35,Summary!K84,Summary!L84)</f>
        <v>-864337.68841649778</v>
      </c>
      <c r="H84" s="73" cm="1">
        <f t="array" ref="H84">INDEX(SwapSold!$E$28:$T$35,Summary!K84,Summary!L84)</f>
        <v>-240764.57333132531</v>
      </c>
      <c r="I84" s="20" cm="1">
        <f t="array" ref="I84">INDEX(DualFuelCM!$E$28:$T$35,Summary!K84,Summary!L84)</f>
        <v>6201391.84262635</v>
      </c>
      <c r="J84" s="20"/>
      <c r="K84">
        <f t="shared" si="6"/>
        <v>8</v>
      </c>
      <c r="L84">
        <f t="shared" si="9"/>
        <v>10</v>
      </c>
    </row>
    <row r="85" spans="2:12" x14ac:dyDescent="0.3">
      <c r="B85" t="str">
        <f t="shared" si="1"/>
        <v>MarinusPortland</v>
      </c>
      <c r="C85" t="s">
        <v>64</v>
      </c>
      <c r="D85">
        <f t="shared" si="4"/>
        <v>1</v>
      </c>
      <c r="E85" t="s">
        <v>13</v>
      </c>
      <c r="F85" t="s">
        <v>34</v>
      </c>
      <c r="G85" s="73" cm="1">
        <f t="array" ref="G85">INDEX(PPAcfd!$E$28:$T$35,Summary!K85,Summary!L85)</f>
        <v>14778993.492223972</v>
      </c>
      <c r="H85" s="73" cm="1">
        <f t="array" ref="H85">INDEX(SwapSold!$E$28:$T$35,Summary!K85,Summary!L85)</f>
        <v>14936568.197557278</v>
      </c>
      <c r="I85" s="20" cm="1">
        <f t="array" ref="I85">INDEX(DualFuelCM!$E$28:$T$35,Summary!K85,Summary!L85)</f>
        <v>12392517.751368126</v>
      </c>
      <c r="J85" s="20"/>
      <c r="K85">
        <f t="shared" si="6"/>
        <v>1</v>
      </c>
      <c r="L85">
        <f t="shared" si="9"/>
        <v>11</v>
      </c>
    </row>
    <row r="86" spans="2:12" x14ac:dyDescent="0.3">
      <c r="B86" t="str">
        <f t="shared" si="1"/>
        <v>MarinusPortland</v>
      </c>
      <c r="C86" t="s">
        <v>64</v>
      </c>
      <c r="D86">
        <f t="shared" si="4"/>
        <v>0.95</v>
      </c>
      <c r="E86" t="str">
        <f t="shared" si="8"/>
        <v>Cal-32</v>
      </c>
      <c r="F86" t="s">
        <v>34</v>
      </c>
      <c r="G86" s="73" cm="1">
        <f t="array" ref="G86">INDEX(PPAcfd!$E$28:$T$35,Summary!K86,Summary!L86)</f>
        <v>3844419.7147929971</v>
      </c>
      <c r="H86" s="73" cm="1">
        <f t="array" ref="H86">INDEX(SwapSold!$E$28:$T$35,Summary!K86,Summary!L86)</f>
        <v>7060266.2572589591</v>
      </c>
      <c r="I86" s="20" cm="1">
        <f t="array" ref="I86">INDEX(DualFuelCM!$E$28:$T$35,Summary!K86,Summary!L86)</f>
        <v>8248101.3934217738</v>
      </c>
      <c r="J86" s="20"/>
      <c r="K86">
        <f t="shared" si="6"/>
        <v>2</v>
      </c>
      <c r="L86">
        <f t="shared" si="9"/>
        <v>11</v>
      </c>
    </row>
    <row r="87" spans="2:12" x14ac:dyDescent="0.3">
      <c r="B87" t="str">
        <f t="shared" si="1"/>
        <v>MarinusPortland</v>
      </c>
      <c r="C87" t="s">
        <v>64</v>
      </c>
      <c r="D87">
        <f t="shared" si="4"/>
        <v>0.75</v>
      </c>
      <c r="E87" t="str">
        <f t="shared" si="8"/>
        <v>Cal-32</v>
      </c>
      <c r="F87" t="s">
        <v>34</v>
      </c>
      <c r="G87" s="73" cm="1">
        <f t="array" ref="G87">INDEX(PPAcfd!$E$28:$T$35,Summary!K87,Summary!L87)</f>
        <v>-526661.49556749419</v>
      </c>
      <c r="H87" s="73" cm="1">
        <f t="array" ref="H87">INDEX(SwapSold!$E$28:$T$35,Summary!K87,Summary!L87)</f>
        <v>3105139.3178287721</v>
      </c>
      <c r="I87" s="20" cm="1">
        <f t="array" ref="I87">INDEX(DualFuelCM!$E$28:$T$35,Summary!K87,Summary!L87)</f>
        <v>6708026.8096580822</v>
      </c>
      <c r="J87" s="20"/>
      <c r="K87">
        <f t="shared" si="6"/>
        <v>3</v>
      </c>
      <c r="L87">
        <f t="shared" si="9"/>
        <v>11</v>
      </c>
    </row>
    <row r="88" spans="2:12" x14ac:dyDescent="0.3">
      <c r="B88" t="str">
        <f t="shared" si="1"/>
        <v>MarinusPortland</v>
      </c>
      <c r="C88" t="s">
        <v>64</v>
      </c>
      <c r="D88">
        <f t="shared" si="4"/>
        <v>0.5</v>
      </c>
      <c r="E88" t="str">
        <f t="shared" si="8"/>
        <v>Cal-32</v>
      </c>
      <c r="F88" t="s">
        <v>34</v>
      </c>
      <c r="G88" s="73" cm="1">
        <f t="array" ref="G88">INDEX(PPAcfd!$E$28:$T$35,Summary!K88,Summary!L88)</f>
        <v>-3792630.8499809117</v>
      </c>
      <c r="H88" s="73" cm="1">
        <f t="array" ref="H88">INDEX(SwapSold!$E$28:$T$35,Summary!K88,Summary!L88)</f>
        <v>85382.777024268114</v>
      </c>
      <c r="I88" s="20" cm="1">
        <f t="array" ref="I88">INDEX(DualFuelCM!$E$28:$T$35,Summary!K88,Summary!L88)</f>
        <v>5727684.4704301683</v>
      </c>
      <c r="J88" s="20"/>
      <c r="K88">
        <f t="shared" si="6"/>
        <v>4</v>
      </c>
      <c r="L88">
        <f t="shared" si="9"/>
        <v>11</v>
      </c>
    </row>
    <row r="89" spans="2:12" x14ac:dyDescent="0.3">
      <c r="B89" t="str">
        <f t="shared" si="1"/>
        <v>MarinusPortland</v>
      </c>
      <c r="C89" t="s">
        <v>64</v>
      </c>
      <c r="D89">
        <f t="shared" si="4"/>
        <v>0.25</v>
      </c>
      <c r="E89" t="str">
        <f t="shared" si="8"/>
        <v>Cal-32</v>
      </c>
      <c r="F89" t="s">
        <v>34</v>
      </c>
      <c r="G89" s="73" cm="1">
        <f t="array" ref="G89">INDEX(PPAcfd!$E$28:$T$35,Summary!K89,Summary!L89)</f>
        <v>-6468695.1928835874</v>
      </c>
      <c r="H89" s="73" cm="1">
        <f t="array" ref="H89">INDEX(SwapSold!$E$28:$T$35,Summary!K89,Summary!L89)</f>
        <v>-3427643.4655617806</v>
      </c>
      <c r="I89" s="20" cm="1">
        <f t="array" ref="I89">INDEX(DualFuelCM!$E$28:$T$35,Summary!K89,Summary!L89)</f>
        <v>4903192.5057939701</v>
      </c>
      <c r="J89" s="20"/>
      <c r="K89">
        <f t="shared" si="6"/>
        <v>5</v>
      </c>
      <c r="L89">
        <f t="shared" si="9"/>
        <v>11</v>
      </c>
    </row>
    <row r="90" spans="2:12" x14ac:dyDescent="0.3">
      <c r="B90" t="str">
        <f t="shared" si="1"/>
        <v>MarinusPortland</v>
      </c>
      <c r="C90" t="s">
        <v>64</v>
      </c>
      <c r="D90">
        <f t="shared" si="4"/>
        <v>0.05</v>
      </c>
      <c r="E90" t="str">
        <f t="shared" si="8"/>
        <v>Cal-32</v>
      </c>
      <c r="F90" t="s">
        <v>34</v>
      </c>
      <c r="G90" s="73" cm="1">
        <f t="array" ref="G90">INDEX(PPAcfd!$E$28:$T$35,Summary!K90,Summary!L90)</f>
        <v>-9436194.5767296143</v>
      </c>
      <c r="H90" s="73" cm="1">
        <f t="array" ref="H90">INDEX(SwapSold!$E$28:$T$35,Summary!K90,Summary!L90)</f>
        <v>-8513212.6646256857</v>
      </c>
      <c r="I90" s="20" cm="1">
        <f t="array" ref="I90">INDEX(DualFuelCM!$E$28:$T$35,Summary!K90,Summary!L90)</f>
        <v>3848078.9112427747</v>
      </c>
      <c r="J90" s="20"/>
      <c r="K90">
        <f t="shared" si="6"/>
        <v>6</v>
      </c>
      <c r="L90">
        <f t="shared" si="9"/>
        <v>11</v>
      </c>
    </row>
    <row r="91" spans="2:12" x14ac:dyDescent="0.3">
      <c r="B91" t="str">
        <f t="shared" si="1"/>
        <v>MarinusPortland</v>
      </c>
      <c r="C91" t="s">
        <v>64</v>
      </c>
      <c r="D91">
        <f t="shared" si="4"/>
        <v>0</v>
      </c>
      <c r="E91" t="str">
        <f t="shared" si="8"/>
        <v>Cal-32</v>
      </c>
      <c r="F91" t="s">
        <v>34</v>
      </c>
      <c r="G91" s="73" cm="1">
        <f t="array" ref="G91">INDEX(PPAcfd!$E$28:$T$35,Summary!K91,Summary!L91)</f>
        <v>-13341907.085893514</v>
      </c>
      <c r="H91" s="73" cm="1">
        <f t="array" ref="H91">INDEX(SwapSold!$E$28:$T$35,Summary!K91,Summary!L91)</f>
        <v>-21336939.190795988</v>
      </c>
      <c r="I91" s="20" cm="1">
        <f t="array" ref="I91">INDEX(DualFuelCM!$E$28:$T$35,Summary!K91,Summary!L91)</f>
        <v>2369180.3447511434</v>
      </c>
      <c r="J91" s="20"/>
      <c r="K91">
        <f t="shared" si="6"/>
        <v>7</v>
      </c>
      <c r="L91">
        <f t="shared" si="9"/>
        <v>11</v>
      </c>
    </row>
    <row r="92" spans="2:12" x14ac:dyDescent="0.3">
      <c r="B92" t="str">
        <f t="shared" si="1"/>
        <v>MarinusPortland</v>
      </c>
      <c r="C92" t="s">
        <v>64</v>
      </c>
      <c r="D92" t="str">
        <f t="shared" si="4"/>
        <v>avg</v>
      </c>
      <c r="E92" t="str">
        <f t="shared" si="8"/>
        <v>Cal-32</v>
      </c>
      <c r="F92" t="s">
        <v>34</v>
      </c>
      <c r="G92" s="73" cm="1">
        <f t="array" ref="G92">INDEX(PPAcfd!$E$28:$T$35,Summary!K92,Summary!L92)</f>
        <v>-3357649.7288134275</v>
      </c>
      <c r="H92" s="73" cm="1">
        <f t="array" ref="H92">INDEX(SwapSold!$E$28:$T$35,Summary!K92,Summary!L92)</f>
        <v>-257699.8018535398</v>
      </c>
      <c r="I92" s="20" cm="1">
        <f t="array" ref="I92">INDEX(DualFuelCM!$E$28:$T$35,Summary!K92,Summary!L92)</f>
        <v>5856550.5666823769</v>
      </c>
      <c r="J92" s="20"/>
      <c r="K92">
        <f t="shared" si="6"/>
        <v>8</v>
      </c>
      <c r="L92">
        <f t="shared" si="9"/>
        <v>11</v>
      </c>
    </row>
    <row r="93" spans="2:12" x14ac:dyDescent="0.3">
      <c r="B93" t="str">
        <f t="shared" si="1"/>
        <v>MarinusPortland</v>
      </c>
      <c r="C93" t="s">
        <v>64</v>
      </c>
      <c r="D93">
        <f t="shared" si="4"/>
        <v>1</v>
      </c>
      <c r="E93" t="s">
        <v>14</v>
      </c>
      <c r="F93" t="s">
        <v>34</v>
      </c>
      <c r="G93" s="73" cm="1">
        <f t="array" ref="G93">INDEX(PPAcfd!$E$28:$T$35,Summary!K93,Summary!L93)</f>
        <v>16245806.461181702</v>
      </c>
      <c r="H93" s="73" cm="1">
        <f t="array" ref="H93">INDEX(SwapSold!$E$28:$T$35,Summary!K93,Summary!L93)</f>
        <v>16125272.115913125</v>
      </c>
      <c r="I93" s="20" cm="1">
        <f t="array" ref="I93">INDEX(DualFuelCM!$E$28:$T$35,Summary!K93,Summary!L93)</f>
        <v>12969133.964887621</v>
      </c>
      <c r="J93" s="20"/>
      <c r="K93">
        <f t="shared" si="6"/>
        <v>1</v>
      </c>
      <c r="L93">
        <f t="shared" si="9"/>
        <v>12</v>
      </c>
    </row>
    <row r="94" spans="2:12" x14ac:dyDescent="0.3">
      <c r="B94" t="str">
        <f t="shared" si="1"/>
        <v>MarinusPortland</v>
      </c>
      <c r="C94" t="s">
        <v>64</v>
      </c>
      <c r="D94">
        <f t="shared" si="4"/>
        <v>0.95</v>
      </c>
      <c r="E94" t="str">
        <f t="shared" si="8"/>
        <v>Cal-33</v>
      </c>
      <c r="F94" t="s">
        <v>34</v>
      </c>
      <c r="G94" s="73" cm="1">
        <f t="array" ref="G94">INDEX(PPAcfd!$E$28:$T$35,Summary!K94,Summary!L94)</f>
        <v>5773284.0838598032</v>
      </c>
      <c r="H94" s="73" cm="1">
        <f t="array" ref="H94">INDEX(SwapSold!$E$28:$T$35,Summary!K94,Summary!L94)</f>
        <v>8327437.8374069324</v>
      </c>
      <c r="I94" s="20" cm="1">
        <f t="array" ref="I94">INDEX(DualFuelCM!$E$28:$T$35,Summary!K94,Summary!L94)</f>
        <v>8853770.2056031153</v>
      </c>
      <c r="J94" s="20"/>
      <c r="K94">
        <f t="shared" si="6"/>
        <v>2</v>
      </c>
      <c r="L94">
        <f t="shared" si="9"/>
        <v>12</v>
      </c>
    </row>
    <row r="95" spans="2:12" x14ac:dyDescent="0.3">
      <c r="B95" t="str">
        <f t="shared" si="1"/>
        <v>MarinusPortland</v>
      </c>
      <c r="C95" t="s">
        <v>64</v>
      </c>
      <c r="D95">
        <f t="shared" si="4"/>
        <v>0.75</v>
      </c>
      <c r="E95" t="str">
        <f t="shared" si="8"/>
        <v>Cal-33</v>
      </c>
      <c r="F95" t="s">
        <v>34</v>
      </c>
      <c r="G95" s="73" cm="1">
        <f t="array" ref="G95">INDEX(PPAcfd!$E$28:$T$35,Summary!K95,Summary!L95)</f>
        <v>1189308.975918836</v>
      </c>
      <c r="H95" s="73" cm="1">
        <f t="array" ref="H95">INDEX(SwapSold!$E$28:$T$35,Summary!K95,Summary!L95)</f>
        <v>3487628.5885356781</v>
      </c>
      <c r="I95" s="20" cm="1">
        <f t="array" ref="I95">INDEX(DualFuelCM!$E$28:$T$35,Summary!K95,Summary!L95)</f>
        <v>7225513.0085995998</v>
      </c>
      <c r="J95" s="20"/>
      <c r="K95">
        <f t="shared" si="6"/>
        <v>3</v>
      </c>
      <c r="L95">
        <f t="shared" si="9"/>
        <v>12</v>
      </c>
    </row>
    <row r="96" spans="2:12" x14ac:dyDescent="0.3">
      <c r="B96" t="str">
        <f t="shared" si="1"/>
        <v>MarinusPortland</v>
      </c>
      <c r="C96" t="s">
        <v>64</v>
      </c>
      <c r="D96">
        <f t="shared" si="4"/>
        <v>0.5</v>
      </c>
      <c r="E96" t="str">
        <f t="shared" si="8"/>
        <v>Cal-33</v>
      </c>
      <c r="F96" t="s">
        <v>34</v>
      </c>
      <c r="G96" s="73" cm="1">
        <f t="array" ref="G96">INDEX(PPAcfd!$E$28:$T$35,Summary!K96,Summary!L96)</f>
        <v>-2114340.8327575498</v>
      </c>
      <c r="H96" s="73" cm="1">
        <f t="array" ref="H96">INDEX(SwapSold!$E$28:$T$35,Summary!K96,Summary!L96)</f>
        <v>-92470.14897681307</v>
      </c>
      <c r="I96" s="20" cm="1">
        <f t="array" ref="I96">INDEX(DualFuelCM!$E$28:$T$35,Summary!K96,Summary!L96)</f>
        <v>6216737.5400084471</v>
      </c>
      <c r="J96" s="20"/>
      <c r="K96">
        <f t="shared" si="6"/>
        <v>4</v>
      </c>
      <c r="L96">
        <f t="shared" si="9"/>
        <v>12</v>
      </c>
    </row>
    <row r="97" spans="2:12" x14ac:dyDescent="0.3">
      <c r="B97" t="str">
        <f t="shared" si="1"/>
        <v>MarinusPortland</v>
      </c>
      <c r="C97" t="s">
        <v>64</v>
      </c>
      <c r="D97">
        <f t="shared" si="4"/>
        <v>0.25</v>
      </c>
      <c r="E97" t="str">
        <f t="shared" si="8"/>
        <v>Cal-33</v>
      </c>
      <c r="F97" t="s">
        <v>34</v>
      </c>
      <c r="G97" s="73" cm="1">
        <f t="array" ref="G97">INDEX(PPAcfd!$E$28:$T$35,Summary!K97,Summary!L97)</f>
        <v>-5455232.3146873917</v>
      </c>
      <c r="H97" s="73" cm="1">
        <f t="array" ref="H97">INDEX(SwapSold!$E$28:$T$35,Summary!K97,Summary!L97)</f>
        <v>-3725528.8503632131</v>
      </c>
      <c r="I97" s="20" cm="1">
        <f t="array" ref="I97">INDEX(DualFuelCM!$E$28:$T$35,Summary!K97,Summary!L97)</f>
        <v>5243045.2635303158</v>
      </c>
      <c r="J97" s="20"/>
      <c r="K97">
        <f t="shared" si="6"/>
        <v>5</v>
      </c>
      <c r="L97">
        <f t="shared" si="9"/>
        <v>12</v>
      </c>
    </row>
    <row r="98" spans="2:12" x14ac:dyDescent="0.3">
      <c r="B98" t="str">
        <f t="shared" si="1"/>
        <v>MarinusPortland</v>
      </c>
      <c r="C98" t="s">
        <v>64</v>
      </c>
      <c r="D98">
        <f t="shared" si="4"/>
        <v>0.05</v>
      </c>
      <c r="E98" t="str">
        <f t="shared" si="8"/>
        <v>Cal-33</v>
      </c>
      <c r="F98" t="s">
        <v>34</v>
      </c>
      <c r="G98" s="73" cm="1">
        <f t="array" ref="G98">INDEX(PPAcfd!$E$28:$T$35,Summary!K98,Summary!L98)</f>
        <v>-9218898.6650088038</v>
      </c>
      <c r="H98" s="73" cm="1">
        <f t="array" ref="H98">INDEX(SwapSold!$E$28:$T$35,Summary!K98,Summary!L98)</f>
        <v>-8756814.1166702956</v>
      </c>
      <c r="I98" s="20" cm="1">
        <f t="array" ref="I98">INDEX(DualFuelCM!$E$28:$T$35,Summary!K98,Summary!L98)</f>
        <v>4015624.0868407916</v>
      </c>
      <c r="J98" s="20"/>
      <c r="K98">
        <f t="shared" si="6"/>
        <v>6</v>
      </c>
      <c r="L98">
        <f t="shared" si="9"/>
        <v>12</v>
      </c>
    </row>
    <row r="99" spans="2:12" x14ac:dyDescent="0.3">
      <c r="B99" t="str">
        <f t="shared" si="1"/>
        <v>MarinusPortland</v>
      </c>
      <c r="C99" t="s">
        <v>64</v>
      </c>
      <c r="D99">
        <f t="shared" si="4"/>
        <v>0</v>
      </c>
      <c r="E99" t="str">
        <f t="shared" si="8"/>
        <v>Cal-33</v>
      </c>
      <c r="F99" t="s">
        <v>34</v>
      </c>
      <c r="G99" s="73" cm="1">
        <f t="array" ref="G99">INDEX(PPAcfd!$E$28:$T$35,Summary!K99,Summary!L99)</f>
        <v>-14412137.39022184</v>
      </c>
      <c r="H99" s="73" cm="1">
        <f t="array" ref="H99">INDEX(SwapSold!$E$28:$T$35,Summary!K99,Summary!L99)</f>
        <v>-17749414.236748271</v>
      </c>
      <c r="I99" s="20" cm="1">
        <f t="array" ref="I99">INDEX(DualFuelCM!$E$28:$T$35,Summary!K99,Summary!L99)</f>
        <v>2333732.5641038502</v>
      </c>
      <c r="J99" s="20"/>
      <c r="K99">
        <f t="shared" si="6"/>
        <v>7</v>
      </c>
      <c r="L99">
        <f t="shared" si="9"/>
        <v>12</v>
      </c>
    </row>
    <row r="100" spans="2:12" x14ac:dyDescent="0.3">
      <c r="B100" t="str">
        <f t="shared" si="1"/>
        <v>MarinusPortland</v>
      </c>
      <c r="C100" t="s">
        <v>64</v>
      </c>
      <c r="D100" t="str">
        <f t="shared" si="4"/>
        <v>avg</v>
      </c>
      <c r="E100" t="str">
        <f t="shared" si="8"/>
        <v>Cal-33</v>
      </c>
      <c r="F100" t="s">
        <v>34</v>
      </c>
      <c r="G100" s="73" cm="1">
        <f t="array" ref="G100">INDEX(PPAcfd!$E$28:$T$35,Summary!K100,Summary!L100)</f>
        <v>-2019423.4129356227</v>
      </c>
      <c r="H100" s="73" cm="1">
        <f t="array" ref="H100">INDEX(SwapSold!$E$28:$T$35,Summary!K100,Summary!L100)</f>
        <v>-138943.94211016045</v>
      </c>
      <c r="I100" s="20" cm="1">
        <f t="array" ref="I100">INDEX(DualFuelCM!$E$28:$T$35,Summary!K100,Summary!L100)</f>
        <v>6285917.2477141172</v>
      </c>
      <c r="J100" s="20"/>
      <c r="K100">
        <f t="shared" si="6"/>
        <v>8</v>
      </c>
      <c r="L100">
        <f t="shared" si="9"/>
        <v>12</v>
      </c>
    </row>
    <row r="101" spans="2:12" x14ac:dyDescent="0.3">
      <c r="B101" t="str">
        <f t="shared" si="1"/>
        <v>MarinusPortland</v>
      </c>
      <c r="C101" t="s">
        <v>64</v>
      </c>
      <c r="D101">
        <f t="shared" si="4"/>
        <v>1</v>
      </c>
      <c r="E101" t="s">
        <v>15</v>
      </c>
      <c r="F101" t="s">
        <v>34</v>
      </c>
      <c r="G101" s="73" cm="1">
        <f t="array" ref="G101">INDEX(PPAcfd!$E$28:$T$35,Summary!K101,Summary!L101)</f>
        <v>21199120.836498644</v>
      </c>
      <c r="H101" s="73" cm="1">
        <f t="array" ref="H101">INDEX(SwapSold!$E$28:$T$35,Summary!K101,Summary!L101)</f>
        <v>19041876.804225415</v>
      </c>
      <c r="I101" s="20" cm="1">
        <f t="array" ref="I101">INDEX(DualFuelCM!$E$28:$T$35,Summary!K101,Summary!L101)</f>
        <v>14291094.382035526</v>
      </c>
      <c r="J101" s="20"/>
      <c r="K101">
        <f t="shared" si="6"/>
        <v>1</v>
      </c>
      <c r="L101">
        <f t="shared" ref="L101:L132" si="10">VLOOKUP(E101,$R$5:$S$20,2,FALSE)</f>
        <v>13</v>
      </c>
    </row>
    <row r="102" spans="2:12" x14ac:dyDescent="0.3">
      <c r="B102" t="str">
        <f t="shared" si="1"/>
        <v>MarinusPortland</v>
      </c>
      <c r="C102" t="s">
        <v>64</v>
      </c>
      <c r="D102">
        <f t="shared" si="4"/>
        <v>0.95</v>
      </c>
      <c r="E102" t="str">
        <f t="shared" si="8"/>
        <v>Cal-34</v>
      </c>
      <c r="F102" t="s">
        <v>34</v>
      </c>
      <c r="G102" s="73" cm="1">
        <f t="array" ref="G102">INDEX(PPAcfd!$E$28:$T$35,Summary!K102,Summary!L102)</f>
        <v>9502415.9406869914</v>
      </c>
      <c r="H102" s="73" cm="1">
        <f t="array" ref="H102">INDEX(SwapSold!$E$28:$T$35,Summary!K102,Summary!L102)</f>
        <v>9704141.8645731453</v>
      </c>
      <c r="I102" s="20" cm="1">
        <f t="array" ref="I102">INDEX(DualFuelCM!$E$28:$T$35,Summary!K102,Summary!L102)</f>
        <v>9839161.205199752</v>
      </c>
      <c r="J102" s="20"/>
      <c r="K102">
        <f t="shared" si="6"/>
        <v>2</v>
      </c>
      <c r="L102">
        <f t="shared" si="10"/>
        <v>13</v>
      </c>
    </row>
    <row r="103" spans="2:12" x14ac:dyDescent="0.3">
      <c r="B103" t="str">
        <f t="shared" si="1"/>
        <v>MarinusPortland</v>
      </c>
      <c r="C103" t="s">
        <v>64</v>
      </c>
      <c r="D103">
        <f t="shared" si="4"/>
        <v>0.75</v>
      </c>
      <c r="E103" t="str">
        <f t="shared" si="8"/>
        <v>Cal-34</v>
      </c>
      <c r="F103" t="s">
        <v>34</v>
      </c>
      <c r="G103" s="73" cm="1">
        <f t="array" ref="G103">INDEX(PPAcfd!$E$28:$T$35,Summary!K103,Summary!L103)</f>
        <v>5251265.3098612754</v>
      </c>
      <c r="H103" s="73" cm="1">
        <f t="array" ref="H103">INDEX(SwapSold!$E$28:$T$35,Summary!K103,Summary!L103)</f>
        <v>3957010.6580653782</v>
      </c>
      <c r="I103" s="20" cm="1">
        <f t="array" ref="I103">INDEX(DualFuelCM!$E$28:$T$35,Summary!K103,Summary!L103)</f>
        <v>8225848.2627315708</v>
      </c>
      <c r="J103" s="20"/>
      <c r="K103">
        <f t="shared" si="6"/>
        <v>3</v>
      </c>
      <c r="L103">
        <f t="shared" si="10"/>
        <v>13</v>
      </c>
    </row>
    <row r="104" spans="2:12" x14ac:dyDescent="0.3">
      <c r="B104" t="str">
        <f t="shared" si="1"/>
        <v>MarinusPortland</v>
      </c>
      <c r="C104" t="s">
        <v>64</v>
      </c>
      <c r="D104">
        <f t="shared" si="4"/>
        <v>0.5</v>
      </c>
      <c r="E104" t="str">
        <f t="shared" si="8"/>
        <v>Cal-34</v>
      </c>
      <c r="F104" t="s">
        <v>34</v>
      </c>
      <c r="G104" s="73" cm="1">
        <f t="array" ref="G104">INDEX(PPAcfd!$E$28:$T$35,Summary!K104,Summary!L104)</f>
        <v>1627598.4889372706</v>
      </c>
      <c r="H104" s="73" cm="1">
        <f t="array" ref="H104">INDEX(SwapSold!$E$28:$T$35,Summary!K104,Summary!L104)</f>
        <v>-211581.317964494</v>
      </c>
      <c r="I104" s="20" cm="1">
        <f t="array" ref="I104">INDEX(DualFuelCM!$E$28:$T$35,Summary!K104,Summary!L104)</f>
        <v>7119205.3200992523</v>
      </c>
      <c r="J104" s="20"/>
      <c r="K104">
        <f t="shared" si="6"/>
        <v>4</v>
      </c>
      <c r="L104">
        <f t="shared" si="10"/>
        <v>13</v>
      </c>
    </row>
    <row r="105" spans="2:12" x14ac:dyDescent="0.3">
      <c r="B105" t="str">
        <f t="shared" si="1"/>
        <v>MarinusPortland</v>
      </c>
      <c r="C105" t="s">
        <v>64</v>
      </c>
      <c r="D105">
        <f t="shared" si="4"/>
        <v>0.25</v>
      </c>
      <c r="E105" t="str">
        <f t="shared" si="8"/>
        <v>Cal-34</v>
      </c>
      <c r="F105" t="s">
        <v>34</v>
      </c>
      <c r="G105" s="73" cm="1">
        <f t="array" ref="G105">INDEX(PPAcfd!$E$28:$T$35,Summary!K105,Summary!L105)</f>
        <v>-2504981.68922436</v>
      </c>
      <c r="H105" s="73" cm="1">
        <f t="array" ref="H105">INDEX(SwapSold!$E$28:$T$35,Summary!K105,Summary!L105)</f>
        <v>-4031920.8220162168</v>
      </c>
      <c r="I105" s="20" cm="1">
        <f t="array" ref="I105">INDEX(DualFuelCM!$E$28:$T$35,Summary!K105,Summary!L105)</f>
        <v>5963544.0298712151</v>
      </c>
      <c r="J105" s="20"/>
      <c r="K105">
        <f t="shared" si="6"/>
        <v>5</v>
      </c>
      <c r="L105">
        <f t="shared" si="10"/>
        <v>13</v>
      </c>
    </row>
    <row r="106" spans="2:12" x14ac:dyDescent="0.3">
      <c r="B106" t="str">
        <f t="shared" si="1"/>
        <v>MarinusPortland</v>
      </c>
      <c r="C106" t="s">
        <v>64</v>
      </c>
      <c r="D106">
        <f t="shared" si="4"/>
        <v>0.05</v>
      </c>
      <c r="E106" t="str">
        <f t="shared" si="8"/>
        <v>Cal-34</v>
      </c>
      <c r="F106" t="s">
        <v>34</v>
      </c>
      <c r="G106" s="73" cm="1">
        <f t="array" ref="G106">INDEX(PPAcfd!$E$28:$T$35,Summary!K106,Summary!L106)</f>
        <v>-7399404.664608473</v>
      </c>
      <c r="H106" s="73" cm="1">
        <f t="array" ref="H106">INDEX(SwapSold!$E$28:$T$35,Summary!K106,Summary!L106)</f>
        <v>-9102451.0858501978</v>
      </c>
      <c r="I106" s="20" cm="1">
        <f t="array" ref="I106">INDEX(DualFuelCM!$E$28:$T$35,Summary!K106,Summary!L106)</f>
        <v>4477610.2264799476</v>
      </c>
      <c r="J106" s="20"/>
      <c r="K106">
        <f t="shared" si="6"/>
        <v>6</v>
      </c>
      <c r="L106">
        <f t="shared" si="10"/>
        <v>13</v>
      </c>
    </row>
    <row r="107" spans="2:12" x14ac:dyDescent="0.3">
      <c r="B107" t="str">
        <f t="shared" si="1"/>
        <v>MarinusPortland</v>
      </c>
      <c r="C107" t="s">
        <v>64</v>
      </c>
      <c r="D107">
        <f t="shared" si="4"/>
        <v>0</v>
      </c>
      <c r="E107" t="str">
        <f t="shared" si="8"/>
        <v>Cal-34</v>
      </c>
      <c r="F107" t="s">
        <v>34</v>
      </c>
      <c r="G107" s="73" cm="1">
        <f t="array" ref="G107">INDEX(PPAcfd!$E$28:$T$35,Summary!K107,Summary!L107)</f>
        <v>-12649029.033627152</v>
      </c>
      <c r="H107" s="73" cm="1">
        <f t="array" ref="H107">INDEX(SwapSold!$E$28:$T$35,Summary!K107,Summary!L107)</f>
        <v>-21923962.275100458</v>
      </c>
      <c r="I107" s="20" cm="1">
        <f t="array" ref="I107">INDEX(DualFuelCM!$E$28:$T$35,Summary!K107,Summary!L107)</f>
        <v>2682613.0027925633</v>
      </c>
      <c r="J107" s="20"/>
      <c r="K107">
        <f t="shared" si="6"/>
        <v>7</v>
      </c>
      <c r="L107">
        <f t="shared" si="10"/>
        <v>13</v>
      </c>
    </row>
    <row r="108" spans="2:12" x14ac:dyDescent="0.3">
      <c r="B108" t="str">
        <f t="shared" si="1"/>
        <v>MarinusPortland</v>
      </c>
      <c r="C108" t="s">
        <v>64</v>
      </c>
      <c r="D108" t="str">
        <f t="shared" si="4"/>
        <v>avg</v>
      </c>
      <c r="E108" t="str">
        <f t="shared" si="8"/>
        <v>Cal-34</v>
      </c>
      <c r="F108" t="s">
        <v>34</v>
      </c>
      <c r="G108" s="73" cm="1">
        <f t="array" ref="G108">INDEX(PPAcfd!$E$28:$T$35,Summary!K108,Summary!L108)</f>
        <v>1381696.1966394363</v>
      </c>
      <c r="H108" s="73" cm="1">
        <f t="array" ref="H108">INDEX(SwapSold!$E$28:$T$35,Summary!K108,Summary!L108)</f>
        <v>13271.938930824306</v>
      </c>
      <c r="I108" s="20" cm="1">
        <f t="array" ref="I108">INDEX(DualFuelCM!$E$28:$T$35,Summary!K108,Summary!L108)</f>
        <v>7117049.0122925583</v>
      </c>
      <c r="J108" s="20"/>
      <c r="K108">
        <f t="shared" si="6"/>
        <v>8</v>
      </c>
      <c r="L108">
        <f t="shared" si="10"/>
        <v>13</v>
      </c>
    </row>
    <row r="109" spans="2:12" x14ac:dyDescent="0.3">
      <c r="B109" t="str">
        <f t="shared" si="1"/>
        <v>MarinusPortland</v>
      </c>
      <c r="C109" t="s">
        <v>64</v>
      </c>
      <c r="D109">
        <f t="shared" si="4"/>
        <v>1</v>
      </c>
      <c r="E109" t="s">
        <v>16</v>
      </c>
      <c r="F109" t="s">
        <v>34</v>
      </c>
      <c r="G109" s="73" cm="1">
        <f t="array" ref="G109">INDEX(PPAcfd!$E$28:$T$35,Summary!K109,Summary!L109)</f>
        <v>20135291.198764388</v>
      </c>
      <c r="H109" s="73" cm="1">
        <f t="array" ref="H109">INDEX(SwapSold!$E$28:$T$35,Summary!K109,Summary!L109)</f>
        <v>23242119.11033351</v>
      </c>
      <c r="I109" s="20" cm="1">
        <f t="array" ref="I109">INDEX(DualFuelCM!$E$28:$T$35,Summary!K109,Summary!L109)</f>
        <v>14221386.449712111</v>
      </c>
      <c r="J109" s="20"/>
      <c r="K109">
        <f t="shared" si="6"/>
        <v>1</v>
      </c>
      <c r="L109">
        <f t="shared" si="10"/>
        <v>14</v>
      </c>
    </row>
    <row r="110" spans="2:12" x14ac:dyDescent="0.3">
      <c r="B110" t="str">
        <f t="shared" si="1"/>
        <v>MarinusPortland</v>
      </c>
      <c r="C110" t="s">
        <v>64</v>
      </c>
      <c r="D110">
        <f t="shared" si="4"/>
        <v>0.95</v>
      </c>
      <c r="E110" t="str">
        <f t="shared" si="8"/>
        <v>Cal-35</v>
      </c>
      <c r="F110" t="s">
        <v>34</v>
      </c>
      <c r="G110" s="73" cm="1">
        <f t="array" ref="G110">INDEX(PPAcfd!$E$28:$T$35,Summary!K110,Summary!L110)</f>
        <v>9085108.8775123283</v>
      </c>
      <c r="H110" s="73" cm="1">
        <f t="array" ref="H110">INDEX(SwapSold!$E$28:$T$35,Summary!K110,Summary!L110)</f>
        <v>11284215.450230345</v>
      </c>
      <c r="I110" s="20" cm="1">
        <f t="array" ref="I110">INDEX(DualFuelCM!$E$28:$T$35,Summary!K110,Summary!L110)</f>
        <v>9946631.4578993712</v>
      </c>
      <c r="J110" s="20"/>
      <c r="K110">
        <f t="shared" si="6"/>
        <v>2</v>
      </c>
      <c r="L110">
        <f t="shared" si="10"/>
        <v>14</v>
      </c>
    </row>
    <row r="111" spans="2:12" x14ac:dyDescent="0.3">
      <c r="B111" t="str">
        <f t="shared" si="1"/>
        <v>MarinusPortland</v>
      </c>
      <c r="C111" t="s">
        <v>64</v>
      </c>
      <c r="D111">
        <f t="shared" si="4"/>
        <v>0.75</v>
      </c>
      <c r="E111" t="str">
        <f t="shared" si="8"/>
        <v>Cal-35</v>
      </c>
      <c r="F111" t="s">
        <v>34</v>
      </c>
      <c r="G111" s="73" cm="1">
        <f t="array" ref="G111">INDEX(PPAcfd!$E$28:$T$35,Summary!K111,Summary!L111)</f>
        <v>4665040.3715363936</v>
      </c>
      <c r="H111" s="73" cm="1">
        <f t="array" ref="H111">INDEX(SwapSold!$E$28:$T$35,Summary!K111,Summary!L111)</f>
        <v>4264980.5738425311</v>
      </c>
      <c r="I111" s="20" cm="1">
        <f t="array" ref="I111">INDEX(DualFuelCM!$E$28:$T$35,Summary!K111,Summary!L111)</f>
        <v>8281887.8371311501</v>
      </c>
      <c r="J111" s="20"/>
      <c r="K111">
        <f t="shared" si="6"/>
        <v>3</v>
      </c>
      <c r="L111">
        <f t="shared" si="10"/>
        <v>14</v>
      </c>
    </row>
    <row r="112" spans="2:12" x14ac:dyDescent="0.3">
      <c r="B112" t="str">
        <f t="shared" si="1"/>
        <v>MarinusPortland</v>
      </c>
      <c r="C112" t="s">
        <v>64</v>
      </c>
      <c r="D112">
        <f t="shared" si="4"/>
        <v>0.5</v>
      </c>
      <c r="E112" t="str">
        <f t="shared" si="8"/>
        <v>Cal-35</v>
      </c>
      <c r="F112" t="s">
        <v>34</v>
      </c>
      <c r="G112" s="73" cm="1">
        <f t="array" ref="G112">INDEX(PPAcfd!$E$28:$T$35,Summary!K112,Summary!L112)</f>
        <v>1136024.9500990917</v>
      </c>
      <c r="H112" s="73" cm="1">
        <f t="array" ref="H112">INDEX(SwapSold!$E$28:$T$35,Summary!K112,Summary!L112)</f>
        <v>-208065.68082886355</v>
      </c>
      <c r="I112" s="20" cm="1">
        <f t="array" ref="I112">INDEX(DualFuelCM!$E$28:$T$35,Summary!K112,Summary!L112)</f>
        <v>7192281.9798977971</v>
      </c>
      <c r="J112" s="20"/>
      <c r="K112">
        <f t="shared" si="6"/>
        <v>4</v>
      </c>
      <c r="L112">
        <f t="shared" si="10"/>
        <v>14</v>
      </c>
    </row>
    <row r="113" spans="2:12" x14ac:dyDescent="0.3">
      <c r="B113" t="str">
        <f t="shared" si="1"/>
        <v>MarinusPortland</v>
      </c>
      <c r="C113" t="s">
        <v>64</v>
      </c>
      <c r="D113">
        <f t="shared" si="4"/>
        <v>0.25</v>
      </c>
      <c r="E113" t="str">
        <f t="shared" si="8"/>
        <v>Cal-35</v>
      </c>
      <c r="F113" t="s">
        <v>34</v>
      </c>
      <c r="G113" s="73" cm="1">
        <f t="array" ref="G113">INDEX(PPAcfd!$E$28:$T$35,Summary!K113,Summary!L113)</f>
        <v>-3556260.7664779043</v>
      </c>
      <c r="H113" s="73" cm="1">
        <f t="array" ref="H113">INDEX(SwapSold!$E$28:$T$35,Summary!K113,Summary!L113)</f>
        <v>-4211303.3304246683</v>
      </c>
      <c r="I113" s="20" cm="1">
        <f t="array" ref="I113">INDEX(DualFuelCM!$E$28:$T$35,Summary!K113,Summary!L113)</f>
        <v>5924665.1709303502</v>
      </c>
      <c r="J113" s="20"/>
      <c r="K113">
        <f t="shared" si="6"/>
        <v>5</v>
      </c>
      <c r="L113">
        <f t="shared" si="10"/>
        <v>14</v>
      </c>
    </row>
    <row r="114" spans="2:12" x14ac:dyDescent="0.3">
      <c r="B114" t="str">
        <f t="shared" si="1"/>
        <v>MarinusPortland</v>
      </c>
      <c r="C114" t="s">
        <v>64</v>
      </c>
      <c r="D114">
        <f t="shared" si="4"/>
        <v>0.05</v>
      </c>
      <c r="E114" t="str">
        <f t="shared" si="8"/>
        <v>Cal-35</v>
      </c>
      <c r="F114" t="s">
        <v>34</v>
      </c>
      <c r="G114" s="73" cm="1">
        <f t="array" ref="G114">INDEX(PPAcfd!$E$28:$T$35,Summary!K114,Summary!L114)</f>
        <v>-10072682.991558393</v>
      </c>
      <c r="H114" s="73" cm="1">
        <f t="array" ref="H114">INDEX(SwapSold!$E$28:$T$35,Summary!K114,Summary!L114)</f>
        <v>-9333761.2838313971</v>
      </c>
      <c r="I114" s="20" cm="1">
        <f t="array" ref="I114">INDEX(DualFuelCM!$E$28:$T$35,Summary!K114,Summary!L114)</f>
        <v>4147093.7845067484</v>
      </c>
      <c r="J114" s="20"/>
      <c r="K114">
        <f t="shared" si="6"/>
        <v>6</v>
      </c>
      <c r="L114">
        <f t="shared" si="10"/>
        <v>14</v>
      </c>
    </row>
    <row r="115" spans="2:12" x14ac:dyDescent="0.3">
      <c r="B115" t="str">
        <f t="shared" si="1"/>
        <v>MarinusPortland</v>
      </c>
      <c r="C115" t="s">
        <v>64</v>
      </c>
      <c r="D115">
        <f t="shared" si="4"/>
        <v>0</v>
      </c>
      <c r="E115" t="str">
        <f t="shared" si="8"/>
        <v>Cal-35</v>
      </c>
      <c r="F115" t="s">
        <v>34</v>
      </c>
      <c r="G115" s="73" cm="1">
        <f t="array" ref="G115">INDEX(PPAcfd!$E$28:$T$35,Summary!K115,Summary!L115)</f>
        <v>-14801990.047179017</v>
      </c>
      <c r="H115" s="73" cm="1">
        <f t="array" ref="H115">INDEX(SwapSold!$E$28:$T$35,Summary!K115,Summary!L115)</f>
        <v>-19973418.104298703</v>
      </c>
      <c r="I115" s="20" cm="1">
        <f t="array" ref="I115">INDEX(DualFuelCM!$E$28:$T$35,Summary!K115,Summary!L115)</f>
        <v>2450448.7938452619</v>
      </c>
      <c r="J115" s="20"/>
      <c r="K115">
        <f t="shared" si="6"/>
        <v>7</v>
      </c>
      <c r="L115">
        <f t="shared" si="10"/>
        <v>14</v>
      </c>
    </row>
    <row r="116" spans="2:12" x14ac:dyDescent="0.3">
      <c r="B116" t="str">
        <f t="shared" si="1"/>
        <v>MarinusPortland</v>
      </c>
      <c r="C116" t="s">
        <v>64</v>
      </c>
      <c r="D116" t="str">
        <f t="shared" si="4"/>
        <v>avg</v>
      </c>
      <c r="E116" t="str">
        <f t="shared" si="8"/>
        <v>Cal-35</v>
      </c>
      <c r="F116" t="s">
        <v>34</v>
      </c>
      <c r="G116" s="73" cm="1">
        <f t="array" ref="G116">INDEX(PPAcfd!$E$28:$T$35,Summary!K116,Summary!L116)</f>
        <v>456774.70561518898</v>
      </c>
      <c r="H116" s="73" cm="1">
        <f t="array" ref="H116">INDEX(SwapSold!$E$28:$T$35,Summary!K116,Summary!L116)</f>
        <v>228975.63770979791</v>
      </c>
      <c r="I116" s="20" cm="1">
        <f t="array" ref="I116">INDEX(DualFuelCM!$E$28:$T$35,Summary!K116,Summary!L116)</f>
        <v>7100273.6136809317</v>
      </c>
      <c r="J116" s="20"/>
      <c r="K116">
        <f t="shared" si="6"/>
        <v>8</v>
      </c>
      <c r="L116">
        <f t="shared" si="10"/>
        <v>14</v>
      </c>
    </row>
    <row r="117" spans="2:12" x14ac:dyDescent="0.3">
      <c r="B117" t="str">
        <f t="shared" si="1"/>
        <v>MarinusPortland</v>
      </c>
      <c r="C117" t="s">
        <v>64</v>
      </c>
      <c r="D117">
        <f t="shared" si="4"/>
        <v>1</v>
      </c>
      <c r="E117" t="s">
        <v>17</v>
      </c>
      <c r="F117" t="s">
        <v>34</v>
      </c>
      <c r="G117" s="73" cm="1">
        <f t="array" ref="G117">INDEX(PPAcfd!$E$28:$T$35,Summary!K117,Summary!L117)</f>
        <v>20916921.678452354</v>
      </c>
      <c r="H117" s="73" cm="1">
        <f t="array" ref="H117">INDEX(SwapSold!$E$28:$T$35,Summary!K117,Summary!L117)</f>
        <v>21773614.066425137</v>
      </c>
      <c r="I117" s="20" cm="1">
        <f t="array" ref="I117">INDEX(DualFuelCM!$E$28:$T$35,Summary!K117,Summary!L117)</f>
        <v>14752972.581559811</v>
      </c>
      <c r="J117" s="20"/>
      <c r="K117">
        <f t="shared" si="6"/>
        <v>1</v>
      </c>
      <c r="L117">
        <f t="shared" si="10"/>
        <v>15</v>
      </c>
    </row>
    <row r="118" spans="2:12" x14ac:dyDescent="0.3">
      <c r="B118" t="str">
        <f t="shared" si="1"/>
        <v>MarinusPortland</v>
      </c>
      <c r="C118" t="s">
        <v>64</v>
      </c>
      <c r="D118">
        <f t="shared" si="4"/>
        <v>0.95</v>
      </c>
      <c r="E118" t="str">
        <f t="shared" si="8"/>
        <v>Cal-36</v>
      </c>
      <c r="F118" t="s">
        <v>34</v>
      </c>
      <c r="G118" s="73" cm="1">
        <f t="array" ref="G118">INDEX(PPAcfd!$E$28:$T$35,Summary!K118,Summary!L118)</f>
        <v>10631245.470547862</v>
      </c>
      <c r="H118" s="73" cm="1">
        <f t="array" ref="H118">INDEX(SwapSold!$E$28:$T$35,Summary!K118,Summary!L118)</f>
        <v>12205899.659661293</v>
      </c>
      <c r="I118" s="20" cm="1">
        <f t="array" ref="I118">INDEX(DualFuelCM!$E$28:$T$35,Summary!K118,Summary!L118)</f>
        <v>10481383.861593438</v>
      </c>
      <c r="J118" s="20"/>
      <c r="K118">
        <f t="shared" si="6"/>
        <v>2</v>
      </c>
      <c r="L118">
        <f t="shared" si="10"/>
        <v>15</v>
      </c>
    </row>
    <row r="119" spans="2:12" x14ac:dyDescent="0.3">
      <c r="B119" t="str">
        <f t="shared" si="1"/>
        <v>MarinusPortland</v>
      </c>
      <c r="C119" t="s">
        <v>64</v>
      </c>
      <c r="D119">
        <f t="shared" si="4"/>
        <v>0.75</v>
      </c>
      <c r="E119" t="str">
        <f t="shared" si="8"/>
        <v>Cal-36</v>
      </c>
      <c r="F119" t="s">
        <v>34</v>
      </c>
      <c r="G119" s="73" cm="1">
        <f t="array" ref="G119">INDEX(PPAcfd!$E$28:$T$35,Summary!K119,Summary!L119)</f>
        <v>6990609.803438236</v>
      </c>
      <c r="H119" s="73" cm="1">
        <f t="array" ref="H119">INDEX(SwapSold!$E$28:$T$35,Summary!K119,Summary!L119)</f>
        <v>4592155.5108230058</v>
      </c>
      <c r="I119" s="20" cm="1">
        <f t="array" ref="I119">INDEX(DualFuelCM!$E$28:$T$35,Summary!K119,Summary!L119)</f>
        <v>8942867.8847667314</v>
      </c>
      <c r="J119" s="20"/>
      <c r="K119">
        <f t="shared" si="6"/>
        <v>3</v>
      </c>
      <c r="L119">
        <f t="shared" si="10"/>
        <v>15</v>
      </c>
    </row>
    <row r="120" spans="2:12" x14ac:dyDescent="0.3">
      <c r="B120" t="str">
        <f t="shared" si="1"/>
        <v>MarinusPortland</v>
      </c>
      <c r="C120" t="s">
        <v>64</v>
      </c>
      <c r="D120">
        <f t="shared" si="4"/>
        <v>0.5</v>
      </c>
      <c r="E120" t="str">
        <f t="shared" ref="E120:E132" si="11">E119</f>
        <v>Cal-36</v>
      </c>
      <c r="F120" t="s">
        <v>34</v>
      </c>
      <c r="G120" s="73" cm="1">
        <f t="array" ref="G120">INDEX(PPAcfd!$E$28:$T$35,Summary!K120,Summary!L120)</f>
        <v>3669795.7627242352</v>
      </c>
      <c r="H120" s="73" cm="1">
        <f t="array" ref="H120">INDEX(SwapSold!$E$28:$T$35,Summary!K120,Summary!L120)</f>
        <v>-175793.72480460521</v>
      </c>
      <c r="I120" s="20" cm="1">
        <f t="array" ref="I120">INDEX(DualFuelCM!$E$28:$T$35,Summary!K120,Summary!L120)</f>
        <v>7862159.364724366</v>
      </c>
      <c r="J120" s="20"/>
      <c r="K120">
        <f t="shared" si="6"/>
        <v>4</v>
      </c>
      <c r="L120">
        <f t="shared" si="10"/>
        <v>15</v>
      </c>
    </row>
    <row r="121" spans="2:12" x14ac:dyDescent="0.3">
      <c r="B121" t="str">
        <f t="shared" si="1"/>
        <v>MarinusPortland</v>
      </c>
      <c r="C121" t="s">
        <v>64</v>
      </c>
      <c r="D121">
        <f t="shared" si="4"/>
        <v>0.25</v>
      </c>
      <c r="E121" t="str">
        <f t="shared" si="11"/>
        <v>Cal-36</v>
      </c>
      <c r="F121" t="s">
        <v>34</v>
      </c>
      <c r="G121" s="73" cm="1">
        <f t="array" ref="G121">INDEX(PPAcfd!$E$28:$T$35,Summary!K121,Summary!L121)</f>
        <v>-1785057.4252204103</v>
      </c>
      <c r="H121" s="73" cm="1">
        <f t="array" ref="H121">INDEX(SwapSold!$E$28:$T$35,Summary!K121,Summary!L121)</f>
        <v>-4013397.6923134611</v>
      </c>
      <c r="I121" s="20" cm="1">
        <f t="array" ref="I121">INDEX(DualFuelCM!$E$28:$T$35,Summary!K121,Summary!L121)</f>
        <v>6426221.5026540291</v>
      </c>
      <c r="J121" s="20"/>
      <c r="K121">
        <f t="shared" si="6"/>
        <v>5</v>
      </c>
      <c r="L121">
        <f t="shared" si="10"/>
        <v>15</v>
      </c>
    </row>
    <row r="122" spans="2:12" x14ac:dyDescent="0.3">
      <c r="B122" t="str">
        <f t="shared" si="1"/>
        <v>MarinusPortland</v>
      </c>
      <c r="C122" t="s">
        <v>64</v>
      </c>
      <c r="D122">
        <f t="shared" si="4"/>
        <v>0.05</v>
      </c>
      <c r="E122" t="str">
        <f t="shared" si="11"/>
        <v>Cal-36</v>
      </c>
      <c r="F122" t="s">
        <v>34</v>
      </c>
      <c r="G122" s="73" cm="1">
        <f t="array" ref="G122">INDEX(PPAcfd!$E$28:$T$35,Summary!K122,Summary!L122)</f>
        <v>-9446788.2757980544</v>
      </c>
      <c r="H122" s="73" cm="1">
        <f t="array" ref="H122">INDEX(SwapSold!$E$28:$T$35,Summary!K122,Summary!L122)</f>
        <v>-8414931.788589919</v>
      </c>
      <c r="I122" s="20" cm="1">
        <f t="array" ref="I122">INDEX(DualFuelCM!$E$28:$T$35,Summary!K122,Summary!L122)</f>
        <v>4411048.433943389</v>
      </c>
      <c r="J122" s="20"/>
      <c r="K122">
        <f t="shared" si="6"/>
        <v>6</v>
      </c>
      <c r="L122">
        <f t="shared" si="10"/>
        <v>15</v>
      </c>
    </row>
    <row r="123" spans="2:12" x14ac:dyDescent="0.3">
      <c r="B123" t="str">
        <f t="shared" si="1"/>
        <v>MarinusPortland</v>
      </c>
      <c r="C123" t="s">
        <v>64</v>
      </c>
      <c r="D123">
        <f t="shared" si="4"/>
        <v>0</v>
      </c>
      <c r="E123" t="str">
        <f t="shared" si="11"/>
        <v>Cal-36</v>
      </c>
      <c r="F123" t="s">
        <v>34</v>
      </c>
      <c r="G123" s="73" cm="1">
        <f t="array" ref="G123">INDEX(PPAcfd!$E$28:$T$35,Summary!K123,Summary!L123)</f>
        <v>-14456791.14379588</v>
      </c>
      <c r="H123" s="73" cm="1">
        <f t="array" ref="H123">INDEX(SwapSold!$E$28:$T$35,Summary!K123,Summary!L123)</f>
        <v>-18406300.707093742</v>
      </c>
      <c r="I123" s="20" cm="1">
        <f t="array" ref="I123">INDEX(DualFuelCM!$E$28:$T$35,Summary!K123,Summary!L123)</f>
        <v>2616826.9506293959</v>
      </c>
      <c r="J123" s="20"/>
      <c r="K123">
        <f t="shared" si="6"/>
        <v>7</v>
      </c>
      <c r="L123">
        <f t="shared" si="10"/>
        <v>15</v>
      </c>
    </row>
    <row r="124" spans="2:12" x14ac:dyDescent="0.3">
      <c r="B124" t="str">
        <f t="shared" si="1"/>
        <v>MarinusPortland</v>
      </c>
      <c r="C124" t="s">
        <v>64</v>
      </c>
      <c r="D124" t="str">
        <f t="shared" si="4"/>
        <v>avg</v>
      </c>
      <c r="E124" t="str">
        <f t="shared" si="11"/>
        <v>Cal-36</v>
      </c>
      <c r="F124" t="s">
        <v>34</v>
      </c>
      <c r="G124" s="73" cm="1">
        <f t="array" ref="G124">INDEX(PPAcfd!$E$28:$T$35,Summary!K124,Summary!L124)</f>
        <v>2373923.0502044023</v>
      </c>
      <c r="H124" s="73" cm="1">
        <f t="array" ref="H124">INDEX(SwapSold!$E$28:$T$35,Summary!K124,Summary!L124)</f>
        <v>612120.30806827894</v>
      </c>
      <c r="I124" s="20" cm="1">
        <f t="array" ref="I124">INDEX(DualFuelCM!$E$28:$T$35,Summary!K124,Summary!L124)</f>
        <v>7663703.5738836424</v>
      </c>
      <c r="J124" s="20"/>
      <c r="K124">
        <f t="shared" si="6"/>
        <v>8</v>
      </c>
      <c r="L124">
        <f t="shared" si="10"/>
        <v>15</v>
      </c>
    </row>
    <row r="125" spans="2:12" x14ac:dyDescent="0.3">
      <c r="B125" t="str">
        <f t="shared" si="1"/>
        <v>MarinusPortland</v>
      </c>
      <c r="C125" t="s">
        <v>64</v>
      </c>
      <c r="D125">
        <f t="shared" si="4"/>
        <v>1</v>
      </c>
      <c r="E125" t="s">
        <v>18</v>
      </c>
      <c r="F125" t="s">
        <v>34</v>
      </c>
      <c r="G125" s="73" cm="1">
        <f t="array" ref="G125">INDEX(PPAcfd!$E$28:$T$35,Summary!K125,Summary!L125)</f>
        <v>19034076.10738232</v>
      </c>
      <c r="H125" s="73" cm="1">
        <f t="array" ref="H125">INDEX(SwapSold!$E$28:$T$35,Summary!K125,Summary!L125)</f>
        <v>27292855.414072435</v>
      </c>
      <c r="I125" s="20" cm="1">
        <f t="array" ref="I125">INDEX(DualFuelCM!$E$28:$T$35,Summary!K125,Summary!L125)</f>
        <v>14583192.823021336</v>
      </c>
      <c r="J125" s="20"/>
      <c r="K125">
        <f t="shared" si="6"/>
        <v>1</v>
      </c>
      <c r="L125">
        <f t="shared" si="10"/>
        <v>16</v>
      </c>
    </row>
    <row r="126" spans="2:12" x14ac:dyDescent="0.3">
      <c r="B126" t="str">
        <f t="shared" si="1"/>
        <v>MarinusPortland</v>
      </c>
      <c r="C126" t="s">
        <v>64</v>
      </c>
      <c r="D126">
        <f t="shared" si="4"/>
        <v>0.95</v>
      </c>
      <c r="E126" t="str">
        <f t="shared" si="11"/>
        <v>Cal-37</v>
      </c>
      <c r="F126" t="s">
        <v>34</v>
      </c>
      <c r="G126" s="73" cm="1">
        <f t="array" ref="G126">INDEX(PPAcfd!$E$28:$T$35,Summary!K126,Summary!L126)</f>
        <v>9698570.5594856013</v>
      </c>
      <c r="H126" s="73" cm="1">
        <f t="array" ref="H126">INDEX(SwapSold!$E$28:$T$35,Summary!K126,Summary!L126)</f>
        <v>13037941.356885795</v>
      </c>
      <c r="I126" s="20" cm="1">
        <f t="array" ref="I126">INDEX(DualFuelCM!$E$28:$T$35,Summary!K126,Summary!L126)</f>
        <v>10482163.533402247</v>
      </c>
      <c r="J126" s="20"/>
      <c r="K126">
        <f t="shared" si="6"/>
        <v>2</v>
      </c>
      <c r="L126">
        <f t="shared" si="10"/>
        <v>16</v>
      </c>
    </row>
    <row r="127" spans="2:12" x14ac:dyDescent="0.3">
      <c r="B127" t="str">
        <f t="shared" si="1"/>
        <v>MarinusPortland</v>
      </c>
      <c r="C127" t="s">
        <v>64</v>
      </c>
      <c r="D127">
        <f t="shared" si="4"/>
        <v>0.75</v>
      </c>
      <c r="E127" t="str">
        <f t="shared" si="11"/>
        <v>Cal-37</v>
      </c>
      <c r="F127" t="s">
        <v>34</v>
      </c>
      <c r="G127" s="73" cm="1">
        <f t="array" ref="G127">INDEX(PPAcfd!$E$28:$T$35,Summary!K127,Summary!L127)</f>
        <v>5905344.5315388702</v>
      </c>
      <c r="H127" s="73" cm="1">
        <f t="array" ref="H127">INDEX(SwapSold!$E$28:$T$35,Summary!K127,Summary!L127)</f>
        <v>4913140.1608508546</v>
      </c>
      <c r="I127" s="20" cm="1">
        <f t="array" ref="I127">INDEX(DualFuelCM!$E$28:$T$35,Summary!K127,Summary!L127)</f>
        <v>8909042.614403192</v>
      </c>
      <c r="J127" s="20"/>
      <c r="K127">
        <f t="shared" si="6"/>
        <v>3</v>
      </c>
      <c r="L127">
        <f t="shared" si="10"/>
        <v>16</v>
      </c>
    </row>
    <row r="128" spans="2:12" x14ac:dyDescent="0.3">
      <c r="B128" t="str">
        <f t="shared" si="1"/>
        <v>MarinusPortland</v>
      </c>
      <c r="C128" t="s">
        <v>64</v>
      </c>
      <c r="D128">
        <f t="shared" si="4"/>
        <v>0.5</v>
      </c>
      <c r="E128" t="str">
        <f t="shared" si="11"/>
        <v>Cal-37</v>
      </c>
      <c r="F128" t="s">
        <v>34</v>
      </c>
      <c r="G128" s="73" cm="1">
        <f t="array" ref="G128">INDEX(PPAcfd!$E$28:$T$35,Summary!K128,Summary!L128)</f>
        <v>2436927.8482014164</v>
      </c>
      <c r="H128" s="73" cm="1">
        <f t="array" ref="H128">INDEX(SwapSold!$E$28:$T$35,Summary!K128,Summary!L128)</f>
        <v>-179410.96531799287</v>
      </c>
      <c r="I128" s="20" cm="1">
        <f t="array" ref="I128">INDEX(DualFuelCM!$E$28:$T$35,Summary!K128,Summary!L128)</f>
        <v>7800358.0777795855</v>
      </c>
      <c r="J128" s="20"/>
      <c r="K128">
        <f t="shared" si="6"/>
        <v>4</v>
      </c>
      <c r="L128">
        <f t="shared" si="10"/>
        <v>16</v>
      </c>
    </row>
    <row r="129" spans="2:12" x14ac:dyDescent="0.3">
      <c r="B129" t="str">
        <f t="shared" si="1"/>
        <v>MarinusPortland</v>
      </c>
      <c r="C129" t="s">
        <v>64</v>
      </c>
      <c r="D129">
        <f t="shared" si="4"/>
        <v>0.25</v>
      </c>
      <c r="E129" t="str">
        <f t="shared" si="11"/>
        <v>Cal-37</v>
      </c>
      <c r="F129" t="s">
        <v>34</v>
      </c>
      <c r="G129" s="73" cm="1">
        <f t="array" ref="G129">INDEX(PPAcfd!$E$28:$T$35,Summary!K129,Summary!L129)</f>
        <v>-3306485.0380182895</v>
      </c>
      <c r="H129" s="73" cm="1">
        <f t="array" ref="H129">INDEX(SwapSold!$E$28:$T$35,Summary!K129,Summary!L129)</f>
        <v>-4305145.686470422</v>
      </c>
      <c r="I129" s="20" cm="1">
        <f t="array" ref="I129">INDEX(DualFuelCM!$E$28:$T$35,Summary!K129,Summary!L129)</f>
        <v>6306280.7733064415</v>
      </c>
      <c r="J129" s="20"/>
      <c r="K129">
        <f t="shared" si="6"/>
        <v>5</v>
      </c>
      <c r="L129">
        <f t="shared" si="10"/>
        <v>16</v>
      </c>
    </row>
    <row r="130" spans="2:12" x14ac:dyDescent="0.3">
      <c r="B130" t="str">
        <f t="shared" si="1"/>
        <v>MarinusPortland</v>
      </c>
      <c r="C130" t="s">
        <v>64</v>
      </c>
      <c r="D130">
        <f t="shared" si="4"/>
        <v>0.05</v>
      </c>
      <c r="E130" t="str">
        <f t="shared" si="11"/>
        <v>Cal-37</v>
      </c>
      <c r="F130" t="s">
        <v>34</v>
      </c>
      <c r="G130" s="73" cm="1">
        <f t="array" ref="G130">INDEX(PPAcfd!$E$28:$T$35,Summary!K130,Summary!L130)</f>
        <v>-11575567.245011112</v>
      </c>
      <c r="H130" s="73" cm="1">
        <f t="array" ref="H130">INDEX(SwapSold!$E$28:$T$35,Summary!K130,Summary!L130)</f>
        <v>-9188532.6132406686</v>
      </c>
      <c r="I130" s="20" cm="1">
        <f t="array" ref="I130">INDEX(DualFuelCM!$E$28:$T$35,Summary!K130,Summary!L130)</f>
        <v>4180075.6838940429</v>
      </c>
      <c r="J130" s="20"/>
      <c r="K130">
        <f t="shared" si="6"/>
        <v>6</v>
      </c>
      <c r="L130">
        <f t="shared" si="10"/>
        <v>16</v>
      </c>
    </row>
    <row r="131" spans="2:12" x14ac:dyDescent="0.3">
      <c r="B131" t="str">
        <f t="shared" si="1"/>
        <v>MarinusPortland</v>
      </c>
      <c r="C131" t="s">
        <v>64</v>
      </c>
      <c r="D131">
        <f t="shared" si="4"/>
        <v>0</v>
      </c>
      <c r="E131" t="str">
        <f t="shared" si="11"/>
        <v>Cal-37</v>
      </c>
      <c r="F131" t="s">
        <v>34</v>
      </c>
      <c r="G131" s="73" cm="1">
        <f t="array" ref="G131">INDEX(PPAcfd!$E$28:$T$35,Summary!K131,Summary!L131)</f>
        <v>-18031214.549025174</v>
      </c>
      <c r="H131" s="73" cm="1">
        <f t="array" ref="H131">INDEX(SwapSold!$E$28:$T$35,Summary!K131,Summary!L131)</f>
        <v>-20749059.644596826</v>
      </c>
      <c r="I131" s="20" cm="1">
        <f t="array" ref="I131">INDEX(DualFuelCM!$E$28:$T$35,Summary!K131,Summary!L131)</f>
        <v>2248050.1256101155</v>
      </c>
      <c r="J131" s="20"/>
      <c r="K131">
        <f t="shared" si="6"/>
        <v>7</v>
      </c>
      <c r="L131">
        <f t="shared" si="10"/>
        <v>16</v>
      </c>
    </row>
    <row r="132" spans="2:12" x14ac:dyDescent="0.3">
      <c r="B132" t="str">
        <f t="shared" si="1"/>
        <v>MarinusPortland</v>
      </c>
      <c r="C132" t="s">
        <v>64</v>
      </c>
      <c r="D132" t="str">
        <f t="shared" si="4"/>
        <v>avg</v>
      </c>
      <c r="E132" t="str">
        <f t="shared" si="11"/>
        <v>Cal-37</v>
      </c>
      <c r="F132" t="s">
        <v>34</v>
      </c>
      <c r="G132" s="73" cm="1">
        <f t="array" ref="G132">INDEX(PPAcfd!$E$28:$T$35,Summary!K132,Summary!L132)</f>
        <v>1027600.6476219398</v>
      </c>
      <c r="H132" s="73" cm="1">
        <f t="array" ref="H132">INDEX(SwapSold!$E$28:$T$35,Summary!K132,Summary!L132)</f>
        <v>598851.37603770511</v>
      </c>
      <c r="I132" s="20" cm="1">
        <f t="array" ref="I132">INDEX(DualFuelCM!$E$28:$T$35,Summary!K132,Summary!L132)</f>
        <v>7569112.4352537012</v>
      </c>
      <c r="J132" s="20"/>
      <c r="K132">
        <f t="shared" si="6"/>
        <v>8</v>
      </c>
      <c r="L132">
        <f t="shared" si="10"/>
        <v>16</v>
      </c>
    </row>
    <row r="133" spans="2:12" x14ac:dyDescent="0.3">
      <c r="B133" t="str">
        <f t="shared" si="1"/>
        <v>MarinusPortland</v>
      </c>
      <c r="C133" t="s">
        <v>64</v>
      </c>
      <c r="D133">
        <f t="shared" si="4"/>
        <v>1</v>
      </c>
      <c r="E133" t="str">
        <f>E5</f>
        <v>Cal-22</v>
      </c>
      <c r="F133" t="s">
        <v>44</v>
      </c>
      <c r="G133" s="73" cm="1">
        <f t="array" ref="G133">INDEX(PPAcfd!$E$28:$T$35,Summary!K133,Summary!L133)</f>
        <v>42921549.349923119</v>
      </c>
      <c r="H133" s="73" cm="1">
        <f t="array" ref="H133">INDEX(SwapSold!$E$28:$T$35,Summary!K133,Summary!L133)</f>
        <v>7378144.2146676332</v>
      </c>
      <c r="I133" s="20" cm="1">
        <f t="array" ref="I133">INDEX('2hBatteryCM'!$E$28:$T$35,Summary!K133,Summary!L133)</f>
        <v>8373890.6804175023</v>
      </c>
      <c r="J133" s="20"/>
      <c r="K133">
        <f t="shared" si="6"/>
        <v>1</v>
      </c>
      <c r="L133">
        <f t="shared" ref="L133:L140" si="12">VLOOKUP(E133,$R$5:$S$20,2,FALSE)</f>
        <v>1</v>
      </c>
    </row>
    <row r="134" spans="2:12" x14ac:dyDescent="0.3">
      <c r="B134" t="str">
        <f t="shared" si="1"/>
        <v>MarinusPortland</v>
      </c>
      <c r="C134" t="s">
        <v>64</v>
      </c>
      <c r="D134">
        <f t="shared" si="4"/>
        <v>0.95</v>
      </c>
      <c r="E134" t="str">
        <f t="shared" ref="E134:E260" si="13">E6</f>
        <v>Cal-22</v>
      </c>
      <c r="F134" t="s">
        <v>44</v>
      </c>
      <c r="G134" s="73" cm="1">
        <f t="array" ref="G134">INDEX(PPAcfd!$E$28:$T$35,Summary!K134,Summary!L134)</f>
        <v>30217301.135695796</v>
      </c>
      <c r="H134" s="73" cm="1">
        <f t="array" ref="H134">INDEX(SwapSold!$E$28:$T$35,Summary!K134,Summary!L134)</f>
        <v>3305517.361466316</v>
      </c>
      <c r="I134" s="20" cm="1">
        <f t="array" ref="I134">INDEX('2hBatteryCM'!$E$28:$T$35,Summary!K134,Summary!L134)</f>
        <v>5483134.7462438159</v>
      </c>
      <c r="J134" s="20"/>
      <c r="K134">
        <f t="shared" si="6"/>
        <v>2</v>
      </c>
      <c r="L134">
        <f t="shared" si="12"/>
        <v>1</v>
      </c>
    </row>
    <row r="135" spans="2:12" x14ac:dyDescent="0.3">
      <c r="B135" t="str">
        <f t="shared" si="1"/>
        <v>MarinusPortland</v>
      </c>
      <c r="C135" t="s">
        <v>64</v>
      </c>
      <c r="D135">
        <f t="shared" si="4"/>
        <v>0.75</v>
      </c>
      <c r="E135" t="str">
        <f t="shared" si="13"/>
        <v>Cal-22</v>
      </c>
      <c r="F135" t="s">
        <v>44</v>
      </c>
      <c r="G135" s="73" cm="1">
        <f t="array" ref="G135">INDEX(PPAcfd!$E$28:$T$35,Summary!K135,Summary!L135)</f>
        <v>23619270.426674854</v>
      </c>
      <c r="H135" s="73" cm="1">
        <f t="array" ref="H135">INDEX(SwapSold!$E$28:$T$35,Summary!K135,Summary!L135)</f>
        <v>1411985.7959917195</v>
      </c>
      <c r="I135" s="20" cm="1">
        <f t="array" ref="I135">INDEX('2hBatteryCM'!$E$28:$T$35,Summary!K135,Summary!L135)</f>
        <v>4359555.4670132948</v>
      </c>
      <c r="J135" s="20"/>
      <c r="K135">
        <f t="shared" si="6"/>
        <v>3</v>
      </c>
      <c r="L135">
        <f t="shared" si="12"/>
        <v>1</v>
      </c>
    </row>
    <row r="136" spans="2:12" x14ac:dyDescent="0.3">
      <c r="B136" t="str">
        <f t="shared" si="1"/>
        <v>MarinusPortland</v>
      </c>
      <c r="C136" t="s">
        <v>64</v>
      </c>
      <c r="D136">
        <f t="shared" si="4"/>
        <v>0.5</v>
      </c>
      <c r="E136" t="str">
        <f t="shared" si="13"/>
        <v>Cal-22</v>
      </c>
      <c r="F136" t="s">
        <v>44</v>
      </c>
      <c r="G136" s="73" cm="1">
        <f t="array" ref="G136">INDEX(PPAcfd!$E$28:$T$35,Summary!K136,Summary!L136)</f>
        <v>17933129.052012369</v>
      </c>
      <c r="H136" s="73" cm="1">
        <f t="array" ref="H136">INDEX(SwapSold!$E$28:$T$35,Summary!K136,Summary!L136)</f>
        <v>92.540903407009267</v>
      </c>
      <c r="I136" s="20" cm="1">
        <f t="array" ref="I136">INDEX('2hBatteryCM'!$E$28:$T$35,Summary!K136,Summary!L136)</f>
        <v>3649025.2600621753</v>
      </c>
      <c r="J136" s="20"/>
      <c r="K136">
        <f t="shared" si="6"/>
        <v>4</v>
      </c>
      <c r="L136">
        <f t="shared" si="12"/>
        <v>1</v>
      </c>
    </row>
    <row r="137" spans="2:12" x14ac:dyDescent="0.3">
      <c r="B137" t="str">
        <f t="shared" si="1"/>
        <v>MarinusPortland</v>
      </c>
      <c r="C137" t="s">
        <v>64</v>
      </c>
      <c r="D137">
        <f t="shared" si="4"/>
        <v>0.25</v>
      </c>
      <c r="E137" t="str">
        <f t="shared" si="13"/>
        <v>Cal-22</v>
      </c>
      <c r="F137" t="s">
        <v>44</v>
      </c>
      <c r="G137" s="73" cm="1">
        <f t="array" ref="G137">INDEX(PPAcfd!$E$28:$T$35,Summary!K137,Summary!L137)</f>
        <v>13976925.106400451</v>
      </c>
      <c r="H137" s="73" cm="1">
        <f t="array" ref="H137">INDEX(SwapSold!$E$28:$T$35,Summary!K137,Summary!L137)</f>
        <v>-1590820.0822472016</v>
      </c>
      <c r="I137" s="20" cm="1">
        <f t="array" ref="I137">INDEX('2hBatteryCM'!$E$28:$T$35,Summary!K137,Summary!L137)</f>
        <v>3056713.6529262657</v>
      </c>
      <c r="J137" s="20"/>
      <c r="K137">
        <f t="shared" si="6"/>
        <v>5</v>
      </c>
      <c r="L137">
        <f t="shared" si="12"/>
        <v>1</v>
      </c>
    </row>
    <row r="138" spans="2:12" x14ac:dyDescent="0.3">
      <c r="B138" t="str">
        <f t="shared" si="1"/>
        <v>MarinusPortland</v>
      </c>
      <c r="C138" t="s">
        <v>64</v>
      </c>
      <c r="D138">
        <f t="shared" si="4"/>
        <v>0.05</v>
      </c>
      <c r="E138" t="str">
        <f t="shared" si="13"/>
        <v>Cal-22</v>
      </c>
      <c r="F138" t="s">
        <v>44</v>
      </c>
      <c r="G138" s="73" cm="1">
        <f t="array" ref="G138">INDEX(PPAcfd!$E$28:$T$35,Summary!K138,Summary!L138)</f>
        <v>10329686.279967198</v>
      </c>
      <c r="H138" s="73" cm="1">
        <f t="array" ref="H138">INDEX(SwapSold!$E$28:$T$35,Summary!K138,Summary!L138)</f>
        <v>-3924983.1195126427</v>
      </c>
      <c r="I138" s="20" cm="1">
        <f t="array" ref="I138">INDEX('2hBatteryCM'!$E$28:$T$35,Summary!K138,Summary!L138)</f>
        <v>2360532.6534398715</v>
      </c>
      <c r="J138" s="20"/>
      <c r="K138">
        <f t="shared" si="6"/>
        <v>6</v>
      </c>
      <c r="L138">
        <f t="shared" si="12"/>
        <v>1</v>
      </c>
    </row>
    <row r="139" spans="2:12" x14ac:dyDescent="0.3">
      <c r="B139" t="str">
        <f t="shared" si="1"/>
        <v>MarinusPortland</v>
      </c>
      <c r="C139" t="s">
        <v>64</v>
      </c>
      <c r="D139">
        <f t="shared" si="4"/>
        <v>0</v>
      </c>
      <c r="E139" t="str">
        <f t="shared" si="13"/>
        <v>Cal-22</v>
      </c>
      <c r="F139" t="s">
        <v>44</v>
      </c>
      <c r="G139" s="73" cm="1">
        <f t="array" ref="G139">INDEX(PPAcfd!$E$28:$T$35,Summary!K139,Summary!L139)</f>
        <v>3733222.8768259604</v>
      </c>
      <c r="H139" s="73" cm="1">
        <f t="array" ref="H139">INDEX(SwapSold!$E$28:$T$35,Summary!K139,Summary!L139)</f>
        <v>-9214907.5181044675</v>
      </c>
      <c r="I139" s="20" cm="1">
        <f t="array" ref="I139">INDEX('2hBatteryCM'!$E$28:$T$35,Summary!K139,Summary!L139)</f>
        <v>1224189.049055109</v>
      </c>
      <c r="J139" s="20"/>
      <c r="K139">
        <f t="shared" si="6"/>
        <v>7</v>
      </c>
      <c r="L139">
        <f t="shared" si="12"/>
        <v>1</v>
      </c>
    </row>
    <row r="140" spans="2:12" x14ac:dyDescent="0.3">
      <c r="B140" t="str">
        <f t="shared" si="1"/>
        <v>MarinusPortland</v>
      </c>
      <c r="C140" t="s">
        <v>64</v>
      </c>
      <c r="D140" t="str">
        <f t="shared" si="4"/>
        <v>avg</v>
      </c>
      <c r="E140" t="str">
        <f t="shared" si="13"/>
        <v>Cal-22</v>
      </c>
      <c r="F140" t="s">
        <v>44</v>
      </c>
      <c r="G140" s="73" cm="1">
        <f t="array" ref="G140">INDEX(PPAcfd!$E$28:$T$35,Summary!K140,Summary!L140)</f>
        <v>19013643.015240952</v>
      </c>
      <c r="H140" s="73" cm="1">
        <f t="array" ref="H140">INDEX(SwapSold!$E$28:$T$35,Summary!K140,Summary!L140)</f>
        <v>-122596.3724619749</v>
      </c>
      <c r="I140" s="20" cm="1">
        <f t="array" ref="I140">INDEX('2hBatteryCM'!$E$28:$T$35,Summary!K140,Summary!L140)</f>
        <v>3758052.9532137904</v>
      </c>
      <c r="J140" s="20"/>
      <c r="K140">
        <f t="shared" si="6"/>
        <v>8</v>
      </c>
      <c r="L140">
        <f t="shared" si="12"/>
        <v>1</v>
      </c>
    </row>
    <row r="141" spans="2:12" x14ac:dyDescent="0.3">
      <c r="B141" t="str">
        <f t="shared" si="1"/>
        <v>MarinusPortland</v>
      </c>
      <c r="C141" t="s">
        <v>64</v>
      </c>
      <c r="D141">
        <f t="shared" si="4"/>
        <v>1</v>
      </c>
      <c r="E141" t="str">
        <f t="shared" si="13"/>
        <v>Cal-23</v>
      </c>
      <c r="F141" t="s">
        <v>44</v>
      </c>
      <c r="G141" s="73" cm="1">
        <f t="array" ref="G141">INDEX(PPAcfd!$E$28:$T$35,Summary!K141,Summary!L141)</f>
        <v>26744147.762844302</v>
      </c>
      <c r="H141" s="73" cm="1">
        <f t="array" ref="H141">INDEX(SwapSold!$E$28:$T$35,Summary!K141,Summary!L141)</f>
        <v>10027127.994788829</v>
      </c>
      <c r="I141" s="20" cm="1">
        <f t="array" ref="I141">INDEX('2hBatteryCM'!$E$28:$T$35,Summary!K141,Summary!L141)</f>
        <v>10229333.244018523</v>
      </c>
      <c r="J141" s="20"/>
      <c r="K141">
        <f t="shared" si="6"/>
        <v>1</v>
      </c>
      <c r="L141">
        <f t="shared" ref="L141:L204" si="14">VLOOKUP(E141,$R$5:$S$20,2,FALSE)</f>
        <v>2</v>
      </c>
    </row>
    <row r="142" spans="2:12" x14ac:dyDescent="0.3">
      <c r="B142" t="str">
        <f t="shared" si="1"/>
        <v>MarinusPortland</v>
      </c>
      <c r="C142" t="s">
        <v>64</v>
      </c>
      <c r="D142">
        <f t="shared" si="4"/>
        <v>0.95</v>
      </c>
      <c r="E142" t="str">
        <f t="shared" si="13"/>
        <v>Cal-23</v>
      </c>
      <c r="F142" t="s">
        <v>44</v>
      </c>
      <c r="G142" s="73" cm="1">
        <f t="array" ref="G142">INDEX(PPAcfd!$E$28:$T$35,Summary!K142,Summary!L142)</f>
        <v>15472973.955126081</v>
      </c>
      <c r="H142" s="73" cm="1">
        <f t="array" ref="H142">INDEX(SwapSold!$E$28:$T$35,Summary!K142,Summary!L142)</f>
        <v>4493800.4094558423</v>
      </c>
      <c r="I142" s="20" cm="1">
        <f t="array" ref="I142">INDEX('2hBatteryCM'!$E$28:$T$35,Summary!K142,Summary!L142)</f>
        <v>6810189.8551998781</v>
      </c>
      <c r="J142" s="20"/>
      <c r="K142">
        <f t="shared" si="6"/>
        <v>2</v>
      </c>
      <c r="L142">
        <f t="shared" si="14"/>
        <v>2</v>
      </c>
    </row>
    <row r="143" spans="2:12" x14ac:dyDescent="0.3">
      <c r="B143" t="str">
        <f t="shared" si="1"/>
        <v>MarinusPortland</v>
      </c>
      <c r="C143" t="s">
        <v>64</v>
      </c>
      <c r="D143">
        <f t="shared" si="4"/>
        <v>0.75</v>
      </c>
      <c r="E143" t="str">
        <f t="shared" si="13"/>
        <v>Cal-23</v>
      </c>
      <c r="F143" t="s">
        <v>44</v>
      </c>
      <c r="G143" s="73" cm="1">
        <f t="array" ref="G143">INDEX(PPAcfd!$E$28:$T$35,Summary!K143,Summary!L143)</f>
        <v>8973749.8142748699</v>
      </c>
      <c r="H143" s="73" cm="1">
        <f t="array" ref="H143">INDEX(SwapSold!$E$28:$T$35,Summary!K143,Summary!L143)</f>
        <v>1958943.5200518938</v>
      </c>
      <c r="I143" s="20" cm="1">
        <f t="array" ref="I143">INDEX('2hBatteryCM'!$E$28:$T$35,Summary!K143,Summary!L143)</f>
        <v>5493063.437627607</v>
      </c>
      <c r="J143" s="20"/>
      <c r="K143">
        <f t="shared" si="6"/>
        <v>3</v>
      </c>
      <c r="L143">
        <f t="shared" si="14"/>
        <v>2</v>
      </c>
    </row>
    <row r="144" spans="2:12" x14ac:dyDescent="0.3">
      <c r="B144" t="str">
        <f t="shared" si="1"/>
        <v>MarinusPortland</v>
      </c>
      <c r="C144" t="s">
        <v>64</v>
      </c>
      <c r="D144">
        <f t="shared" si="4"/>
        <v>0.5</v>
      </c>
      <c r="E144" t="str">
        <f t="shared" si="13"/>
        <v>Cal-23</v>
      </c>
      <c r="F144" t="s">
        <v>44</v>
      </c>
      <c r="G144" s="73" cm="1">
        <f t="array" ref="G144">INDEX(PPAcfd!$E$28:$T$35,Summary!K144,Summary!L144)</f>
        <v>3748075.5122986105</v>
      </c>
      <c r="H144" s="73" cm="1">
        <f t="array" ref="H144">INDEX(SwapSold!$E$28:$T$35,Summary!K144,Summary!L144)</f>
        <v>389.19601309524626</v>
      </c>
      <c r="I144" s="20" cm="1">
        <f t="array" ref="I144">INDEX('2hBatteryCM'!$E$28:$T$35,Summary!K144,Summary!L144)</f>
        <v>4709534.7475862838</v>
      </c>
      <c r="J144" s="20"/>
      <c r="K144">
        <f t="shared" si="6"/>
        <v>4</v>
      </c>
      <c r="L144">
        <f t="shared" si="14"/>
        <v>2</v>
      </c>
    </row>
    <row r="145" spans="2:12" x14ac:dyDescent="0.3">
      <c r="B145" t="str">
        <f t="shared" si="1"/>
        <v>MarinusPortland</v>
      </c>
      <c r="C145" t="s">
        <v>64</v>
      </c>
      <c r="D145">
        <f t="shared" si="4"/>
        <v>0.25</v>
      </c>
      <c r="E145" t="str">
        <f t="shared" si="13"/>
        <v>Cal-23</v>
      </c>
      <c r="F145" t="s">
        <v>44</v>
      </c>
      <c r="G145" s="73" cm="1">
        <f t="array" ref="G145">INDEX(PPAcfd!$E$28:$T$35,Summary!K145,Summary!L145)</f>
        <v>1602024.2522986692</v>
      </c>
      <c r="H145" s="73" cm="1">
        <f t="array" ref="H145">INDEX(SwapSold!$E$28:$T$35,Summary!K145,Summary!L145)</f>
        <v>-2124895.7829911434</v>
      </c>
      <c r="I145" s="20" cm="1">
        <f t="array" ref="I145">INDEX('2hBatteryCM'!$E$28:$T$35,Summary!K145,Summary!L145)</f>
        <v>3963413.8879184434</v>
      </c>
      <c r="J145" s="20"/>
      <c r="K145">
        <f t="shared" si="6"/>
        <v>5</v>
      </c>
      <c r="L145">
        <f t="shared" si="14"/>
        <v>2</v>
      </c>
    </row>
    <row r="146" spans="2:12" x14ac:dyDescent="0.3">
      <c r="B146" t="str">
        <f t="shared" si="1"/>
        <v>MarinusPortland</v>
      </c>
      <c r="C146" t="s">
        <v>64</v>
      </c>
      <c r="D146">
        <f t="shared" si="4"/>
        <v>0.05</v>
      </c>
      <c r="E146" t="str">
        <f t="shared" si="13"/>
        <v>Cal-23</v>
      </c>
      <c r="F146" t="s">
        <v>44</v>
      </c>
      <c r="G146" s="73" cm="1">
        <f t="array" ref="G146">INDEX(PPAcfd!$E$28:$T$35,Summary!K146,Summary!L146)</f>
        <v>-2226182.7781293415</v>
      </c>
      <c r="H146" s="73" cm="1">
        <f t="array" ref="H146">INDEX(SwapSold!$E$28:$T$35,Summary!K146,Summary!L146)</f>
        <v>-5472448.160202329</v>
      </c>
      <c r="I146" s="20" cm="1">
        <f t="array" ref="I146">INDEX('2hBatteryCM'!$E$28:$T$35,Summary!K146,Summary!L146)</f>
        <v>3086157.2335634087</v>
      </c>
      <c r="J146" s="20"/>
      <c r="K146">
        <f t="shared" si="6"/>
        <v>6</v>
      </c>
      <c r="L146">
        <f t="shared" si="14"/>
        <v>2</v>
      </c>
    </row>
    <row r="147" spans="2:12" x14ac:dyDescent="0.3">
      <c r="B147" t="str">
        <f t="shared" si="1"/>
        <v>MarinusPortland</v>
      </c>
      <c r="C147" t="s">
        <v>64</v>
      </c>
      <c r="D147">
        <f t="shared" si="4"/>
        <v>0</v>
      </c>
      <c r="E147" t="str">
        <f t="shared" si="13"/>
        <v>Cal-23</v>
      </c>
      <c r="F147" t="s">
        <v>44</v>
      </c>
      <c r="G147" s="73" cm="1">
        <f t="array" ref="G147">INDEX(PPAcfd!$E$28:$T$35,Summary!K147,Summary!L147)</f>
        <v>-6409679.0053364141</v>
      </c>
      <c r="H147" s="73" cm="1">
        <f t="array" ref="H147">INDEX(SwapSold!$E$28:$T$35,Summary!K147,Summary!L147)</f>
        <v>-15847278.123349112</v>
      </c>
      <c r="I147" s="20" cm="1">
        <f t="array" ref="I147">INDEX('2hBatteryCM'!$E$28:$T$35,Summary!K147,Summary!L147)</f>
        <v>1588314.1721176903</v>
      </c>
      <c r="J147" s="20"/>
      <c r="K147">
        <f t="shared" si="6"/>
        <v>7</v>
      </c>
      <c r="L147">
        <f t="shared" si="14"/>
        <v>2</v>
      </c>
    </row>
    <row r="148" spans="2:12" x14ac:dyDescent="0.3">
      <c r="B148" t="str">
        <f t="shared" si="1"/>
        <v>MarinusPortland</v>
      </c>
      <c r="C148" t="s">
        <v>64</v>
      </c>
      <c r="D148" t="str">
        <f t="shared" si="4"/>
        <v>avg</v>
      </c>
      <c r="E148" t="str">
        <f t="shared" si="13"/>
        <v>Cal-23</v>
      </c>
      <c r="F148" t="s">
        <v>44</v>
      </c>
      <c r="G148" s="73" cm="1">
        <f t="array" ref="G148">INDEX(PPAcfd!$E$28:$T$35,Summary!K148,Summary!L148)</f>
        <v>5402854.1614119262</v>
      </c>
      <c r="H148" s="73" cm="1">
        <f t="array" ref="H148">INDEX(SwapSold!$E$28:$T$35,Summary!K148,Summary!L148)</f>
        <v>-175074.13036700661</v>
      </c>
      <c r="I148" s="20" cm="1">
        <f t="array" ref="I148">INDEX('2hBatteryCM'!$E$28:$T$35,Summary!K148,Summary!L148)</f>
        <v>4776850.2804363398</v>
      </c>
      <c r="J148" s="20"/>
      <c r="K148">
        <f t="shared" si="6"/>
        <v>8</v>
      </c>
      <c r="L148">
        <f t="shared" si="14"/>
        <v>2</v>
      </c>
    </row>
    <row r="149" spans="2:12" x14ac:dyDescent="0.3">
      <c r="B149" t="str">
        <f t="shared" si="1"/>
        <v>MarinusPortland</v>
      </c>
      <c r="C149" t="s">
        <v>64</v>
      </c>
      <c r="D149">
        <f t="shared" si="4"/>
        <v>1</v>
      </c>
      <c r="E149" t="str">
        <f t="shared" si="13"/>
        <v>Cal-24</v>
      </c>
      <c r="F149" t="s">
        <v>44</v>
      </c>
      <c r="G149" s="73" cm="1">
        <f t="array" ref="G149">INDEX(PPAcfd!$E$28:$T$35,Summary!K149,Summary!L149)</f>
        <v>16341145.621148063</v>
      </c>
      <c r="H149" s="73" cm="1">
        <f t="array" ref="H149">INDEX(SwapSold!$E$28:$T$35,Summary!K149,Summary!L149)</f>
        <v>11924784.01556894</v>
      </c>
      <c r="I149" s="20" cm="1">
        <f t="array" ref="I149">INDEX('2hBatteryCM'!$E$28:$T$35,Summary!K149,Summary!L149)</f>
        <v>9816335.7337928973</v>
      </c>
      <c r="J149" s="20"/>
      <c r="K149">
        <f t="shared" si="6"/>
        <v>1</v>
      </c>
      <c r="L149">
        <f t="shared" si="14"/>
        <v>3</v>
      </c>
    </row>
    <row r="150" spans="2:12" x14ac:dyDescent="0.3">
      <c r="B150" t="str">
        <f t="shared" si="1"/>
        <v>MarinusPortland</v>
      </c>
      <c r="C150" t="s">
        <v>64</v>
      </c>
      <c r="D150">
        <f t="shared" si="4"/>
        <v>0.95</v>
      </c>
      <c r="E150" t="str">
        <f t="shared" si="13"/>
        <v>Cal-24</v>
      </c>
      <c r="F150" t="s">
        <v>44</v>
      </c>
      <c r="G150" s="73" cm="1">
        <f t="array" ref="G150">INDEX(PPAcfd!$E$28:$T$35,Summary!K150,Summary!L150)</f>
        <v>6106770.9114028793</v>
      </c>
      <c r="H150" s="73" cm="1">
        <f t="array" ref="H150">INDEX(SwapSold!$E$28:$T$35,Summary!K150,Summary!L150)</f>
        <v>5888229.0578002948</v>
      </c>
      <c r="I150" s="20" cm="1">
        <f t="array" ref="I150">INDEX('2hBatteryCM'!$E$28:$T$35,Summary!K150,Summary!L150)</f>
        <v>6041623.3031016644</v>
      </c>
      <c r="J150" s="20"/>
      <c r="K150">
        <f t="shared" si="6"/>
        <v>2</v>
      </c>
      <c r="L150">
        <f t="shared" si="14"/>
        <v>3</v>
      </c>
    </row>
    <row r="151" spans="2:12" x14ac:dyDescent="0.3">
      <c r="B151" t="str">
        <f t="shared" si="1"/>
        <v>MarinusPortland</v>
      </c>
      <c r="C151" t="s">
        <v>64</v>
      </c>
      <c r="D151">
        <f t="shared" si="4"/>
        <v>0.75</v>
      </c>
      <c r="E151" t="str">
        <f t="shared" si="13"/>
        <v>Cal-24</v>
      </c>
      <c r="F151" t="s">
        <v>44</v>
      </c>
      <c r="G151" s="73" cm="1">
        <f t="array" ref="G151">INDEX(PPAcfd!$E$28:$T$35,Summary!K151,Summary!L151)</f>
        <v>-326455.46626934822</v>
      </c>
      <c r="H151" s="73" cm="1">
        <f t="array" ref="H151">INDEX(SwapSold!$E$28:$T$35,Summary!K151,Summary!L151)</f>
        <v>2489219.4461912522</v>
      </c>
      <c r="I151" s="20" cm="1">
        <f t="array" ref="I151">INDEX('2hBatteryCM'!$E$28:$T$35,Summary!K151,Summary!L151)</f>
        <v>4607145.4770878619</v>
      </c>
      <c r="J151" s="20"/>
      <c r="K151">
        <f t="shared" si="6"/>
        <v>3</v>
      </c>
      <c r="L151">
        <f t="shared" si="14"/>
        <v>3</v>
      </c>
    </row>
    <row r="152" spans="2:12" x14ac:dyDescent="0.3">
      <c r="B152" t="str">
        <f t="shared" si="1"/>
        <v>MarinusPortland</v>
      </c>
      <c r="C152" t="s">
        <v>64</v>
      </c>
      <c r="D152">
        <f t="shared" si="4"/>
        <v>0.5</v>
      </c>
      <c r="E152" t="str">
        <f t="shared" si="13"/>
        <v>Cal-24</v>
      </c>
      <c r="F152" t="s">
        <v>44</v>
      </c>
      <c r="G152" s="73" cm="1">
        <f t="array" ref="G152">INDEX(PPAcfd!$E$28:$T$35,Summary!K152,Summary!L152)</f>
        <v>-4430930.384617975</v>
      </c>
      <c r="H152" s="73" cm="1">
        <f t="array" ref="H152">INDEX(SwapSold!$E$28:$T$35,Summary!K152,Summary!L152)</f>
        <v>-1328.9987945802475</v>
      </c>
      <c r="I152" s="20" cm="1">
        <f t="array" ref="I152">INDEX('2hBatteryCM'!$E$28:$T$35,Summary!K152,Summary!L152)</f>
        <v>3763590.331501028</v>
      </c>
      <c r="J152" s="20"/>
      <c r="K152">
        <f t="shared" si="6"/>
        <v>4</v>
      </c>
      <c r="L152">
        <f t="shared" si="14"/>
        <v>3</v>
      </c>
    </row>
    <row r="153" spans="2:12" x14ac:dyDescent="0.3">
      <c r="B153" t="str">
        <f t="shared" si="1"/>
        <v>MarinusPortland</v>
      </c>
      <c r="C153" t="s">
        <v>64</v>
      </c>
      <c r="D153">
        <f t="shared" si="4"/>
        <v>0.25</v>
      </c>
      <c r="E153" t="str">
        <f t="shared" si="13"/>
        <v>Cal-24</v>
      </c>
      <c r="F153" t="s">
        <v>44</v>
      </c>
      <c r="G153" s="73" cm="1">
        <f t="array" ref="G153">INDEX(PPAcfd!$E$28:$T$35,Summary!K153,Summary!L153)</f>
        <v>-7222673.6401614686</v>
      </c>
      <c r="H153" s="73" cm="1">
        <f t="array" ref="H153">INDEX(SwapSold!$E$28:$T$35,Summary!K153,Summary!L153)</f>
        <v>-2531642.5358235184</v>
      </c>
      <c r="I153" s="20" cm="1">
        <f t="array" ref="I153">INDEX('2hBatteryCM'!$E$28:$T$35,Summary!K153,Summary!L153)</f>
        <v>2994321.3209519293</v>
      </c>
      <c r="J153" s="20"/>
      <c r="K153">
        <f t="shared" si="6"/>
        <v>5</v>
      </c>
      <c r="L153">
        <f t="shared" si="14"/>
        <v>3</v>
      </c>
    </row>
    <row r="154" spans="2:12" x14ac:dyDescent="0.3">
      <c r="B154" t="str">
        <f t="shared" si="1"/>
        <v>MarinusPortland</v>
      </c>
      <c r="C154" t="s">
        <v>64</v>
      </c>
      <c r="D154">
        <f t="shared" si="4"/>
        <v>0.05</v>
      </c>
      <c r="E154" t="str">
        <f t="shared" si="13"/>
        <v>Cal-24</v>
      </c>
      <c r="F154" t="s">
        <v>44</v>
      </c>
      <c r="G154" s="73" cm="1">
        <f t="array" ref="G154">INDEX(PPAcfd!$E$28:$T$35,Summary!K154,Summary!L154)</f>
        <v>-10796945.24338685</v>
      </c>
      <c r="H154" s="73" cm="1">
        <f t="array" ref="H154">INDEX(SwapSold!$E$28:$T$35,Summary!K154,Summary!L154)</f>
        <v>-6345462.0643353947</v>
      </c>
      <c r="I154" s="20" cm="1">
        <f t="array" ref="I154">INDEX('2hBatteryCM'!$E$28:$T$35,Summary!K154,Summary!L154)</f>
        <v>2101745.6840126454</v>
      </c>
      <c r="J154" s="20"/>
      <c r="K154">
        <f t="shared" si="6"/>
        <v>6</v>
      </c>
      <c r="L154">
        <f t="shared" si="14"/>
        <v>3</v>
      </c>
    </row>
    <row r="155" spans="2:12" x14ac:dyDescent="0.3">
      <c r="B155" t="str">
        <f t="shared" si="1"/>
        <v>MarinusPortland</v>
      </c>
      <c r="C155" t="s">
        <v>64</v>
      </c>
      <c r="D155">
        <f t="shared" si="4"/>
        <v>0</v>
      </c>
      <c r="E155" t="str">
        <f t="shared" si="13"/>
        <v>Cal-24</v>
      </c>
      <c r="F155" t="s">
        <v>44</v>
      </c>
      <c r="G155" s="73" cm="1">
        <f t="array" ref="G155">INDEX(PPAcfd!$E$28:$T$35,Summary!K155,Summary!L155)</f>
        <v>-16434156.496391505</v>
      </c>
      <c r="H155" s="73" cm="1">
        <f t="array" ref="H155">INDEX(SwapSold!$E$28:$T$35,Summary!K155,Summary!L155)</f>
        <v>-14274221.106096838</v>
      </c>
      <c r="I155" s="20" cm="1">
        <f t="array" ref="I155">INDEX('2hBatteryCM'!$E$28:$T$35,Summary!K155,Summary!L155)</f>
        <v>867870.34688859864</v>
      </c>
      <c r="J155" s="20"/>
      <c r="K155">
        <f t="shared" si="6"/>
        <v>7</v>
      </c>
      <c r="L155">
        <f t="shared" si="14"/>
        <v>3</v>
      </c>
    </row>
    <row r="156" spans="2:12" x14ac:dyDescent="0.3">
      <c r="B156" t="str">
        <f t="shared" si="1"/>
        <v>MarinusPortland</v>
      </c>
      <c r="C156" t="s">
        <v>64</v>
      </c>
      <c r="D156" t="str">
        <f t="shared" si="4"/>
        <v>avg</v>
      </c>
      <c r="E156" t="str">
        <f t="shared" si="13"/>
        <v>Cal-24</v>
      </c>
      <c r="F156" t="s">
        <v>44</v>
      </c>
      <c r="G156" s="73" cm="1">
        <f t="array" ref="G156">INDEX(PPAcfd!$E$28:$T$35,Summary!K156,Summary!L156)</f>
        <v>-3552232.1300931172</v>
      </c>
      <c r="H156" s="73" cm="1">
        <f t="array" ref="H156">INDEX(SwapSold!$E$28:$T$35,Summary!K156,Summary!L156)</f>
        <v>-88522.436880655383</v>
      </c>
      <c r="I156" s="20" cm="1">
        <f t="array" ref="I156">INDEX('2hBatteryCM'!$E$28:$T$35,Summary!K156,Summary!L156)</f>
        <v>3831419.0453938055</v>
      </c>
      <c r="J156" s="20"/>
      <c r="K156">
        <f t="shared" si="6"/>
        <v>8</v>
      </c>
      <c r="L156">
        <f t="shared" si="14"/>
        <v>3</v>
      </c>
    </row>
    <row r="157" spans="2:12" x14ac:dyDescent="0.3">
      <c r="B157" t="str">
        <f t="shared" si="1"/>
        <v>MarinusPortland</v>
      </c>
      <c r="C157" t="s">
        <v>64</v>
      </c>
      <c r="D157">
        <f t="shared" si="4"/>
        <v>1</v>
      </c>
      <c r="E157" t="str">
        <f t="shared" si="13"/>
        <v>Cal-25</v>
      </c>
      <c r="F157" t="s">
        <v>44</v>
      </c>
      <c r="G157" s="73" cm="1">
        <f t="array" ref="G157">INDEX(PPAcfd!$E$28:$T$35,Summary!K157,Summary!L157)</f>
        <v>14008390.89326204</v>
      </c>
      <c r="H157" s="73" cm="1">
        <f t="array" ref="H157">INDEX(SwapSold!$E$28:$T$35,Summary!K157,Summary!L157)</f>
        <v>10095271.477715801</v>
      </c>
      <c r="I157" s="20" cm="1">
        <f t="array" ref="I157">INDEX('2hBatteryCM'!$E$28:$T$35,Summary!K157,Summary!L157)</f>
        <v>9100676.2870243285</v>
      </c>
      <c r="J157" s="20"/>
      <c r="K157">
        <f t="shared" si="6"/>
        <v>1</v>
      </c>
      <c r="L157">
        <f t="shared" si="14"/>
        <v>4</v>
      </c>
    </row>
    <row r="158" spans="2:12" x14ac:dyDescent="0.3">
      <c r="B158" t="str">
        <f t="shared" si="1"/>
        <v>MarinusPortland</v>
      </c>
      <c r="C158" t="s">
        <v>64</v>
      </c>
      <c r="D158">
        <f t="shared" si="4"/>
        <v>0.95</v>
      </c>
      <c r="E158" t="str">
        <f t="shared" si="13"/>
        <v>Cal-25</v>
      </c>
      <c r="F158" t="s">
        <v>44</v>
      </c>
      <c r="G158" s="73" cm="1">
        <f t="array" ref="G158">INDEX(PPAcfd!$E$28:$T$35,Summary!K158,Summary!L158)</f>
        <v>5091551.1218864843</v>
      </c>
      <c r="H158" s="73" cm="1">
        <f t="array" ref="H158">INDEX(SwapSold!$E$28:$T$35,Summary!K158,Summary!L158)</f>
        <v>5063190.5790629871</v>
      </c>
      <c r="I158" s="20" cm="1">
        <f t="array" ref="I158">INDEX('2hBatteryCM'!$E$28:$T$35,Summary!K158,Summary!L158)</f>
        <v>6368317.2644279869</v>
      </c>
      <c r="J158" s="20"/>
      <c r="K158">
        <f t="shared" si="6"/>
        <v>2</v>
      </c>
      <c r="L158">
        <f t="shared" si="14"/>
        <v>4</v>
      </c>
    </row>
    <row r="159" spans="2:12" x14ac:dyDescent="0.3">
      <c r="B159" t="str">
        <f t="shared" si="1"/>
        <v>MarinusPortland</v>
      </c>
      <c r="C159" t="s">
        <v>64</v>
      </c>
      <c r="D159">
        <f t="shared" si="4"/>
        <v>0.75</v>
      </c>
      <c r="E159" t="str">
        <f t="shared" si="13"/>
        <v>Cal-25</v>
      </c>
      <c r="F159" t="s">
        <v>44</v>
      </c>
      <c r="G159" s="73" cm="1">
        <f t="array" ref="G159">INDEX(PPAcfd!$E$28:$T$35,Summary!K159,Summary!L159)</f>
        <v>-835607.01633421273</v>
      </c>
      <c r="H159" s="73" cm="1">
        <f t="array" ref="H159">INDEX(SwapSold!$E$28:$T$35,Summary!K159,Summary!L159)</f>
        <v>2187841.3767984277</v>
      </c>
      <c r="I159" s="20" cm="1">
        <f t="array" ref="I159">INDEX('2hBatteryCM'!$E$28:$T$35,Summary!K159,Summary!L159)</f>
        <v>5028323.4961232767</v>
      </c>
      <c r="J159" s="20"/>
      <c r="K159">
        <f t="shared" si="6"/>
        <v>3</v>
      </c>
      <c r="L159">
        <f t="shared" si="14"/>
        <v>4</v>
      </c>
    </row>
    <row r="160" spans="2:12" x14ac:dyDescent="0.3">
      <c r="B160" t="str">
        <f t="shared" si="1"/>
        <v>MarinusPortland</v>
      </c>
      <c r="C160" t="s">
        <v>64</v>
      </c>
      <c r="D160">
        <f t="shared" si="4"/>
        <v>0.5</v>
      </c>
      <c r="E160" t="str">
        <f t="shared" si="13"/>
        <v>Cal-25</v>
      </c>
      <c r="F160" t="s">
        <v>44</v>
      </c>
      <c r="G160" s="73" cm="1">
        <f t="array" ref="G160">INDEX(PPAcfd!$E$28:$T$35,Summary!K160,Summary!L160)</f>
        <v>-4034908.4475090615</v>
      </c>
      <c r="H160" s="73" cm="1">
        <f t="array" ref="H160">INDEX(SwapSold!$E$28:$T$35,Summary!K160,Summary!L160)</f>
        <v>100771.99969843622</v>
      </c>
      <c r="I160" s="20" cm="1">
        <f t="array" ref="I160">INDEX('2hBatteryCM'!$E$28:$T$35,Summary!K160,Summary!L160)</f>
        <v>4203384.5259492463</v>
      </c>
      <c r="J160" s="20"/>
      <c r="K160">
        <f t="shared" si="6"/>
        <v>4</v>
      </c>
      <c r="L160">
        <f t="shared" si="14"/>
        <v>4</v>
      </c>
    </row>
    <row r="161" spans="2:12" x14ac:dyDescent="0.3">
      <c r="B161" t="str">
        <f t="shared" si="1"/>
        <v>MarinusPortland</v>
      </c>
      <c r="C161" t="s">
        <v>64</v>
      </c>
      <c r="D161">
        <f t="shared" si="4"/>
        <v>0.25</v>
      </c>
      <c r="E161" t="str">
        <f t="shared" si="13"/>
        <v>Cal-25</v>
      </c>
      <c r="F161" t="s">
        <v>44</v>
      </c>
      <c r="G161" s="73" cm="1">
        <f t="array" ref="G161">INDEX(PPAcfd!$E$28:$T$35,Summary!K161,Summary!L161)</f>
        <v>-6266918.8883838234</v>
      </c>
      <c r="H161" s="73" cm="1">
        <f t="array" ref="H161">INDEX(SwapSold!$E$28:$T$35,Summary!K161,Summary!L161)</f>
        <v>-2111992.6559934411</v>
      </c>
      <c r="I161" s="20" cm="1">
        <f t="array" ref="I161">INDEX('2hBatteryCM'!$E$28:$T$35,Summary!K161,Summary!L161)</f>
        <v>3496986.8420901541</v>
      </c>
      <c r="J161" s="20"/>
      <c r="K161">
        <f t="shared" si="6"/>
        <v>5</v>
      </c>
      <c r="L161">
        <f t="shared" si="14"/>
        <v>4</v>
      </c>
    </row>
    <row r="162" spans="2:12" x14ac:dyDescent="0.3">
      <c r="B162" t="str">
        <f t="shared" si="1"/>
        <v>MarinusPortland</v>
      </c>
      <c r="C162" t="s">
        <v>64</v>
      </c>
      <c r="D162">
        <f t="shared" si="4"/>
        <v>0.05</v>
      </c>
      <c r="E162" t="str">
        <f t="shared" si="13"/>
        <v>Cal-25</v>
      </c>
      <c r="F162" t="s">
        <v>44</v>
      </c>
      <c r="G162" s="73" cm="1">
        <f t="array" ref="G162">INDEX(PPAcfd!$E$28:$T$35,Summary!K162,Summary!L162)</f>
        <v>-9713014.5360519662</v>
      </c>
      <c r="H162" s="73" cm="1">
        <f t="array" ref="H162">INDEX(SwapSold!$E$28:$T$35,Summary!K162,Summary!L162)</f>
        <v>-5599637.7208701055</v>
      </c>
      <c r="I162" s="20" cm="1">
        <f t="array" ref="I162">INDEX('2hBatteryCM'!$E$28:$T$35,Summary!K162,Summary!L162)</f>
        <v>2626650.1397670945</v>
      </c>
      <c r="J162" s="20"/>
      <c r="K162">
        <f t="shared" si="6"/>
        <v>6</v>
      </c>
      <c r="L162">
        <f t="shared" si="14"/>
        <v>4</v>
      </c>
    </row>
    <row r="163" spans="2:12" x14ac:dyDescent="0.3">
      <c r="B163" t="str">
        <f t="shared" si="1"/>
        <v>MarinusPortland</v>
      </c>
      <c r="C163" t="s">
        <v>64</v>
      </c>
      <c r="D163">
        <f t="shared" si="4"/>
        <v>0</v>
      </c>
      <c r="E163" t="str">
        <f t="shared" si="13"/>
        <v>Cal-25</v>
      </c>
      <c r="F163" t="s">
        <v>44</v>
      </c>
      <c r="G163" s="73" cm="1">
        <f t="array" ref="G163">INDEX(PPAcfd!$E$28:$T$35,Summary!K163,Summary!L163)</f>
        <v>-14119223.01328058</v>
      </c>
      <c r="H163" s="73" cm="1">
        <f t="array" ref="H163">INDEX(SwapSold!$E$28:$T$35,Summary!K163,Summary!L163)</f>
        <v>-15062286.304095477</v>
      </c>
      <c r="I163" s="20" cm="1">
        <f t="array" ref="I163">INDEX('2hBatteryCM'!$E$28:$T$35,Summary!K163,Summary!L163)</f>
        <v>1218288.4838539469</v>
      </c>
      <c r="J163" s="20"/>
      <c r="K163">
        <f t="shared" si="6"/>
        <v>7</v>
      </c>
      <c r="L163">
        <f t="shared" si="14"/>
        <v>4</v>
      </c>
    </row>
    <row r="164" spans="2:12" x14ac:dyDescent="0.3">
      <c r="B164" t="str">
        <f t="shared" si="1"/>
        <v>MarinusPortland</v>
      </c>
      <c r="C164" t="s">
        <v>64</v>
      </c>
      <c r="D164" t="str">
        <f t="shared" si="4"/>
        <v>avg</v>
      </c>
      <c r="E164" t="str">
        <f t="shared" si="13"/>
        <v>Cal-25</v>
      </c>
      <c r="F164" t="s">
        <v>44</v>
      </c>
      <c r="G164" s="73" cm="1">
        <f t="array" ref="G164">INDEX(PPAcfd!$E$28:$T$35,Summary!K164,Summary!L164)</f>
        <v>-3348012.7250320832</v>
      </c>
      <c r="H164" s="73" cm="1">
        <f t="array" ref="H164">INDEX(SwapSold!$E$28:$T$35,Summary!K164,Summary!L164)</f>
        <v>-41082.764922050592</v>
      </c>
      <c r="I164" s="20" cm="1">
        <f t="array" ref="I164">INDEX('2hBatteryCM'!$E$28:$T$35,Summary!K164,Summary!L164)</f>
        <v>4294552.5266935024</v>
      </c>
      <c r="J164" s="20"/>
      <c r="K164">
        <f t="shared" si="6"/>
        <v>8</v>
      </c>
      <c r="L164">
        <f t="shared" si="14"/>
        <v>4</v>
      </c>
    </row>
    <row r="165" spans="2:12" x14ac:dyDescent="0.3">
      <c r="B165" t="str">
        <f t="shared" si="1"/>
        <v>MarinusPortland</v>
      </c>
      <c r="C165" t="s">
        <v>64</v>
      </c>
      <c r="D165">
        <f t="shared" si="4"/>
        <v>1</v>
      </c>
      <c r="E165" t="str">
        <f t="shared" si="13"/>
        <v>Cal-26</v>
      </c>
      <c r="F165" t="s">
        <v>44</v>
      </c>
      <c r="G165" s="73" cm="1">
        <f t="array" ref="G165">INDEX(PPAcfd!$E$28:$T$35,Summary!K165,Summary!L165)</f>
        <v>17860497.031073336</v>
      </c>
      <c r="H165" s="73" cm="1">
        <f t="array" ref="H165">INDEX(SwapSold!$E$28:$T$35,Summary!K165,Summary!L165)</f>
        <v>12721376.261145793</v>
      </c>
      <c r="I165" s="20" cm="1">
        <f t="array" ref="I165">INDEX('2hBatteryCM'!$E$28:$T$35,Summary!K165,Summary!L165)</f>
        <v>11105800.414434144</v>
      </c>
      <c r="J165" s="20"/>
      <c r="K165">
        <f t="shared" si="6"/>
        <v>1</v>
      </c>
      <c r="L165">
        <f t="shared" si="14"/>
        <v>5</v>
      </c>
    </row>
    <row r="166" spans="2:12" x14ac:dyDescent="0.3">
      <c r="B166" t="str">
        <f t="shared" si="1"/>
        <v>MarinusPortland</v>
      </c>
      <c r="C166" t="s">
        <v>64</v>
      </c>
      <c r="D166">
        <f t="shared" si="4"/>
        <v>0.95</v>
      </c>
      <c r="E166" t="str">
        <f t="shared" si="13"/>
        <v>Cal-26</v>
      </c>
      <c r="F166" t="s">
        <v>44</v>
      </c>
      <c r="G166" s="73" cm="1">
        <f t="array" ref="G166">INDEX(PPAcfd!$E$28:$T$35,Summary!K166,Summary!L166)</f>
        <v>6417285.7733485429</v>
      </c>
      <c r="H166" s="73" cm="1">
        <f t="array" ref="H166">INDEX(SwapSold!$E$28:$T$35,Summary!K166,Summary!L166)</f>
        <v>5586877.5939936759</v>
      </c>
      <c r="I166" s="20" cm="1">
        <f t="array" ref="I166">INDEX('2hBatteryCM'!$E$28:$T$35,Summary!K166,Summary!L166)</f>
        <v>7550199.5876994841</v>
      </c>
      <c r="J166" s="20"/>
      <c r="K166">
        <f t="shared" si="6"/>
        <v>2</v>
      </c>
      <c r="L166">
        <f t="shared" si="14"/>
        <v>5</v>
      </c>
    </row>
    <row r="167" spans="2:12" x14ac:dyDescent="0.3">
      <c r="B167" t="str">
        <f t="shared" si="1"/>
        <v>MarinusPortland</v>
      </c>
      <c r="C167" t="s">
        <v>64</v>
      </c>
      <c r="D167">
        <f t="shared" si="4"/>
        <v>0.75</v>
      </c>
      <c r="E167" t="str">
        <f t="shared" si="13"/>
        <v>Cal-26</v>
      </c>
      <c r="F167" t="s">
        <v>44</v>
      </c>
      <c r="G167" s="73" cm="1">
        <f t="array" ref="G167">INDEX(PPAcfd!$E$28:$T$35,Summary!K167,Summary!L167)</f>
        <v>1140654.1441268765</v>
      </c>
      <c r="H167" s="73" cm="1">
        <f t="array" ref="H167">INDEX(SwapSold!$E$28:$T$35,Summary!K167,Summary!L167)</f>
        <v>2331061.5797656192</v>
      </c>
      <c r="I167" s="20" cm="1">
        <f t="array" ref="I167">INDEX('2hBatteryCM'!$E$28:$T$35,Summary!K167,Summary!L167)</f>
        <v>6066787.0879940121</v>
      </c>
      <c r="J167" s="20"/>
      <c r="K167">
        <f t="shared" si="6"/>
        <v>3</v>
      </c>
      <c r="L167">
        <f t="shared" si="14"/>
        <v>5</v>
      </c>
    </row>
    <row r="168" spans="2:12" x14ac:dyDescent="0.3">
      <c r="B168" t="str">
        <f t="shared" si="1"/>
        <v>MarinusPortland</v>
      </c>
      <c r="C168" t="s">
        <v>64</v>
      </c>
      <c r="D168">
        <f t="shared" si="4"/>
        <v>0.5</v>
      </c>
      <c r="E168" t="str">
        <f t="shared" si="13"/>
        <v>Cal-26</v>
      </c>
      <c r="F168" t="s">
        <v>44</v>
      </c>
      <c r="G168" s="73" cm="1">
        <f t="array" ref="G168">INDEX(PPAcfd!$E$28:$T$35,Summary!K168,Summary!L168)</f>
        <v>-2195834.406320299</v>
      </c>
      <c r="H168" s="73" cm="1">
        <f t="array" ref="H168">INDEX(SwapSold!$E$28:$T$35,Summary!K168,Summary!L168)</f>
        <v>13103.939556304624</v>
      </c>
      <c r="I168" s="20" cm="1">
        <f t="array" ref="I168">INDEX('2hBatteryCM'!$E$28:$T$35,Summary!K168,Summary!L168)</f>
        <v>5098863.9923250647</v>
      </c>
      <c r="J168" s="20"/>
      <c r="K168">
        <f t="shared" si="6"/>
        <v>4</v>
      </c>
      <c r="L168">
        <f t="shared" si="14"/>
        <v>5</v>
      </c>
    </row>
    <row r="169" spans="2:12" x14ac:dyDescent="0.3">
      <c r="B169" t="str">
        <f t="shared" si="1"/>
        <v>MarinusPortland</v>
      </c>
      <c r="C169" t="s">
        <v>64</v>
      </c>
      <c r="D169">
        <f t="shared" si="4"/>
        <v>0.25</v>
      </c>
      <c r="E169" t="str">
        <f t="shared" si="13"/>
        <v>Cal-26</v>
      </c>
      <c r="F169" t="s">
        <v>44</v>
      </c>
      <c r="G169" s="73" cm="1">
        <f t="array" ref="G169">INDEX(PPAcfd!$E$28:$T$35,Summary!K169,Summary!L169)</f>
        <v>-5000816.0483356267</v>
      </c>
      <c r="H169" s="73" cm="1">
        <f t="array" ref="H169">INDEX(SwapSold!$E$28:$T$35,Summary!K169,Summary!L169)</f>
        <v>-2418494.3378620916</v>
      </c>
      <c r="I169" s="20" cm="1">
        <f t="array" ref="I169">INDEX('2hBatteryCM'!$E$28:$T$35,Summary!K169,Summary!L169)</f>
        <v>4181690.1391606722</v>
      </c>
      <c r="J169" s="20"/>
      <c r="K169">
        <f t="shared" si="6"/>
        <v>5</v>
      </c>
      <c r="L169">
        <f t="shared" si="14"/>
        <v>5</v>
      </c>
    </row>
    <row r="170" spans="2:12" x14ac:dyDescent="0.3">
      <c r="B170" t="str">
        <f t="shared" si="1"/>
        <v>MarinusPortland</v>
      </c>
      <c r="C170" t="s">
        <v>64</v>
      </c>
      <c r="D170">
        <f t="shared" si="4"/>
        <v>0.05</v>
      </c>
      <c r="E170" t="str">
        <f t="shared" si="13"/>
        <v>Cal-26</v>
      </c>
      <c r="F170" t="s">
        <v>44</v>
      </c>
      <c r="G170" s="73" cm="1">
        <f t="array" ref="G170">INDEX(PPAcfd!$E$28:$T$35,Summary!K170,Summary!L170)</f>
        <v>-6896357.0562213697</v>
      </c>
      <c r="H170" s="73" cm="1">
        <f t="array" ref="H170">INDEX(SwapSold!$E$28:$T$35,Summary!K170,Summary!L170)</f>
        <v>-6270854.0950252926</v>
      </c>
      <c r="I170" s="20" cm="1">
        <f t="array" ref="I170">INDEX('2hBatteryCM'!$E$28:$T$35,Summary!K170,Summary!L170)</f>
        <v>3141899.6938131228</v>
      </c>
      <c r="J170" s="20"/>
      <c r="K170">
        <f t="shared" si="6"/>
        <v>6</v>
      </c>
      <c r="L170">
        <f t="shared" si="14"/>
        <v>5</v>
      </c>
    </row>
    <row r="171" spans="2:12" x14ac:dyDescent="0.3">
      <c r="B171" t="str">
        <f t="shared" si="1"/>
        <v>MarinusPortland</v>
      </c>
      <c r="C171" t="s">
        <v>64</v>
      </c>
      <c r="D171">
        <f t="shared" si="4"/>
        <v>0</v>
      </c>
      <c r="E171" t="str">
        <f t="shared" si="13"/>
        <v>Cal-26</v>
      </c>
      <c r="F171" t="s">
        <v>44</v>
      </c>
      <c r="G171" s="73" cm="1">
        <f t="array" ref="G171">INDEX(PPAcfd!$E$28:$T$35,Summary!K171,Summary!L171)</f>
        <v>-13196633.102378299</v>
      </c>
      <c r="H171" s="73" cm="1">
        <f t="array" ref="H171">INDEX(SwapSold!$E$28:$T$35,Summary!K171,Summary!L171)</f>
        <v>-14686262.573220557</v>
      </c>
      <c r="I171" s="20" cm="1">
        <f t="array" ref="I171">INDEX('2hBatteryCM'!$E$28:$T$35,Summary!K171,Summary!L171)</f>
        <v>1229383.0385288091</v>
      </c>
      <c r="J171" s="20"/>
      <c r="K171">
        <f t="shared" si="6"/>
        <v>7</v>
      </c>
      <c r="L171">
        <f t="shared" si="14"/>
        <v>5</v>
      </c>
    </row>
    <row r="172" spans="2:12" x14ac:dyDescent="0.3">
      <c r="B172" t="str">
        <f t="shared" si="1"/>
        <v>MarinusPortland</v>
      </c>
      <c r="C172" t="s">
        <v>64</v>
      </c>
      <c r="D172" t="str">
        <f t="shared" si="4"/>
        <v>avg</v>
      </c>
      <c r="E172" t="str">
        <f t="shared" si="13"/>
        <v>Cal-26</v>
      </c>
      <c r="F172" t="s">
        <v>44</v>
      </c>
      <c r="G172" s="73" cm="1">
        <f t="array" ref="G172">INDEX(PPAcfd!$E$28:$T$35,Summary!K172,Summary!L172)</f>
        <v>-1603081.1115662763</v>
      </c>
      <c r="H172" s="73" cm="1">
        <f t="array" ref="H172">INDEX(SwapSold!$E$28:$T$35,Summary!K172,Summary!L172)</f>
        <v>-119280.11124567494</v>
      </c>
      <c r="I172" s="20" cm="1">
        <f t="array" ref="I172">INDEX('2hBatteryCM'!$E$28:$T$35,Summary!K172,Summary!L172)</f>
        <v>5168770.102109734</v>
      </c>
      <c r="J172" s="20"/>
      <c r="K172">
        <f t="shared" si="6"/>
        <v>8</v>
      </c>
      <c r="L172">
        <f t="shared" si="14"/>
        <v>5</v>
      </c>
    </row>
    <row r="173" spans="2:12" x14ac:dyDescent="0.3">
      <c r="B173" t="str">
        <f t="shared" si="1"/>
        <v>MarinusPortland</v>
      </c>
      <c r="C173" t="s">
        <v>64</v>
      </c>
      <c r="D173">
        <f t="shared" si="4"/>
        <v>1</v>
      </c>
      <c r="E173" t="str">
        <f t="shared" si="13"/>
        <v>Cal-27</v>
      </c>
      <c r="F173" t="s">
        <v>44</v>
      </c>
      <c r="G173" s="73" cm="1">
        <f t="array" ref="G173">INDEX(PPAcfd!$E$28:$T$35,Summary!K173,Summary!L173)</f>
        <v>18773330.945654888</v>
      </c>
      <c r="H173" s="73" cm="1">
        <f t="array" ref="H173">INDEX(SwapSold!$E$28:$T$35,Summary!K173,Summary!L173)</f>
        <v>14690052.361895915</v>
      </c>
      <c r="I173" s="20" cm="1">
        <f t="array" ref="I173">INDEX('2hBatteryCM'!$E$28:$T$35,Summary!K173,Summary!L173)</f>
        <v>12466640.456735181</v>
      </c>
      <c r="J173" s="20"/>
      <c r="K173">
        <f t="shared" si="6"/>
        <v>1</v>
      </c>
      <c r="L173">
        <f t="shared" si="14"/>
        <v>6</v>
      </c>
    </row>
    <row r="174" spans="2:12" x14ac:dyDescent="0.3">
      <c r="B174" t="str">
        <f t="shared" si="1"/>
        <v>MarinusPortland</v>
      </c>
      <c r="C174" t="s">
        <v>64</v>
      </c>
      <c r="D174">
        <f t="shared" si="4"/>
        <v>0.95</v>
      </c>
      <c r="E174" t="str">
        <f t="shared" si="13"/>
        <v>Cal-27</v>
      </c>
      <c r="F174" t="s">
        <v>44</v>
      </c>
      <c r="G174" s="73" cm="1">
        <f t="array" ref="G174">INDEX(PPAcfd!$E$28:$T$35,Summary!K174,Summary!L174)</f>
        <v>8346943.4587955428</v>
      </c>
      <c r="H174" s="73" cm="1">
        <f t="array" ref="H174">INDEX(SwapSold!$E$28:$T$35,Summary!K174,Summary!L174)</f>
        <v>5823358.5533748129</v>
      </c>
      <c r="I174" s="20" cm="1">
        <f t="array" ref="I174">INDEX('2hBatteryCM'!$E$28:$T$35,Summary!K174,Summary!L174)</f>
        <v>8602909.9060643464</v>
      </c>
      <c r="J174" s="20"/>
      <c r="K174">
        <f t="shared" si="6"/>
        <v>2</v>
      </c>
      <c r="L174">
        <f t="shared" si="14"/>
        <v>6</v>
      </c>
    </row>
    <row r="175" spans="2:12" x14ac:dyDescent="0.3">
      <c r="B175" t="str">
        <f t="shared" si="1"/>
        <v>MarinusPortland</v>
      </c>
      <c r="C175" t="s">
        <v>64</v>
      </c>
      <c r="D175">
        <f t="shared" si="4"/>
        <v>0.75</v>
      </c>
      <c r="E175" t="str">
        <f t="shared" si="13"/>
        <v>Cal-27</v>
      </c>
      <c r="F175" t="s">
        <v>44</v>
      </c>
      <c r="G175" s="73" cm="1">
        <f t="array" ref="G175">INDEX(PPAcfd!$E$28:$T$35,Summary!K175,Summary!L175)</f>
        <v>2733462.9441192173</v>
      </c>
      <c r="H175" s="73" cm="1">
        <f t="array" ref="H175">INDEX(SwapSold!$E$28:$T$35,Summary!K175,Summary!L175)</f>
        <v>2565424.4392272891</v>
      </c>
      <c r="I175" s="20" cm="1">
        <f t="array" ref="I175">INDEX('2hBatteryCM'!$E$28:$T$35,Summary!K175,Summary!L175)</f>
        <v>6980426.3842568807</v>
      </c>
      <c r="J175" s="20"/>
      <c r="K175">
        <f t="shared" si="6"/>
        <v>3</v>
      </c>
      <c r="L175">
        <f t="shared" si="14"/>
        <v>6</v>
      </c>
    </row>
    <row r="176" spans="2:12" x14ac:dyDescent="0.3">
      <c r="B176" t="str">
        <f t="shared" si="1"/>
        <v>MarinusPortland</v>
      </c>
      <c r="C176" t="s">
        <v>64</v>
      </c>
      <c r="D176">
        <f t="shared" si="4"/>
        <v>0.5</v>
      </c>
      <c r="E176" t="str">
        <f t="shared" si="13"/>
        <v>Cal-27</v>
      </c>
      <c r="F176" t="s">
        <v>44</v>
      </c>
      <c r="G176" s="73" cm="1">
        <f t="array" ref="G176">INDEX(PPAcfd!$E$28:$T$35,Summary!K176,Summary!L176)</f>
        <v>-665372.71057744452</v>
      </c>
      <c r="H176" s="73" cm="1">
        <f t="array" ref="H176">INDEX(SwapSold!$E$28:$T$35,Summary!K176,Summary!L176)</f>
        <v>112752.0407873208</v>
      </c>
      <c r="I176" s="20" cm="1">
        <f t="array" ref="I176">INDEX('2hBatteryCM'!$E$28:$T$35,Summary!K176,Summary!L176)</f>
        <v>5914279.0169754941</v>
      </c>
      <c r="J176" s="20"/>
      <c r="K176">
        <f t="shared" si="6"/>
        <v>4</v>
      </c>
      <c r="L176">
        <f t="shared" si="14"/>
        <v>6</v>
      </c>
    </row>
    <row r="177" spans="2:12" x14ac:dyDescent="0.3">
      <c r="B177" t="str">
        <f t="shared" si="1"/>
        <v>MarinusPortland</v>
      </c>
      <c r="C177" t="s">
        <v>64</v>
      </c>
      <c r="D177">
        <f t="shared" si="4"/>
        <v>0.25</v>
      </c>
      <c r="E177" t="str">
        <f t="shared" si="13"/>
        <v>Cal-27</v>
      </c>
      <c r="F177" t="s">
        <v>44</v>
      </c>
      <c r="G177" s="73" cm="1">
        <f t="array" ref="G177">INDEX(PPAcfd!$E$28:$T$35,Summary!K177,Summary!L177)</f>
        <v>-3126043.7672759341</v>
      </c>
      <c r="H177" s="73" cm="1">
        <f t="array" ref="H177">INDEX(SwapSold!$E$28:$T$35,Summary!K177,Summary!L177)</f>
        <v>-2626642.6507591479</v>
      </c>
      <c r="I177" s="20" cm="1">
        <f t="array" ref="I177">INDEX('2hBatteryCM'!$E$28:$T$35,Summary!K177,Summary!L177)</f>
        <v>4894745.2167632366</v>
      </c>
      <c r="J177" s="20"/>
      <c r="K177">
        <f t="shared" si="6"/>
        <v>5</v>
      </c>
      <c r="L177">
        <f t="shared" si="14"/>
        <v>6</v>
      </c>
    </row>
    <row r="178" spans="2:12" x14ac:dyDescent="0.3">
      <c r="B178" t="str">
        <f t="shared" si="1"/>
        <v>MarinusPortland</v>
      </c>
      <c r="C178" t="s">
        <v>64</v>
      </c>
      <c r="D178">
        <f t="shared" si="4"/>
        <v>0.05</v>
      </c>
      <c r="E178" t="str">
        <f t="shared" si="13"/>
        <v>Cal-27</v>
      </c>
      <c r="F178" t="s">
        <v>44</v>
      </c>
      <c r="G178" s="73" cm="1">
        <f t="array" ref="G178">INDEX(PPAcfd!$E$28:$T$35,Summary!K178,Summary!L178)</f>
        <v>-5892643.4799591517</v>
      </c>
      <c r="H178" s="73" cm="1">
        <f t="array" ref="H178">INDEX(SwapSold!$E$28:$T$35,Summary!K178,Summary!L178)</f>
        <v>-6837888.731358462</v>
      </c>
      <c r="I178" s="20" cm="1">
        <f t="array" ref="I178">INDEX('2hBatteryCM'!$E$28:$T$35,Summary!K178,Summary!L178)</f>
        <v>3666045.7949451427</v>
      </c>
      <c r="J178" s="20"/>
      <c r="K178">
        <f t="shared" si="6"/>
        <v>6</v>
      </c>
      <c r="L178">
        <f t="shared" si="14"/>
        <v>6</v>
      </c>
    </row>
    <row r="179" spans="2:12" x14ac:dyDescent="0.3">
      <c r="B179" t="str">
        <f t="shared" si="1"/>
        <v>MarinusPortland</v>
      </c>
      <c r="C179" t="s">
        <v>64</v>
      </c>
      <c r="D179">
        <f t="shared" si="4"/>
        <v>0</v>
      </c>
      <c r="E179" t="str">
        <f t="shared" si="13"/>
        <v>Cal-27</v>
      </c>
      <c r="F179" t="s">
        <v>44</v>
      </c>
      <c r="G179" s="73" cm="1">
        <f t="array" ref="G179">INDEX(PPAcfd!$E$28:$T$35,Summary!K179,Summary!L179)</f>
        <v>-10688050.332502784</v>
      </c>
      <c r="H179" s="73" cm="1">
        <f t="array" ref="H179">INDEX(SwapSold!$E$28:$T$35,Summary!K179,Summary!L179)</f>
        <v>-15141798.813231004</v>
      </c>
      <c r="I179" s="20" cm="1">
        <f t="array" ref="I179">INDEX('2hBatteryCM'!$E$28:$T$35,Summary!K179,Summary!L179)</f>
        <v>2032078.4681172532</v>
      </c>
      <c r="J179" s="20"/>
      <c r="K179">
        <f t="shared" si="6"/>
        <v>7</v>
      </c>
      <c r="L179">
        <f t="shared" si="14"/>
        <v>6</v>
      </c>
    </row>
    <row r="180" spans="2:12" x14ac:dyDescent="0.3">
      <c r="B180" t="str">
        <f t="shared" si="1"/>
        <v>MarinusPortland</v>
      </c>
      <c r="C180" t="s">
        <v>64</v>
      </c>
      <c r="D180" t="str">
        <f t="shared" si="4"/>
        <v>avg</v>
      </c>
      <c r="E180" t="str">
        <f t="shared" si="13"/>
        <v>Cal-27</v>
      </c>
      <c r="F180" t="s">
        <v>44</v>
      </c>
      <c r="G180" s="73" cm="1">
        <f t="array" ref="G180">INDEX(PPAcfd!$E$28:$T$35,Summary!K180,Summary!L180)</f>
        <v>52237.14087490258</v>
      </c>
      <c r="H180" s="73" cm="1">
        <f t="array" ref="H180">INDEX(SwapSold!$E$28:$T$35,Summary!K180,Summary!L180)</f>
        <v>-136408.22380056352</v>
      </c>
      <c r="I180" s="20" cm="1">
        <f t="array" ref="I180">INDEX('2hBatteryCM'!$E$28:$T$35,Summary!K180,Summary!L180)</f>
        <v>5972574.0355146192</v>
      </c>
      <c r="J180" s="20"/>
      <c r="K180">
        <f t="shared" si="6"/>
        <v>8</v>
      </c>
      <c r="L180">
        <f t="shared" si="14"/>
        <v>6</v>
      </c>
    </row>
    <row r="181" spans="2:12" x14ac:dyDescent="0.3">
      <c r="B181" t="str">
        <f t="shared" si="1"/>
        <v>MarinusPortland</v>
      </c>
      <c r="C181" t="s">
        <v>64</v>
      </c>
      <c r="D181">
        <f t="shared" si="4"/>
        <v>1</v>
      </c>
      <c r="E181" t="str">
        <f t="shared" si="13"/>
        <v>Cal-28</v>
      </c>
      <c r="F181" t="s">
        <v>44</v>
      </c>
      <c r="G181" s="73" cm="1">
        <f t="array" ref="G181">INDEX(PPAcfd!$E$28:$T$35,Summary!K181,Summary!L181)</f>
        <v>13012473.700651761</v>
      </c>
      <c r="H181" s="73" cm="1">
        <f t="array" ref="H181">INDEX(SwapSold!$E$28:$T$35,Summary!K181,Summary!L181)</f>
        <v>10076966.426589588</v>
      </c>
      <c r="I181" s="20" cm="1">
        <f t="array" ref="I181">INDEX('2hBatteryCM'!$E$28:$T$35,Summary!K181,Summary!L181)</f>
        <v>11266001.519425564</v>
      </c>
      <c r="J181" s="20"/>
      <c r="K181">
        <f t="shared" si="6"/>
        <v>1</v>
      </c>
      <c r="L181">
        <f t="shared" si="14"/>
        <v>7</v>
      </c>
    </row>
    <row r="182" spans="2:12" x14ac:dyDescent="0.3">
      <c r="B182" t="str">
        <f t="shared" si="1"/>
        <v>MarinusPortland</v>
      </c>
      <c r="C182" t="s">
        <v>64</v>
      </c>
      <c r="D182">
        <f t="shared" si="4"/>
        <v>0.95</v>
      </c>
      <c r="E182" t="str">
        <f t="shared" si="13"/>
        <v>Cal-28</v>
      </c>
      <c r="F182" t="s">
        <v>44</v>
      </c>
      <c r="G182" s="73" cm="1">
        <f t="array" ref="G182">INDEX(PPAcfd!$E$28:$T$35,Summary!K182,Summary!L182)</f>
        <v>5342757.7298130281</v>
      </c>
      <c r="H182" s="73" cm="1">
        <f t="array" ref="H182">INDEX(SwapSold!$E$28:$T$35,Summary!K182,Summary!L182)</f>
        <v>5111055.8270826451</v>
      </c>
      <c r="I182" s="20" cm="1">
        <f t="array" ref="I182">INDEX('2hBatteryCM'!$E$28:$T$35,Summary!K182,Summary!L182)</f>
        <v>8206517.5462607937</v>
      </c>
      <c r="J182" s="20"/>
      <c r="K182">
        <f t="shared" si="6"/>
        <v>2</v>
      </c>
      <c r="L182">
        <f t="shared" si="14"/>
        <v>7</v>
      </c>
    </row>
    <row r="183" spans="2:12" x14ac:dyDescent="0.3">
      <c r="B183" t="str">
        <f t="shared" si="1"/>
        <v>MarinusPortland</v>
      </c>
      <c r="C183" t="s">
        <v>64</v>
      </c>
      <c r="D183">
        <f t="shared" si="4"/>
        <v>0.75</v>
      </c>
      <c r="E183" t="str">
        <f t="shared" si="13"/>
        <v>Cal-28</v>
      </c>
      <c r="F183" t="s">
        <v>44</v>
      </c>
      <c r="G183" s="73" cm="1">
        <f t="array" ref="G183">INDEX(PPAcfd!$E$28:$T$35,Summary!K183,Summary!L183)</f>
        <v>668469.38931148627</v>
      </c>
      <c r="H183" s="73" cm="1">
        <f t="array" ref="H183">INDEX(SwapSold!$E$28:$T$35,Summary!K183,Summary!L183)</f>
        <v>2219901.9240953242</v>
      </c>
      <c r="I183" s="20" cm="1">
        <f t="array" ref="I183">INDEX('2hBatteryCM'!$E$28:$T$35,Summary!K183,Summary!L183)</f>
        <v>6865541.7390969461</v>
      </c>
      <c r="J183" s="20"/>
      <c r="K183">
        <f t="shared" si="6"/>
        <v>3</v>
      </c>
      <c r="L183">
        <f t="shared" si="14"/>
        <v>7</v>
      </c>
    </row>
    <row r="184" spans="2:12" x14ac:dyDescent="0.3">
      <c r="B184" t="str">
        <f t="shared" si="1"/>
        <v>MarinusPortland</v>
      </c>
      <c r="C184" t="s">
        <v>64</v>
      </c>
      <c r="D184">
        <f t="shared" si="4"/>
        <v>0.5</v>
      </c>
      <c r="E184" t="str">
        <f t="shared" si="13"/>
        <v>Cal-28</v>
      </c>
      <c r="F184" t="s">
        <v>44</v>
      </c>
      <c r="G184" s="73" cm="1">
        <f t="array" ref="G184">INDEX(PPAcfd!$E$28:$T$35,Summary!K184,Summary!L184)</f>
        <v>-2225864.3436882682</v>
      </c>
      <c r="H184" s="73" cm="1">
        <f t="array" ref="H184">INDEX(SwapSold!$E$28:$T$35,Summary!K184,Summary!L184)</f>
        <v>53144.852677830706</v>
      </c>
      <c r="I184" s="20" cm="1">
        <f t="array" ref="I184">INDEX('2hBatteryCM'!$E$28:$T$35,Summary!K184,Summary!L184)</f>
        <v>5951375.6773016667</v>
      </c>
      <c r="J184" s="20"/>
      <c r="K184">
        <f t="shared" si="6"/>
        <v>4</v>
      </c>
      <c r="L184">
        <f t="shared" si="14"/>
        <v>7</v>
      </c>
    </row>
    <row r="185" spans="2:12" x14ac:dyDescent="0.3">
      <c r="B185" t="str">
        <f t="shared" si="1"/>
        <v>MarinusPortland</v>
      </c>
      <c r="C185" t="s">
        <v>64</v>
      </c>
      <c r="D185">
        <f t="shared" si="4"/>
        <v>0.25</v>
      </c>
      <c r="E185" t="str">
        <f t="shared" si="13"/>
        <v>Cal-28</v>
      </c>
      <c r="F185" t="s">
        <v>44</v>
      </c>
      <c r="G185" s="73" cm="1">
        <f t="array" ref="G185">INDEX(PPAcfd!$E$28:$T$35,Summary!K185,Summary!L185)</f>
        <v>-4635717.6325035151</v>
      </c>
      <c r="H185" s="73" cm="1">
        <f t="array" ref="H185">INDEX(SwapSold!$E$28:$T$35,Summary!K185,Summary!L185)</f>
        <v>-2288720.8947115894</v>
      </c>
      <c r="I185" s="20" cm="1">
        <f t="array" ref="I185">INDEX('2hBatteryCM'!$E$28:$T$35,Summary!K185,Summary!L185)</f>
        <v>5010162.9186341073</v>
      </c>
      <c r="J185" s="20"/>
      <c r="K185">
        <f t="shared" si="6"/>
        <v>5</v>
      </c>
      <c r="L185">
        <f t="shared" si="14"/>
        <v>7</v>
      </c>
    </row>
    <row r="186" spans="2:12" x14ac:dyDescent="0.3">
      <c r="B186" t="str">
        <f t="shared" si="1"/>
        <v>MarinusPortland</v>
      </c>
      <c r="C186" t="s">
        <v>64</v>
      </c>
      <c r="D186">
        <f t="shared" si="4"/>
        <v>0.05</v>
      </c>
      <c r="E186" t="str">
        <f t="shared" si="13"/>
        <v>Cal-28</v>
      </c>
      <c r="F186" t="s">
        <v>44</v>
      </c>
      <c r="G186" s="73" cm="1">
        <f t="array" ref="G186">INDEX(PPAcfd!$E$28:$T$35,Summary!K186,Summary!L186)</f>
        <v>-7443692.1316822292</v>
      </c>
      <c r="H186" s="73" cm="1">
        <f t="array" ref="H186">INDEX(SwapSold!$E$28:$T$35,Summary!K186,Summary!L186)</f>
        <v>-5838592.6623999272</v>
      </c>
      <c r="I186" s="20" cm="1">
        <f t="array" ref="I186">INDEX('2hBatteryCM'!$E$28:$T$35,Summary!K186,Summary!L186)</f>
        <v>3814441.4382932852</v>
      </c>
      <c r="J186" s="20"/>
      <c r="K186">
        <f t="shared" si="6"/>
        <v>6</v>
      </c>
      <c r="L186">
        <f t="shared" si="14"/>
        <v>7</v>
      </c>
    </row>
    <row r="187" spans="2:12" x14ac:dyDescent="0.3">
      <c r="B187" t="str">
        <f t="shared" si="1"/>
        <v>MarinusPortland</v>
      </c>
      <c r="C187" t="s">
        <v>64</v>
      </c>
      <c r="D187">
        <f t="shared" si="4"/>
        <v>0</v>
      </c>
      <c r="E187" t="str">
        <f t="shared" si="13"/>
        <v>Cal-28</v>
      </c>
      <c r="F187" t="s">
        <v>44</v>
      </c>
      <c r="G187" s="73" cm="1">
        <f t="array" ref="G187">INDEX(PPAcfd!$E$28:$T$35,Summary!K187,Summary!L187)</f>
        <v>-10321246.370392105</v>
      </c>
      <c r="H187" s="73" cm="1">
        <f t="array" ref="H187">INDEX(SwapSold!$E$28:$T$35,Summary!K187,Summary!L187)</f>
        <v>-13295062.304821184</v>
      </c>
      <c r="I187" s="20" cm="1">
        <f t="array" ref="I187">INDEX('2hBatteryCM'!$E$28:$T$35,Summary!K187,Summary!L187)</f>
        <v>2255746.4902158729</v>
      </c>
      <c r="J187" s="20"/>
      <c r="K187">
        <f t="shared" si="6"/>
        <v>7</v>
      </c>
      <c r="L187">
        <f t="shared" si="14"/>
        <v>7</v>
      </c>
    </row>
    <row r="188" spans="2:12" x14ac:dyDescent="0.3">
      <c r="B188" t="str">
        <f t="shared" si="1"/>
        <v>MarinusPortland</v>
      </c>
      <c r="C188" t="s">
        <v>64</v>
      </c>
      <c r="D188" t="str">
        <f t="shared" si="4"/>
        <v>avg</v>
      </c>
      <c r="E188" t="str">
        <f t="shared" si="13"/>
        <v>Cal-28</v>
      </c>
      <c r="F188" t="s">
        <v>44</v>
      </c>
      <c r="G188" s="73" cm="1">
        <f t="array" ref="G188">INDEX(PPAcfd!$E$28:$T$35,Summary!K188,Summary!L188)</f>
        <v>-1815795.4897569402</v>
      </c>
      <c r="H188" s="73" cm="1">
        <f t="array" ref="H188">INDEX(SwapSold!$E$28:$T$35,Summary!K188,Summary!L188)</f>
        <v>-101048.17129290028</v>
      </c>
      <c r="I188" s="20" cm="1">
        <f t="array" ref="I188">INDEX('2hBatteryCM'!$E$28:$T$35,Summary!K188,Summary!L188)</f>
        <v>5954363.0237901015</v>
      </c>
      <c r="J188" s="20"/>
      <c r="K188">
        <f t="shared" si="6"/>
        <v>8</v>
      </c>
      <c r="L188">
        <f t="shared" si="14"/>
        <v>7</v>
      </c>
    </row>
    <row r="189" spans="2:12" x14ac:dyDescent="0.3">
      <c r="B189" t="str">
        <f t="shared" si="1"/>
        <v>MarinusPortland</v>
      </c>
      <c r="C189" t="s">
        <v>64</v>
      </c>
      <c r="D189">
        <f t="shared" si="4"/>
        <v>1</v>
      </c>
      <c r="E189" t="str">
        <f t="shared" si="13"/>
        <v>Cal-29</v>
      </c>
      <c r="F189" t="s">
        <v>44</v>
      </c>
      <c r="G189" s="73" cm="1">
        <f t="array" ref="G189">INDEX(PPAcfd!$E$28:$T$35,Summary!K189,Summary!L189)</f>
        <v>16416573.711353535</v>
      </c>
      <c r="H189" s="73" cm="1">
        <f t="array" ref="H189">INDEX(SwapSold!$E$28:$T$35,Summary!K189,Summary!L189)</f>
        <v>12214883.419456434</v>
      </c>
      <c r="I189" s="20" cm="1">
        <f t="array" ref="I189">INDEX('2hBatteryCM'!$E$28:$T$35,Summary!K189,Summary!L189)</f>
        <v>10315295.91352267</v>
      </c>
      <c r="J189" s="20"/>
      <c r="K189">
        <f t="shared" si="6"/>
        <v>1</v>
      </c>
      <c r="L189">
        <f t="shared" si="14"/>
        <v>8</v>
      </c>
    </row>
    <row r="190" spans="2:12" x14ac:dyDescent="0.3">
      <c r="B190" t="str">
        <f t="shared" si="1"/>
        <v>MarinusPortland</v>
      </c>
      <c r="C190" t="s">
        <v>64</v>
      </c>
      <c r="D190">
        <f t="shared" si="4"/>
        <v>0.95</v>
      </c>
      <c r="E190" t="str">
        <f t="shared" si="13"/>
        <v>Cal-29</v>
      </c>
      <c r="F190" t="s">
        <v>44</v>
      </c>
      <c r="G190" s="73" cm="1">
        <f t="array" ref="G190">INDEX(PPAcfd!$E$28:$T$35,Summary!K190,Summary!L190)</f>
        <v>6605204.4125064295</v>
      </c>
      <c r="H190" s="73" cm="1">
        <f t="array" ref="H190">INDEX(SwapSold!$E$28:$T$35,Summary!K190,Summary!L190)</f>
        <v>5771698.2735815914</v>
      </c>
      <c r="I190" s="20" cm="1">
        <f t="array" ref="I190">INDEX('2hBatteryCM'!$E$28:$T$35,Summary!K190,Summary!L190)</f>
        <v>6761544.5172726754</v>
      </c>
      <c r="J190" s="20"/>
      <c r="K190">
        <f t="shared" si="6"/>
        <v>2</v>
      </c>
      <c r="L190">
        <f t="shared" si="14"/>
        <v>8</v>
      </c>
    </row>
    <row r="191" spans="2:12" x14ac:dyDescent="0.3">
      <c r="B191" t="str">
        <f t="shared" si="1"/>
        <v>MarinusPortland</v>
      </c>
      <c r="C191" t="s">
        <v>64</v>
      </c>
      <c r="D191">
        <f t="shared" si="4"/>
        <v>0.75</v>
      </c>
      <c r="E191" t="str">
        <f t="shared" si="13"/>
        <v>Cal-29</v>
      </c>
      <c r="F191" t="s">
        <v>44</v>
      </c>
      <c r="G191" s="73" cm="1">
        <f t="array" ref="G191">INDEX(PPAcfd!$E$28:$T$35,Summary!K191,Summary!L191)</f>
        <v>1446894.0205003924</v>
      </c>
      <c r="H191" s="73" cm="1">
        <f t="array" ref="H191">INDEX(SwapSold!$E$28:$T$35,Summary!K191,Summary!L191)</f>
        <v>2400154.0467617302</v>
      </c>
      <c r="I191" s="20" cm="1">
        <f t="array" ref="I191">INDEX('2hBatteryCM'!$E$28:$T$35,Summary!K191,Summary!L191)</f>
        <v>5682423.2171033863</v>
      </c>
      <c r="J191" s="20"/>
      <c r="K191">
        <f t="shared" si="6"/>
        <v>3</v>
      </c>
      <c r="L191">
        <f t="shared" si="14"/>
        <v>8</v>
      </c>
    </row>
    <row r="192" spans="2:12" x14ac:dyDescent="0.3">
      <c r="B192" t="str">
        <f t="shared" si="1"/>
        <v>MarinusPortland</v>
      </c>
      <c r="C192" t="s">
        <v>64</v>
      </c>
      <c r="D192">
        <f t="shared" si="4"/>
        <v>0.5</v>
      </c>
      <c r="E192" t="str">
        <f t="shared" si="13"/>
        <v>Cal-29</v>
      </c>
      <c r="F192" t="s">
        <v>44</v>
      </c>
      <c r="G192" s="73" cm="1">
        <f t="array" ref="G192">INDEX(PPAcfd!$E$28:$T$35,Summary!K192,Summary!L192)</f>
        <v>-1422851.1473726921</v>
      </c>
      <c r="H192" s="73" cm="1">
        <f t="array" ref="H192">INDEX(SwapSold!$E$28:$T$35,Summary!K192,Summary!L192)</f>
        <v>-21509.658641293328</v>
      </c>
      <c r="I192" s="20" cm="1">
        <f t="array" ref="I192">INDEX('2hBatteryCM'!$E$28:$T$35,Summary!K192,Summary!L192)</f>
        <v>4940842.4997534966</v>
      </c>
      <c r="J192" s="20"/>
      <c r="K192">
        <f t="shared" si="6"/>
        <v>4</v>
      </c>
      <c r="L192">
        <f t="shared" si="14"/>
        <v>8</v>
      </c>
    </row>
    <row r="193" spans="2:12" x14ac:dyDescent="0.3">
      <c r="B193" t="str">
        <f t="shared" si="1"/>
        <v>MarinusPortland</v>
      </c>
      <c r="C193" t="s">
        <v>64</v>
      </c>
      <c r="D193">
        <f t="shared" si="4"/>
        <v>0.25</v>
      </c>
      <c r="E193" t="str">
        <f t="shared" si="13"/>
        <v>Cal-29</v>
      </c>
      <c r="F193" t="s">
        <v>44</v>
      </c>
      <c r="G193" s="73" cm="1">
        <f t="array" ref="G193">INDEX(PPAcfd!$E$28:$T$35,Summary!K193,Summary!L193)</f>
        <v>-3938384.9869741341</v>
      </c>
      <c r="H193" s="73" cm="1">
        <f t="array" ref="H193">INDEX(SwapSold!$E$28:$T$35,Summary!K193,Summary!L193)</f>
        <v>-2692375.1847101087</v>
      </c>
      <c r="I193" s="20" cm="1">
        <f t="array" ref="I193">INDEX('2hBatteryCM'!$E$28:$T$35,Summary!K193,Summary!L193)</f>
        <v>4224632.4978525471</v>
      </c>
      <c r="J193" s="20"/>
      <c r="K193">
        <f t="shared" si="6"/>
        <v>5</v>
      </c>
      <c r="L193">
        <f t="shared" si="14"/>
        <v>8</v>
      </c>
    </row>
    <row r="194" spans="2:12" x14ac:dyDescent="0.3">
      <c r="B194" t="str">
        <f t="shared" si="1"/>
        <v>MarinusPortland</v>
      </c>
      <c r="C194" t="s">
        <v>64</v>
      </c>
      <c r="D194">
        <f t="shared" si="4"/>
        <v>0.05</v>
      </c>
      <c r="E194" t="str">
        <f t="shared" si="13"/>
        <v>Cal-29</v>
      </c>
      <c r="F194" t="s">
        <v>44</v>
      </c>
      <c r="G194" s="73" cm="1">
        <f t="array" ref="G194">INDEX(PPAcfd!$E$28:$T$35,Summary!K194,Summary!L194)</f>
        <v>-6788811.1834711172</v>
      </c>
      <c r="H194" s="73" cm="1">
        <f t="array" ref="H194">INDEX(SwapSold!$E$28:$T$35,Summary!K194,Summary!L194)</f>
        <v>-6531736.3569507189</v>
      </c>
      <c r="I194" s="20" cm="1">
        <f t="array" ref="I194">INDEX('2hBatteryCM'!$E$28:$T$35,Summary!K194,Summary!L194)</f>
        <v>3212004.5045150416</v>
      </c>
      <c r="J194" s="20"/>
      <c r="K194">
        <f t="shared" si="6"/>
        <v>6</v>
      </c>
      <c r="L194">
        <f t="shared" si="14"/>
        <v>8</v>
      </c>
    </row>
    <row r="195" spans="2:12" x14ac:dyDescent="0.3">
      <c r="B195" t="str">
        <f t="shared" si="1"/>
        <v>MarinusPortland</v>
      </c>
      <c r="C195" t="s">
        <v>64</v>
      </c>
      <c r="D195">
        <f t="shared" si="4"/>
        <v>0</v>
      </c>
      <c r="E195" t="str">
        <f t="shared" si="13"/>
        <v>Cal-29</v>
      </c>
      <c r="F195" t="s">
        <v>44</v>
      </c>
      <c r="G195" s="73" cm="1">
        <f t="array" ref="G195">INDEX(PPAcfd!$E$28:$T$35,Summary!K195,Summary!L195)</f>
        <v>-11147496.83599486</v>
      </c>
      <c r="H195" s="73" cm="1">
        <f t="array" ref="H195">INDEX(SwapSold!$E$28:$T$35,Summary!K195,Summary!L195)</f>
        <v>-15968257.4606882</v>
      </c>
      <c r="I195" s="20" cm="1">
        <f t="array" ref="I195">INDEX('2hBatteryCM'!$E$28:$T$35,Summary!K195,Summary!L195)</f>
        <v>1676209.6085794473</v>
      </c>
      <c r="J195" s="20"/>
      <c r="K195">
        <f t="shared" si="6"/>
        <v>7</v>
      </c>
      <c r="L195">
        <f t="shared" si="14"/>
        <v>8</v>
      </c>
    </row>
    <row r="196" spans="2:12" x14ac:dyDescent="0.3">
      <c r="B196" t="str">
        <f t="shared" si="1"/>
        <v>MarinusPortland</v>
      </c>
      <c r="C196" t="s">
        <v>64</v>
      </c>
      <c r="D196" t="str">
        <f t="shared" si="4"/>
        <v>avg</v>
      </c>
      <c r="E196" t="str">
        <f t="shared" si="13"/>
        <v>Cal-29</v>
      </c>
      <c r="F196" t="s">
        <v>44</v>
      </c>
      <c r="G196" s="73" cm="1">
        <f t="array" ref="G196">INDEX(PPAcfd!$E$28:$T$35,Summary!K196,Summary!L196)</f>
        <v>-1017094.1755379711</v>
      </c>
      <c r="H196" s="73" cm="1">
        <f t="array" ref="H196">INDEX(SwapSold!$E$28:$T$35,Summary!K196,Summary!L196)</f>
        <v>-172678.6399866314</v>
      </c>
      <c r="I196" s="20" cm="1">
        <f t="array" ref="I196">INDEX('2hBatteryCM'!$E$28:$T$35,Summary!K196,Summary!L196)</f>
        <v>4957547.9236028614</v>
      </c>
      <c r="J196" s="20"/>
      <c r="K196">
        <f t="shared" si="6"/>
        <v>8</v>
      </c>
      <c r="L196">
        <f t="shared" si="14"/>
        <v>8</v>
      </c>
    </row>
    <row r="197" spans="2:12" x14ac:dyDescent="0.3">
      <c r="B197" t="str">
        <f t="shared" si="1"/>
        <v>MarinusPortland</v>
      </c>
      <c r="C197" t="s">
        <v>64</v>
      </c>
      <c r="D197">
        <f t="shared" si="4"/>
        <v>1</v>
      </c>
      <c r="E197" t="str">
        <f t="shared" si="13"/>
        <v>Cal-30</v>
      </c>
      <c r="F197" t="s">
        <v>44</v>
      </c>
      <c r="G197" s="73" cm="1">
        <f t="array" ref="G197">INDEX(PPAcfd!$E$28:$T$35,Summary!K197,Summary!L197)</f>
        <v>15656147.491762327</v>
      </c>
      <c r="H197" s="73" cm="1">
        <f t="array" ref="H197">INDEX(SwapSold!$E$28:$T$35,Summary!K197,Summary!L197)</f>
        <v>11597644.230425859</v>
      </c>
      <c r="I197" s="20" cm="1">
        <f t="array" ref="I197">INDEX('2hBatteryCM'!$E$28:$T$35,Summary!K197,Summary!L197)</f>
        <v>9425577.7014016975</v>
      </c>
      <c r="J197" s="20"/>
      <c r="K197">
        <f t="shared" si="6"/>
        <v>1</v>
      </c>
      <c r="L197">
        <f t="shared" si="14"/>
        <v>9</v>
      </c>
    </row>
    <row r="198" spans="2:12" x14ac:dyDescent="0.3">
      <c r="B198" t="str">
        <f t="shared" si="1"/>
        <v>MarinusPortland</v>
      </c>
      <c r="C198" t="s">
        <v>64</v>
      </c>
      <c r="D198">
        <f t="shared" si="4"/>
        <v>0.95</v>
      </c>
      <c r="E198" t="str">
        <f t="shared" si="13"/>
        <v>Cal-30</v>
      </c>
      <c r="F198" t="s">
        <v>44</v>
      </c>
      <c r="G198" s="73" cm="1">
        <f t="array" ref="G198">INDEX(PPAcfd!$E$28:$T$35,Summary!K198,Summary!L198)</f>
        <v>7148719.1713374928</v>
      </c>
      <c r="H198" s="73" cm="1">
        <f t="array" ref="H198">INDEX(SwapSold!$E$28:$T$35,Summary!K198,Summary!L198)</f>
        <v>5897538.5327206925</v>
      </c>
      <c r="I198" s="20" cm="1">
        <f t="array" ref="I198">INDEX('2hBatteryCM'!$E$28:$T$35,Summary!K198,Summary!L198)</f>
        <v>6959630.7684523975</v>
      </c>
      <c r="J198" s="20"/>
      <c r="K198">
        <f t="shared" si="6"/>
        <v>2</v>
      </c>
      <c r="L198">
        <f t="shared" si="14"/>
        <v>9</v>
      </c>
    </row>
    <row r="199" spans="2:12" x14ac:dyDescent="0.3">
      <c r="B199" t="str">
        <f t="shared" si="1"/>
        <v>MarinusPortland</v>
      </c>
      <c r="C199" t="s">
        <v>64</v>
      </c>
      <c r="D199">
        <f t="shared" si="4"/>
        <v>0.75</v>
      </c>
      <c r="E199" t="str">
        <f t="shared" si="13"/>
        <v>Cal-30</v>
      </c>
      <c r="F199" t="s">
        <v>44</v>
      </c>
      <c r="G199" s="73" cm="1">
        <f t="array" ref="G199">INDEX(PPAcfd!$E$28:$T$35,Summary!K199,Summary!L199)</f>
        <v>1632475.7398351033</v>
      </c>
      <c r="H199" s="73" cm="1">
        <f t="array" ref="H199">INDEX(SwapSold!$E$28:$T$35,Summary!K199,Summary!L199)</f>
        <v>2574591.9525325187</v>
      </c>
      <c r="I199" s="20" cm="1">
        <f t="array" ref="I199">INDEX('2hBatteryCM'!$E$28:$T$35,Summary!K199,Summary!L199)</f>
        <v>5863146.2431542194</v>
      </c>
      <c r="J199" s="20"/>
      <c r="K199">
        <f t="shared" si="6"/>
        <v>3</v>
      </c>
      <c r="L199">
        <f t="shared" si="14"/>
        <v>9</v>
      </c>
    </row>
    <row r="200" spans="2:12" x14ac:dyDescent="0.3">
      <c r="B200" t="str">
        <f t="shared" si="1"/>
        <v>MarinusPortland</v>
      </c>
      <c r="C200" t="s">
        <v>64</v>
      </c>
      <c r="D200">
        <f t="shared" si="4"/>
        <v>0.5</v>
      </c>
      <c r="E200" t="str">
        <f t="shared" si="13"/>
        <v>Cal-30</v>
      </c>
      <c r="F200" t="s">
        <v>44</v>
      </c>
      <c r="G200" s="73" cm="1">
        <f t="array" ref="G200">INDEX(PPAcfd!$E$28:$T$35,Summary!K200,Summary!L200)</f>
        <v>-1639773.4038182318</v>
      </c>
      <c r="H200" s="73" cm="1">
        <f t="array" ref="H200">INDEX(SwapSold!$E$28:$T$35,Summary!K200,Summary!L200)</f>
        <v>-700.95791172732049</v>
      </c>
      <c r="I200" s="20" cm="1">
        <f t="array" ref="I200">INDEX('2hBatteryCM'!$E$28:$T$35,Summary!K200,Summary!L200)</f>
        <v>5089294.5124571482</v>
      </c>
      <c r="J200" s="20"/>
      <c r="K200">
        <f t="shared" si="6"/>
        <v>4</v>
      </c>
      <c r="L200">
        <f t="shared" si="14"/>
        <v>9</v>
      </c>
    </row>
    <row r="201" spans="2:12" x14ac:dyDescent="0.3">
      <c r="B201" t="str">
        <f t="shared" si="1"/>
        <v>MarinusPortland</v>
      </c>
      <c r="C201" t="s">
        <v>64</v>
      </c>
      <c r="D201">
        <f t="shared" si="4"/>
        <v>0.25</v>
      </c>
      <c r="E201" t="str">
        <f t="shared" si="13"/>
        <v>Cal-30</v>
      </c>
      <c r="F201" t="s">
        <v>44</v>
      </c>
      <c r="G201" s="73" cm="1">
        <f t="array" ref="G201">INDEX(PPAcfd!$E$28:$T$35,Summary!K201,Summary!L201)</f>
        <v>-4181822.0727730361</v>
      </c>
      <c r="H201" s="73" cm="1">
        <f t="array" ref="H201">INDEX(SwapSold!$E$28:$T$35,Summary!K201,Summary!L201)</f>
        <v>-2825250.8715586932</v>
      </c>
      <c r="I201" s="20" cm="1">
        <f t="array" ref="I201">INDEX('2hBatteryCM'!$E$28:$T$35,Summary!K201,Summary!L201)</f>
        <v>4384009.6056520445</v>
      </c>
      <c r="J201" s="20"/>
      <c r="K201">
        <f t="shared" si="6"/>
        <v>5</v>
      </c>
      <c r="L201">
        <f t="shared" si="14"/>
        <v>9</v>
      </c>
    </row>
    <row r="202" spans="2:12" x14ac:dyDescent="0.3">
      <c r="B202" t="str">
        <f t="shared" si="1"/>
        <v>MarinusPortland</v>
      </c>
      <c r="C202" t="s">
        <v>64</v>
      </c>
      <c r="D202">
        <f t="shared" si="4"/>
        <v>0.05</v>
      </c>
      <c r="E202" t="str">
        <f t="shared" si="13"/>
        <v>Cal-30</v>
      </c>
      <c r="F202" t="s">
        <v>44</v>
      </c>
      <c r="G202" s="73" cm="1">
        <f t="array" ref="G202">INDEX(PPAcfd!$E$28:$T$35,Summary!K202,Summary!L202)</f>
        <v>-7563644.1725519486</v>
      </c>
      <c r="H202" s="73" cm="1">
        <f t="array" ref="H202">INDEX(SwapSold!$E$28:$T$35,Summary!K202,Summary!L202)</f>
        <v>-7185939.2630695021</v>
      </c>
      <c r="I202" s="20" cm="1">
        <f t="array" ref="I202">INDEX('2hBatteryCM'!$E$28:$T$35,Summary!K202,Summary!L202)</f>
        <v>3394967.8219670714</v>
      </c>
      <c r="J202" s="20"/>
      <c r="K202">
        <f t="shared" si="6"/>
        <v>6</v>
      </c>
      <c r="L202">
        <f t="shared" si="14"/>
        <v>9</v>
      </c>
    </row>
    <row r="203" spans="2:12" x14ac:dyDescent="0.3">
      <c r="B203" t="str">
        <f t="shared" si="1"/>
        <v>MarinusPortland</v>
      </c>
      <c r="C203" t="s">
        <v>64</v>
      </c>
      <c r="D203">
        <f t="shared" si="4"/>
        <v>0</v>
      </c>
      <c r="E203" t="str">
        <f t="shared" si="13"/>
        <v>Cal-30</v>
      </c>
      <c r="F203" t="s">
        <v>44</v>
      </c>
      <c r="G203" s="73" cm="1">
        <f t="array" ref="G203">INDEX(PPAcfd!$E$28:$T$35,Summary!K203,Summary!L203)</f>
        <v>-10923820.989063902</v>
      </c>
      <c r="H203" s="73" cm="1">
        <f t="array" ref="H203">INDEX(SwapSold!$E$28:$T$35,Summary!K203,Summary!L203)</f>
        <v>-16844391.822619341</v>
      </c>
      <c r="I203" s="20" cm="1">
        <f t="array" ref="I203">INDEX('2hBatteryCM'!$E$28:$T$35,Summary!K203,Summary!L203)</f>
        <v>2118761.4797541914</v>
      </c>
      <c r="J203" s="20"/>
      <c r="K203">
        <f t="shared" si="6"/>
        <v>7</v>
      </c>
      <c r="L203">
        <f t="shared" si="14"/>
        <v>9</v>
      </c>
    </row>
    <row r="204" spans="2:12" x14ac:dyDescent="0.3">
      <c r="B204" t="str">
        <f t="shared" si="1"/>
        <v>MarinusPortland</v>
      </c>
      <c r="C204" t="s">
        <v>64</v>
      </c>
      <c r="D204" t="str">
        <f t="shared" si="4"/>
        <v>avg</v>
      </c>
      <c r="E204" t="str">
        <f t="shared" si="13"/>
        <v>Cal-30</v>
      </c>
      <c r="F204" t="s">
        <v>44</v>
      </c>
      <c r="G204" s="73" cm="1">
        <f t="array" ref="G204">INDEX(PPAcfd!$E$28:$T$35,Summary!K204,Summary!L204)</f>
        <v>-1093677.876296662</v>
      </c>
      <c r="H204" s="73" cm="1">
        <f t="array" ref="H204">INDEX(SwapSold!$E$28:$T$35,Summary!K204,Summary!L204)</f>
        <v>-220152.29276093279</v>
      </c>
      <c r="I204" s="20" cm="1">
        <f t="array" ref="I204">INDEX('2hBatteryCM'!$E$28:$T$35,Summary!K204,Summary!L204)</f>
        <v>5125146.0504483571</v>
      </c>
      <c r="J204" s="20"/>
      <c r="K204">
        <f t="shared" si="6"/>
        <v>8</v>
      </c>
      <c r="L204">
        <f t="shared" si="14"/>
        <v>9</v>
      </c>
    </row>
    <row r="205" spans="2:12" x14ac:dyDescent="0.3">
      <c r="B205" t="str">
        <f t="shared" si="1"/>
        <v>MarinusPortland</v>
      </c>
      <c r="C205" t="s">
        <v>64</v>
      </c>
      <c r="D205">
        <f t="shared" si="4"/>
        <v>1</v>
      </c>
      <c r="E205" t="str">
        <f t="shared" si="13"/>
        <v>Cal-31</v>
      </c>
      <c r="F205" t="s">
        <v>44</v>
      </c>
      <c r="G205" s="73" cm="1">
        <f t="array" ref="G205">INDEX(PPAcfd!$E$28:$T$35,Summary!K205,Summary!L205)</f>
        <v>19903436.755312122</v>
      </c>
      <c r="H205" s="73" cm="1">
        <f t="array" ref="H205">INDEX(SwapSold!$E$28:$T$35,Summary!K205,Summary!L205)</f>
        <v>16048624.034002012</v>
      </c>
      <c r="I205" s="20" cm="1">
        <f t="array" ref="I205">INDEX('2hBatteryCM'!$E$28:$T$35,Summary!K205,Summary!L205)</f>
        <v>11527514.153449893</v>
      </c>
      <c r="J205" s="20"/>
      <c r="K205">
        <f t="shared" si="6"/>
        <v>1</v>
      </c>
      <c r="L205">
        <f t="shared" ref="L205:L258" si="15">VLOOKUP(E205,$R$5:$S$20,2,FALSE)</f>
        <v>10</v>
      </c>
    </row>
    <row r="206" spans="2:12" x14ac:dyDescent="0.3">
      <c r="B206" t="str">
        <f t="shared" si="1"/>
        <v>MarinusPortland</v>
      </c>
      <c r="C206" t="s">
        <v>64</v>
      </c>
      <c r="D206">
        <f t="shared" si="4"/>
        <v>0.95</v>
      </c>
      <c r="E206" t="str">
        <f t="shared" si="13"/>
        <v>Cal-31</v>
      </c>
      <c r="F206" t="s">
        <v>44</v>
      </c>
      <c r="G206" s="73" cm="1">
        <f t="array" ref="G206">INDEX(PPAcfd!$E$28:$T$35,Summary!K206,Summary!L206)</f>
        <v>6988277.3993282923</v>
      </c>
      <c r="H206" s="73" cm="1">
        <f t="array" ref="H206">INDEX(SwapSold!$E$28:$T$35,Summary!K206,Summary!L206)</f>
        <v>7319410.7111703753</v>
      </c>
      <c r="I206" s="20" cm="1">
        <f t="array" ref="I206">INDEX('2hBatteryCM'!$E$28:$T$35,Summary!K206,Summary!L206)</f>
        <v>8083934.4236847097</v>
      </c>
      <c r="J206" s="20"/>
      <c r="K206">
        <f t="shared" si="6"/>
        <v>2</v>
      </c>
      <c r="L206">
        <f t="shared" si="15"/>
        <v>10</v>
      </c>
    </row>
    <row r="207" spans="2:12" x14ac:dyDescent="0.3">
      <c r="B207" t="str">
        <f t="shared" si="1"/>
        <v>MarinusPortland</v>
      </c>
      <c r="C207" t="s">
        <v>64</v>
      </c>
      <c r="D207">
        <f t="shared" si="4"/>
        <v>0.75</v>
      </c>
      <c r="E207" t="str">
        <f t="shared" si="13"/>
        <v>Cal-31</v>
      </c>
      <c r="F207" t="s">
        <v>44</v>
      </c>
      <c r="G207" s="73" cm="1">
        <f t="array" ref="G207">INDEX(PPAcfd!$E$28:$T$35,Summary!K207,Summary!L207)</f>
        <v>2009461.7223529855</v>
      </c>
      <c r="H207" s="73" cm="1">
        <f t="array" ref="H207">INDEX(SwapSold!$E$28:$T$35,Summary!K207,Summary!L207)</f>
        <v>3183799.6713941144</v>
      </c>
      <c r="I207" s="20" cm="1">
        <f t="array" ref="I207">INDEX('2hBatteryCM'!$E$28:$T$35,Summary!K207,Summary!L207)</f>
        <v>6830124.3862093715</v>
      </c>
      <c r="J207" s="20"/>
      <c r="K207">
        <f t="shared" si="6"/>
        <v>3</v>
      </c>
      <c r="L207">
        <f t="shared" si="15"/>
        <v>10</v>
      </c>
    </row>
    <row r="208" spans="2:12" x14ac:dyDescent="0.3">
      <c r="B208" t="str">
        <f t="shared" si="1"/>
        <v>MarinusPortland</v>
      </c>
      <c r="C208" t="s">
        <v>64</v>
      </c>
      <c r="D208">
        <f t="shared" si="4"/>
        <v>0.5</v>
      </c>
      <c r="E208" t="str">
        <f t="shared" si="13"/>
        <v>Cal-31</v>
      </c>
      <c r="F208" t="s">
        <v>44</v>
      </c>
      <c r="G208" s="73" cm="1">
        <f t="array" ref="G208">INDEX(PPAcfd!$E$28:$T$35,Summary!K208,Summary!L208)</f>
        <v>-1331513.4535291225</v>
      </c>
      <c r="H208" s="73" cm="1">
        <f t="array" ref="H208">INDEX(SwapSold!$E$28:$T$35,Summary!K208,Summary!L208)</f>
        <v>-574.24896118991023</v>
      </c>
      <c r="I208" s="20" cm="1">
        <f t="array" ref="I208">INDEX('2hBatteryCM'!$E$28:$T$35,Summary!K208,Summary!L208)</f>
        <v>5922479.7579430556</v>
      </c>
      <c r="J208" s="20"/>
      <c r="K208">
        <f t="shared" si="6"/>
        <v>4</v>
      </c>
      <c r="L208">
        <f t="shared" si="15"/>
        <v>10</v>
      </c>
    </row>
    <row r="209" spans="2:12" x14ac:dyDescent="0.3">
      <c r="B209" t="str">
        <f t="shared" si="1"/>
        <v>MarinusPortland</v>
      </c>
      <c r="C209" t="s">
        <v>64</v>
      </c>
      <c r="D209">
        <f t="shared" si="4"/>
        <v>0.25</v>
      </c>
      <c r="E209" t="str">
        <f t="shared" si="13"/>
        <v>Cal-31</v>
      </c>
      <c r="F209" t="s">
        <v>44</v>
      </c>
      <c r="G209" s="73" cm="1">
        <f t="array" ref="G209">INDEX(PPAcfd!$E$28:$T$35,Summary!K209,Summary!L209)</f>
        <v>-4156992.3580149505</v>
      </c>
      <c r="H209" s="73" cm="1">
        <f t="array" ref="H209">INDEX(SwapSold!$E$28:$T$35,Summary!K209,Summary!L209)</f>
        <v>-3391208.5692786914</v>
      </c>
      <c r="I209" s="20" cm="1">
        <f t="array" ref="I209">INDEX('2hBatteryCM'!$E$28:$T$35,Summary!K209,Summary!L209)</f>
        <v>5075752.3895489611</v>
      </c>
      <c r="J209" s="20"/>
      <c r="K209">
        <f t="shared" si="6"/>
        <v>5</v>
      </c>
      <c r="L209">
        <f t="shared" si="15"/>
        <v>10</v>
      </c>
    </row>
    <row r="210" spans="2:12" x14ac:dyDescent="0.3">
      <c r="B210" t="str">
        <f t="shared" si="1"/>
        <v>MarinusPortland</v>
      </c>
      <c r="C210" t="s">
        <v>64</v>
      </c>
      <c r="D210">
        <f t="shared" si="4"/>
        <v>0.05</v>
      </c>
      <c r="E210" t="str">
        <f t="shared" si="13"/>
        <v>Cal-31</v>
      </c>
      <c r="F210" t="s">
        <v>44</v>
      </c>
      <c r="G210" s="73" cm="1">
        <f t="array" ref="G210">INDEX(PPAcfd!$E$28:$T$35,Summary!K210,Summary!L210)</f>
        <v>-7145211.1888805712</v>
      </c>
      <c r="H210" s="73" cm="1">
        <f t="array" ref="H210">INDEX(SwapSold!$E$28:$T$35,Summary!K210,Summary!L210)</f>
        <v>-8700319.4330287892</v>
      </c>
      <c r="I210" s="20" cm="1">
        <f t="array" ref="I210">INDEX('2hBatteryCM'!$E$28:$T$35,Summary!K210,Summary!L210)</f>
        <v>4066976.396501848</v>
      </c>
      <c r="J210" s="20"/>
      <c r="K210">
        <f t="shared" si="6"/>
        <v>6</v>
      </c>
      <c r="L210">
        <f t="shared" si="15"/>
        <v>10</v>
      </c>
    </row>
    <row r="211" spans="2:12" x14ac:dyDescent="0.3">
      <c r="B211" t="str">
        <f t="shared" si="1"/>
        <v>MarinusPortland</v>
      </c>
      <c r="C211" t="s">
        <v>64</v>
      </c>
      <c r="D211">
        <f t="shared" si="4"/>
        <v>0</v>
      </c>
      <c r="E211" t="str">
        <f t="shared" si="13"/>
        <v>Cal-31</v>
      </c>
      <c r="F211" t="s">
        <v>44</v>
      </c>
      <c r="G211" s="73" cm="1">
        <f t="array" ref="G211">INDEX(PPAcfd!$E$28:$T$35,Summary!K211,Summary!L211)</f>
        <v>-11518585.64704437</v>
      </c>
      <c r="H211" s="73" cm="1">
        <f t="array" ref="H211">INDEX(SwapSold!$E$28:$T$35,Summary!K211,Summary!L211)</f>
        <v>-18861587.799728066</v>
      </c>
      <c r="I211" s="20" cm="1">
        <f t="array" ref="I211">INDEX('2hBatteryCM'!$E$28:$T$35,Summary!K211,Summary!L211)</f>
        <v>2612932.4696862553</v>
      </c>
      <c r="J211" s="20"/>
      <c r="K211">
        <f t="shared" si="6"/>
        <v>7</v>
      </c>
      <c r="L211">
        <f t="shared" si="15"/>
        <v>10</v>
      </c>
    </row>
    <row r="212" spans="2:12" x14ac:dyDescent="0.3">
      <c r="B212" t="str">
        <f t="shared" si="1"/>
        <v>MarinusPortland</v>
      </c>
      <c r="C212" t="s">
        <v>64</v>
      </c>
      <c r="D212" t="str">
        <f t="shared" si="4"/>
        <v>avg</v>
      </c>
      <c r="E212" t="str">
        <f t="shared" si="13"/>
        <v>Cal-31</v>
      </c>
      <c r="F212" t="s">
        <v>44</v>
      </c>
      <c r="G212" s="73" cm="1">
        <f t="array" ref="G212">INDEX(PPAcfd!$E$28:$T$35,Summary!K212,Summary!L212)</f>
        <v>-864337.68841649778</v>
      </c>
      <c r="H212" s="73" cm="1">
        <f t="array" ref="H212">INDEX(SwapSold!$E$28:$T$35,Summary!K212,Summary!L212)</f>
        <v>-240764.57333132531</v>
      </c>
      <c r="I212" s="20" cm="1">
        <f t="array" ref="I212">INDEX('2hBatteryCM'!$E$28:$T$35,Summary!K212,Summary!L212)</f>
        <v>5975376.8697638856</v>
      </c>
      <c r="J212" s="20"/>
      <c r="K212">
        <f t="shared" si="6"/>
        <v>8</v>
      </c>
      <c r="L212">
        <f t="shared" si="15"/>
        <v>10</v>
      </c>
    </row>
    <row r="213" spans="2:12" x14ac:dyDescent="0.3">
      <c r="B213" t="str">
        <f t="shared" si="1"/>
        <v>MarinusPortland</v>
      </c>
      <c r="C213" t="s">
        <v>64</v>
      </c>
      <c r="D213">
        <f t="shared" si="4"/>
        <v>1</v>
      </c>
      <c r="E213" t="str">
        <f t="shared" si="13"/>
        <v>Cal-32</v>
      </c>
      <c r="F213" t="s">
        <v>44</v>
      </c>
      <c r="G213" s="73" cm="1">
        <f t="array" ref="G213">INDEX(PPAcfd!$E$28:$T$35,Summary!K213,Summary!L213)</f>
        <v>14778993.492223972</v>
      </c>
      <c r="H213" s="73" cm="1">
        <f t="array" ref="H213">INDEX(SwapSold!$E$28:$T$35,Summary!K213,Summary!L213)</f>
        <v>14936568.197557278</v>
      </c>
      <c r="I213" s="20" cm="1">
        <f t="array" ref="I213">INDEX('2hBatteryCM'!$E$28:$T$35,Summary!K213,Summary!L213)</f>
        <v>10453684.484027633</v>
      </c>
      <c r="J213" s="20"/>
      <c r="K213">
        <f t="shared" si="6"/>
        <v>1</v>
      </c>
      <c r="L213">
        <f t="shared" si="15"/>
        <v>11</v>
      </c>
    </row>
    <row r="214" spans="2:12" x14ac:dyDescent="0.3">
      <c r="B214" t="str">
        <f t="shared" si="1"/>
        <v>MarinusPortland</v>
      </c>
      <c r="C214" t="s">
        <v>64</v>
      </c>
      <c r="D214">
        <f t="shared" si="4"/>
        <v>0.95</v>
      </c>
      <c r="E214" t="str">
        <f t="shared" si="13"/>
        <v>Cal-32</v>
      </c>
      <c r="F214" t="s">
        <v>44</v>
      </c>
      <c r="G214" s="73" cm="1">
        <f t="array" ref="G214">INDEX(PPAcfd!$E$28:$T$35,Summary!K214,Summary!L214)</f>
        <v>3844419.7147929971</v>
      </c>
      <c r="H214" s="73" cm="1">
        <f t="array" ref="H214">INDEX(SwapSold!$E$28:$T$35,Summary!K214,Summary!L214)</f>
        <v>7060266.2572589591</v>
      </c>
      <c r="I214" s="20" cm="1">
        <f t="array" ref="I214">INDEX('2hBatteryCM'!$E$28:$T$35,Summary!K214,Summary!L214)</f>
        <v>7467065.1400986798</v>
      </c>
      <c r="J214" s="20"/>
      <c r="K214">
        <f t="shared" si="6"/>
        <v>2</v>
      </c>
      <c r="L214">
        <f t="shared" si="15"/>
        <v>11</v>
      </c>
    </row>
    <row r="215" spans="2:12" x14ac:dyDescent="0.3">
      <c r="B215" t="str">
        <f t="shared" si="1"/>
        <v>MarinusPortland</v>
      </c>
      <c r="C215" t="s">
        <v>64</v>
      </c>
      <c r="D215">
        <f t="shared" si="4"/>
        <v>0.75</v>
      </c>
      <c r="E215" t="str">
        <f t="shared" si="13"/>
        <v>Cal-32</v>
      </c>
      <c r="F215" t="s">
        <v>44</v>
      </c>
      <c r="G215" s="73" cm="1">
        <f t="array" ref="G215">INDEX(PPAcfd!$E$28:$T$35,Summary!K215,Summary!L215)</f>
        <v>-526661.49556749419</v>
      </c>
      <c r="H215" s="73" cm="1">
        <f t="array" ref="H215">INDEX(SwapSold!$E$28:$T$35,Summary!K215,Summary!L215)</f>
        <v>3105139.3178287721</v>
      </c>
      <c r="I215" s="20" cm="1">
        <f t="array" ref="I215">INDEX('2hBatteryCM'!$E$28:$T$35,Summary!K215,Summary!L215)</f>
        <v>6381007.2536279336</v>
      </c>
      <c r="J215" s="20"/>
      <c r="K215">
        <f t="shared" si="6"/>
        <v>3</v>
      </c>
      <c r="L215">
        <f t="shared" si="15"/>
        <v>11</v>
      </c>
    </row>
    <row r="216" spans="2:12" x14ac:dyDescent="0.3">
      <c r="B216" t="str">
        <f t="shared" si="1"/>
        <v>MarinusPortland</v>
      </c>
      <c r="C216" t="s">
        <v>64</v>
      </c>
      <c r="D216">
        <f t="shared" si="4"/>
        <v>0.5</v>
      </c>
      <c r="E216" t="str">
        <f t="shared" si="13"/>
        <v>Cal-32</v>
      </c>
      <c r="F216" t="s">
        <v>44</v>
      </c>
      <c r="G216" s="73" cm="1">
        <f t="array" ref="G216">INDEX(PPAcfd!$E$28:$T$35,Summary!K216,Summary!L216)</f>
        <v>-3792630.8499809117</v>
      </c>
      <c r="H216" s="73" cm="1">
        <f t="array" ref="H216">INDEX(SwapSold!$E$28:$T$35,Summary!K216,Summary!L216)</f>
        <v>85382.777024268114</v>
      </c>
      <c r="I216" s="20" cm="1">
        <f t="array" ref="I216">INDEX('2hBatteryCM'!$E$28:$T$35,Summary!K216,Summary!L216)</f>
        <v>5534099.2679939922</v>
      </c>
      <c r="J216" s="20"/>
      <c r="K216">
        <f t="shared" si="6"/>
        <v>4</v>
      </c>
      <c r="L216">
        <f t="shared" si="15"/>
        <v>11</v>
      </c>
    </row>
    <row r="217" spans="2:12" x14ac:dyDescent="0.3">
      <c r="B217" t="str">
        <f t="shared" si="1"/>
        <v>MarinusPortland</v>
      </c>
      <c r="C217" t="s">
        <v>64</v>
      </c>
      <c r="D217">
        <f t="shared" si="4"/>
        <v>0.25</v>
      </c>
      <c r="E217" t="str">
        <f t="shared" si="13"/>
        <v>Cal-32</v>
      </c>
      <c r="F217" t="s">
        <v>44</v>
      </c>
      <c r="G217" s="73" cm="1">
        <f t="array" ref="G217">INDEX(PPAcfd!$E$28:$T$35,Summary!K217,Summary!L217)</f>
        <v>-6468695.1928835874</v>
      </c>
      <c r="H217" s="73" cm="1">
        <f t="array" ref="H217">INDEX(SwapSold!$E$28:$T$35,Summary!K217,Summary!L217)</f>
        <v>-3427643.4655617806</v>
      </c>
      <c r="I217" s="20" cm="1">
        <f t="array" ref="I217">INDEX('2hBatteryCM'!$E$28:$T$35,Summary!K217,Summary!L217)</f>
        <v>4752681.2919299835</v>
      </c>
      <c r="J217" s="20"/>
      <c r="K217">
        <f t="shared" si="6"/>
        <v>5</v>
      </c>
      <c r="L217">
        <f t="shared" si="15"/>
        <v>11</v>
      </c>
    </row>
    <row r="218" spans="2:12" x14ac:dyDescent="0.3">
      <c r="B218" t="str">
        <f t="shared" si="1"/>
        <v>MarinusPortland</v>
      </c>
      <c r="C218" t="s">
        <v>64</v>
      </c>
      <c r="D218">
        <f t="shared" si="4"/>
        <v>0.05</v>
      </c>
      <c r="E218" t="str">
        <f t="shared" si="13"/>
        <v>Cal-32</v>
      </c>
      <c r="F218" t="s">
        <v>44</v>
      </c>
      <c r="G218" s="73" cm="1">
        <f t="array" ref="G218">INDEX(PPAcfd!$E$28:$T$35,Summary!K218,Summary!L218)</f>
        <v>-9436194.5767296143</v>
      </c>
      <c r="H218" s="73" cm="1">
        <f t="array" ref="H218">INDEX(SwapSold!$E$28:$T$35,Summary!K218,Summary!L218)</f>
        <v>-8513212.6646256857</v>
      </c>
      <c r="I218" s="20" cm="1">
        <f t="array" ref="I218">INDEX('2hBatteryCM'!$E$28:$T$35,Summary!K218,Summary!L218)</f>
        <v>3781044.372806021</v>
      </c>
      <c r="J218" s="20"/>
      <c r="K218">
        <f t="shared" si="6"/>
        <v>6</v>
      </c>
      <c r="L218">
        <f t="shared" si="15"/>
        <v>11</v>
      </c>
    </row>
    <row r="219" spans="2:12" x14ac:dyDescent="0.3">
      <c r="B219" t="str">
        <f t="shared" si="1"/>
        <v>MarinusPortland</v>
      </c>
      <c r="C219" t="s">
        <v>64</v>
      </c>
      <c r="D219">
        <f t="shared" si="4"/>
        <v>0</v>
      </c>
      <c r="E219" t="str">
        <f t="shared" si="13"/>
        <v>Cal-32</v>
      </c>
      <c r="F219" t="s">
        <v>44</v>
      </c>
      <c r="G219" s="73" cm="1">
        <f t="array" ref="G219">INDEX(PPAcfd!$E$28:$T$35,Summary!K219,Summary!L219)</f>
        <v>-13341907.085893514</v>
      </c>
      <c r="H219" s="73" cm="1">
        <f t="array" ref="H219">INDEX(SwapSold!$E$28:$T$35,Summary!K219,Summary!L219)</f>
        <v>-21336939.190795988</v>
      </c>
      <c r="I219" s="20" cm="1">
        <f t="array" ref="I219">INDEX('2hBatteryCM'!$E$28:$T$35,Summary!K219,Summary!L219)</f>
        <v>2543055.6068644882</v>
      </c>
      <c r="J219" s="20"/>
      <c r="K219">
        <f t="shared" si="6"/>
        <v>7</v>
      </c>
      <c r="L219">
        <f t="shared" si="15"/>
        <v>11</v>
      </c>
    </row>
    <row r="220" spans="2:12" x14ac:dyDescent="0.3">
      <c r="B220" t="str">
        <f t="shared" si="1"/>
        <v>MarinusPortland</v>
      </c>
      <c r="C220" t="s">
        <v>64</v>
      </c>
      <c r="D220" t="str">
        <f t="shared" si="4"/>
        <v>avg</v>
      </c>
      <c r="E220" t="str">
        <f t="shared" si="13"/>
        <v>Cal-32</v>
      </c>
      <c r="F220" t="s">
        <v>44</v>
      </c>
      <c r="G220" s="73" cm="1">
        <f t="array" ref="G220">INDEX(PPAcfd!$E$28:$T$35,Summary!K220,Summary!L220)</f>
        <v>-3357649.7288134275</v>
      </c>
      <c r="H220" s="73" cm="1">
        <f t="array" ref="H220">INDEX(SwapSold!$E$28:$T$35,Summary!K220,Summary!L220)</f>
        <v>-257699.8018535398</v>
      </c>
      <c r="I220" s="20" cm="1">
        <f t="array" ref="I220">INDEX('2hBatteryCM'!$E$28:$T$35,Summary!K220,Summary!L220)</f>
        <v>5573827.2217541821</v>
      </c>
      <c r="J220" s="20"/>
      <c r="K220">
        <f t="shared" si="6"/>
        <v>8</v>
      </c>
      <c r="L220">
        <f t="shared" si="15"/>
        <v>11</v>
      </c>
    </row>
    <row r="221" spans="2:12" x14ac:dyDescent="0.3">
      <c r="B221" t="str">
        <f t="shared" si="1"/>
        <v>MarinusPortland</v>
      </c>
      <c r="C221" t="s">
        <v>64</v>
      </c>
      <c r="D221">
        <f t="shared" si="4"/>
        <v>1</v>
      </c>
      <c r="E221" t="str">
        <f t="shared" si="13"/>
        <v>Cal-33</v>
      </c>
      <c r="F221" t="s">
        <v>44</v>
      </c>
      <c r="G221" s="73" cm="1">
        <f t="array" ref="G221">INDEX(PPAcfd!$E$28:$T$35,Summary!K221,Summary!L221)</f>
        <v>16245806.461181702</v>
      </c>
      <c r="H221" s="73" cm="1">
        <f t="array" ref="H221">INDEX(SwapSold!$E$28:$T$35,Summary!K221,Summary!L221)</f>
        <v>16125272.115913125</v>
      </c>
      <c r="I221" s="20" cm="1">
        <f t="array" ref="I221">INDEX('2hBatteryCM'!$E$28:$T$35,Summary!K221,Summary!L221)</f>
        <v>10748156.612432642</v>
      </c>
      <c r="J221" s="20"/>
      <c r="K221">
        <f t="shared" si="6"/>
        <v>1</v>
      </c>
      <c r="L221">
        <f t="shared" si="15"/>
        <v>12</v>
      </c>
    </row>
    <row r="222" spans="2:12" x14ac:dyDescent="0.3">
      <c r="B222" t="str">
        <f t="shared" si="1"/>
        <v>MarinusPortland</v>
      </c>
      <c r="C222" t="s">
        <v>64</v>
      </c>
      <c r="D222">
        <f t="shared" si="4"/>
        <v>0.95</v>
      </c>
      <c r="E222" t="str">
        <f t="shared" si="13"/>
        <v>Cal-33</v>
      </c>
      <c r="F222" t="s">
        <v>44</v>
      </c>
      <c r="G222" s="73" cm="1">
        <f t="array" ref="G222">INDEX(PPAcfd!$E$28:$T$35,Summary!K222,Summary!L222)</f>
        <v>5773284.0838598032</v>
      </c>
      <c r="H222" s="73" cm="1">
        <f t="array" ref="H222">INDEX(SwapSold!$E$28:$T$35,Summary!K222,Summary!L222)</f>
        <v>8327437.8374069324</v>
      </c>
      <c r="I222" s="20" cm="1">
        <f t="array" ref="I222">INDEX('2hBatteryCM'!$E$28:$T$35,Summary!K222,Summary!L222)</f>
        <v>7874760.7173458422</v>
      </c>
      <c r="J222" s="20"/>
      <c r="K222">
        <f t="shared" si="6"/>
        <v>2</v>
      </c>
      <c r="L222">
        <f t="shared" si="15"/>
        <v>12</v>
      </c>
    </row>
    <row r="223" spans="2:12" x14ac:dyDescent="0.3">
      <c r="B223" t="str">
        <f t="shared" si="1"/>
        <v>MarinusPortland</v>
      </c>
      <c r="C223" t="s">
        <v>64</v>
      </c>
      <c r="D223">
        <f t="shared" si="4"/>
        <v>0.75</v>
      </c>
      <c r="E223" t="str">
        <f t="shared" si="13"/>
        <v>Cal-33</v>
      </c>
      <c r="F223" t="s">
        <v>44</v>
      </c>
      <c r="G223" s="73" cm="1">
        <f t="array" ref="G223">INDEX(PPAcfd!$E$28:$T$35,Summary!K223,Summary!L223)</f>
        <v>1189308.975918836</v>
      </c>
      <c r="H223" s="73" cm="1">
        <f t="array" ref="H223">INDEX(SwapSold!$E$28:$T$35,Summary!K223,Summary!L223)</f>
        <v>3487628.5885356781</v>
      </c>
      <c r="I223" s="20" cm="1">
        <f t="array" ref="I223">INDEX('2hBatteryCM'!$E$28:$T$35,Summary!K223,Summary!L223)</f>
        <v>6752682.140080275</v>
      </c>
      <c r="J223" s="20"/>
      <c r="K223">
        <f t="shared" si="6"/>
        <v>3</v>
      </c>
      <c r="L223">
        <f t="shared" si="15"/>
        <v>12</v>
      </c>
    </row>
    <row r="224" spans="2:12" x14ac:dyDescent="0.3">
      <c r="B224" t="str">
        <f t="shared" si="1"/>
        <v>MarinusPortland</v>
      </c>
      <c r="C224" t="s">
        <v>64</v>
      </c>
      <c r="D224">
        <f t="shared" si="4"/>
        <v>0.5</v>
      </c>
      <c r="E224" t="str">
        <f t="shared" si="13"/>
        <v>Cal-33</v>
      </c>
      <c r="F224" t="s">
        <v>44</v>
      </c>
      <c r="G224" s="73" cm="1">
        <f t="array" ref="G224">INDEX(PPAcfd!$E$28:$T$35,Summary!K224,Summary!L224)</f>
        <v>-2114340.8327575498</v>
      </c>
      <c r="H224" s="73" cm="1">
        <f t="array" ref="H224">INDEX(SwapSold!$E$28:$T$35,Summary!K224,Summary!L224)</f>
        <v>-92470.14897681307</v>
      </c>
      <c r="I224" s="20" cm="1">
        <f t="array" ref="I224">INDEX('2hBatteryCM'!$E$28:$T$35,Summary!K224,Summary!L224)</f>
        <v>5901243.8879995337</v>
      </c>
      <c r="J224" s="20"/>
      <c r="K224">
        <f t="shared" si="6"/>
        <v>4</v>
      </c>
      <c r="L224">
        <f t="shared" si="15"/>
        <v>12</v>
      </c>
    </row>
    <row r="225" spans="2:12" x14ac:dyDescent="0.3">
      <c r="B225" t="str">
        <f t="shared" si="1"/>
        <v>MarinusPortland</v>
      </c>
      <c r="C225" t="s">
        <v>64</v>
      </c>
      <c r="D225">
        <f t="shared" si="4"/>
        <v>0.25</v>
      </c>
      <c r="E225" t="str">
        <f t="shared" si="13"/>
        <v>Cal-33</v>
      </c>
      <c r="F225" t="s">
        <v>44</v>
      </c>
      <c r="G225" s="73" cm="1">
        <f t="array" ref="G225">INDEX(PPAcfd!$E$28:$T$35,Summary!K225,Summary!L225)</f>
        <v>-5455232.3146873917</v>
      </c>
      <c r="H225" s="73" cm="1">
        <f t="array" ref="H225">INDEX(SwapSold!$E$28:$T$35,Summary!K225,Summary!L225)</f>
        <v>-3725528.8503632131</v>
      </c>
      <c r="I225" s="20" cm="1">
        <f t="array" ref="I225">INDEX('2hBatteryCM'!$E$28:$T$35,Summary!K225,Summary!L225)</f>
        <v>4992942.0546347303</v>
      </c>
      <c r="J225" s="20"/>
      <c r="K225">
        <f t="shared" si="6"/>
        <v>5</v>
      </c>
      <c r="L225">
        <f t="shared" si="15"/>
        <v>12</v>
      </c>
    </row>
    <row r="226" spans="2:12" x14ac:dyDescent="0.3">
      <c r="B226" t="str">
        <f t="shared" si="1"/>
        <v>MarinusPortland</v>
      </c>
      <c r="C226" t="s">
        <v>64</v>
      </c>
      <c r="D226">
        <f t="shared" si="4"/>
        <v>0.05</v>
      </c>
      <c r="E226" t="str">
        <f t="shared" si="13"/>
        <v>Cal-33</v>
      </c>
      <c r="F226" t="s">
        <v>44</v>
      </c>
      <c r="G226" s="73" cm="1">
        <f t="array" ref="G226">INDEX(PPAcfd!$E$28:$T$35,Summary!K226,Summary!L226)</f>
        <v>-9218898.6650088038</v>
      </c>
      <c r="H226" s="73" cm="1">
        <f t="array" ref="H226">INDEX(SwapSold!$E$28:$T$35,Summary!K226,Summary!L226)</f>
        <v>-8756814.1166702956</v>
      </c>
      <c r="I226" s="20" cm="1">
        <f t="array" ref="I226">INDEX('2hBatteryCM'!$E$28:$T$35,Summary!K226,Summary!L226)</f>
        <v>3876448.5718143336</v>
      </c>
      <c r="J226" s="20"/>
      <c r="K226">
        <f t="shared" si="6"/>
        <v>6</v>
      </c>
      <c r="L226">
        <f t="shared" si="15"/>
        <v>12</v>
      </c>
    </row>
    <row r="227" spans="2:12" x14ac:dyDescent="0.3">
      <c r="B227" t="str">
        <f t="shared" si="1"/>
        <v>MarinusPortland</v>
      </c>
      <c r="C227" t="s">
        <v>64</v>
      </c>
      <c r="D227">
        <f t="shared" si="4"/>
        <v>0</v>
      </c>
      <c r="E227" t="str">
        <f t="shared" si="13"/>
        <v>Cal-33</v>
      </c>
      <c r="F227" t="s">
        <v>44</v>
      </c>
      <c r="G227" s="73" cm="1">
        <f t="array" ref="G227">INDEX(PPAcfd!$E$28:$T$35,Summary!K227,Summary!L227)</f>
        <v>-14412137.39022184</v>
      </c>
      <c r="H227" s="73" cm="1">
        <f t="array" ref="H227">INDEX(SwapSold!$E$28:$T$35,Summary!K227,Summary!L227)</f>
        <v>-17749414.236748271</v>
      </c>
      <c r="I227" s="20" cm="1">
        <f t="array" ref="I227">INDEX('2hBatteryCM'!$E$28:$T$35,Summary!K227,Summary!L227)</f>
        <v>2461058.8179959073</v>
      </c>
      <c r="J227" s="20"/>
      <c r="K227">
        <f t="shared" si="6"/>
        <v>7</v>
      </c>
      <c r="L227">
        <f t="shared" si="15"/>
        <v>12</v>
      </c>
    </row>
    <row r="228" spans="2:12" x14ac:dyDescent="0.3">
      <c r="B228" t="str">
        <f t="shared" si="1"/>
        <v>MarinusPortland</v>
      </c>
      <c r="C228" t="s">
        <v>64</v>
      </c>
      <c r="D228" t="str">
        <f t="shared" si="4"/>
        <v>avg</v>
      </c>
      <c r="E228" t="str">
        <f t="shared" si="13"/>
        <v>Cal-33</v>
      </c>
      <c r="F228" t="s">
        <v>44</v>
      </c>
      <c r="G228" s="73" cm="1">
        <f t="array" ref="G228">INDEX(PPAcfd!$E$28:$T$35,Summary!K228,Summary!L228)</f>
        <v>-2019423.4129356227</v>
      </c>
      <c r="H228" s="73" cm="1">
        <f t="array" ref="H228">INDEX(SwapSold!$E$28:$T$35,Summary!K228,Summary!L228)</f>
        <v>-138943.94211016045</v>
      </c>
      <c r="I228" s="20" cm="1">
        <f t="array" ref="I228">INDEX('2hBatteryCM'!$E$28:$T$35,Summary!K228,Summary!L228)</f>
        <v>5877510.7961001229</v>
      </c>
      <c r="J228" s="20"/>
      <c r="K228">
        <f t="shared" si="6"/>
        <v>8</v>
      </c>
      <c r="L228">
        <f t="shared" si="15"/>
        <v>12</v>
      </c>
    </row>
    <row r="229" spans="2:12" x14ac:dyDescent="0.3">
      <c r="B229" t="str">
        <f t="shared" si="1"/>
        <v>MarinusPortland</v>
      </c>
      <c r="C229" t="s">
        <v>64</v>
      </c>
      <c r="D229">
        <f t="shared" si="4"/>
        <v>1</v>
      </c>
      <c r="E229" t="str">
        <f t="shared" si="13"/>
        <v>Cal-34</v>
      </c>
      <c r="F229" t="s">
        <v>44</v>
      </c>
      <c r="G229" s="73" cm="1">
        <f t="array" ref="G229">INDEX(PPAcfd!$E$28:$T$35,Summary!K229,Summary!L229)</f>
        <v>21199120.836498644</v>
      </c>
      <c r="H229" s="73" cm="1">
        <f t="array" ref="H229">INDEX(SwapSold!$E$28:$T$35,Summary!K229,Summary!L229)</f>
        <v>19041876.804225415</v>
      </c>
      <c r="I229" s="20" cm="1">
        <f t="array" ref="I229">INDEX('2hBatteryCM'!$E$28:$T$35,Summary!K229,Summary!L229)</f>
        <v>11632234.788654134</v>
      </c>
      <c r="J229" s="20"/>
      <c r="K229">
        <f t="shared" si="6"/>
        <v>1</v>
      </c>
      <c r="L229">
        <f t="shared" si="15"/>
        <v>13</v>
      </c>
    </row>
    <row r="230" spans="2:12" x14ac:dyDescent="0.3">
      <c r="B230" t="str">
        <f t="shared" si="1"/>
        <v>MarinusPortland</v>
      </c>
      <c r="C230" t="s">
        <v>64</v>
      </c>
      <c r="D230">
        <f t="shared" si="4"/>
        <v>0.95</v>
      </c>
      <c r="E230" t="str">
        <f t="shared" si="13"/>
        <v>Cal-34</v>
      </c>
      <c r="F230" t="s">
        <v>44</v>
      </c>
      <c r="G230" s="73" cm="1">
        <f t="array" ref="G230">INDEX(PPAcfd!$E$28:$T$35,Summary!K230,Summary!L230)</f>
        <v>9502415.9406869914</v>
      </c>
      <c r="H230" s="73" cm="1">
        <f t="array" ref="H230">INDEX(SwapSold!$E$28:$T$35,Summary!K230,Summary!L230)</f>
        <v>9704141.8645731453</v>
      </c>
      <c r="I230" s="20" cm="1">
        <f t="array" ref="I230">INDEX('2hBatteryCM'!$E$28:$T$35,Summary!K230,Summary!L230)</f>
        <v>8594920.3989388831</v>
      </c>
      <c r="J230" s="20"/>
      <c r="K230">
        <f t="shared" si="6"/>
        <v>2</v>
      </c>
      <c r="L230">
        <f t="shared" si="15"/>
        <v>13</v>
      </c>
    </row>
    <row r="231" spans="2:12" x14ac:dyDescent="0.3">
      <c r="B231" t="str">
        <f t="shared" si="1"/>
        <v>MarinusPortland</v>
      </c>
      <c r="C231" t="s">
        <v>64</v>
      </c>
      <c r="D231">
        <f t="shared" si="4"/>
        <v>0.75</v>
      </c>
      <c r="E231" t="str">
        <f t="shared" si="13"/>
        <v>Cal-34</v>
      </c>
      <c r="F231" t="s">
        <v>44</v>
      </c>
      <c r="G231" s="73" cm="1">
        <f t="array" ref="G231">INDEX(PPAcfd!$E$28:$T$35,Summary!K231,Summary!L231)</f>
        <v>5251265.3098612754</v>
      </c>
      <c r="H231" s="73" cm="1">
        <f t="array" ref="H231">INDEX(SwapSold!$E$28:$T$35,Summary!K231,Summary!L231)</f>
        <v>3957010.6580653782</v>
      </c>
      <c r="I231" s="20" cm="1">
        <f t="array" ref="I231">INDEX('2hBatteryCM'!$E$28:$T$35,Summary!K231,Summary!L231)</f>
        <v>7550278.5905889394</v>
      </c>
      <c r="J231" s="20"/>
      <c r="K231">
        <f t="shared" si="6"/>
        <v>3</v>
      </c>
      <c r="L231">
        <f t="shared" si="15"/>
        <v>13</v>
      </c>
    </row>
    <row r="232" spans="2:12" x14ac:dyDescent="0.3">
      <c r="B232" t="str">
        <f t="shared" si="1"/>
        <v>MarinusPortland</v>
      </c>
      <c r="C232" t="s">
        <v>64</v>
      </c>
      <c r="D232">
        <f t="shared" si="4"/>
        <v>0.5</v>
      </c>
      <c r="E232" t="str">
        <f t="shared" si="13"/>
        <v>Cal-34</v>
      </c>
      <c r="F232" t="s">
        <v>44</v>
      </c>
      <c r="G232" s="73" cm="1">
        <f t="array" ref="G232">INDEX(PPAcfd!$E$28:$T$35,Summary!K232,Summary!L232)</f>
        <v>1627598.4889372706</v>
      </c>
      <c r="H232" s="73" cm="1">
        <f t="array" ref="H232">INDEX(SwapSold!$E$28:$T$35,Summary!K232,Summary!L232)</f>
        <v>-211581.317964494</v>
      </c>
      <c r="I232" s="20" cm="1">
        <f t="array" ref="I232">INDEX('2hBatteryCM'!$E$28:$T$35,Summary!K232,Summary!L232)</f>
        <v>6637235.2622806411</v>
      </c>
      <c r="J232" s="20"/>
      <c r="K232">
        <f t="shared" si="6"/>
        <v>4</v>
      </c>
      <c r="L232">
        <f t="shared" si="15"/>
        <v>13</v>
      </c>
    </row>
    <row r="233" spans="2:12" x14ac:dyDescent="0.3">
      <c r="B233" t="str">
        <f t="shared" si="1"/>
        <v>MarinusPortland</v>
      </c>
      <c r="C233" t="s">
        <v>64</v>
      </c>
      <c r="D233">
        <f t="shared" si="4"/>
        <v>0.25</v>
      </c>
      <c r="E233" t="str">
        <f t="shared" si="13"/>
        <v>Cal-34</v>
      </c>
      <c r="F233" t="s">
        <v>44</v>
      </c>
      <c r="G233" s="73" cm="1">
        <f t="array" ref="G233">INDEX(PPAcfd!$E$28:$T$35,Summary!K233,Summary!L233)</f>
        <v>-2504981.68922436</v>
      </c>
      <c r="H233" s="73" cm="1">
        <f t="array" ref="H233">INDEX(SwapSold!$E$28:$T$35,Summary!K233,Summary!L233)</f>
        <v>-4031920.8220162168</v>
      </c>
      <c r="I233" s="20" cm="1">
        <f t="array" ref="I233">INDEX('2hBatteryCM'!$E$28:$T$35,Summary!K233,Summary!L233)</f>
        <v>5577659.6685436461</v>
      </c>
      <c r="J233" s="20"/>
      <c r="K233">
        <f t="shared" si="6"/>
        <v>5</v>
      </c>
      <c r="L233">
        <f t="shared" si="15"/>
        <v>13</v>
      </c>
    </row>
    <row r="234" spans="2:12" x14ac:dyDescent="0.3">
      <c r="B234" t="str">
        <f t="shared" si="1"/>
        <v>MarinusPortland</v>
      </c>
      <c r="C234" t="s">
        <v>64</v>
      </c>
      <c r="D234">
        <f t="shared" si="4"/>
        <v>0.05</v>
      </c>
      <c r="E234" t="str">
        <f t="shared" si="13"/>
        <v>Cal-34</v>
      </c>
      <c r="F234" t="s">
        <v>44</v>
      </c>
      <c r="G234" s="73" cm="1">
        <f t="array" ref="G234">INDEX(PPAcfd!$E$28:$T$35,Summary!K234,Summary!L234)</f>
        <v>-7399404.664608473</v>
      </c>
      <c r="H234" s="73" cm="1">
        <f t="array" ref="H234">INDEX(SwapSold!$E$28:$T$35,Summary!K234,Summary!L234)</f>
        <v>-9102451.0858501978</v>
      </c>
      <c r="I234" s="20" cm="1">
        <f t="array" ref="I234">INDEX('2hBatteryCM'!$E$28:$T$35,Summary!K234,Summary!L234)</f>
        <v>4245236.8396006124</v>
      </c>
      <c r="J234" s="20"/>
      <c r="K234">
        <f t="shared" si="6"/>
        <v>6</v>
      </c>
      <c r="L234">
        <f t="shared" si="15"/>
        <v>13</v>
      </c>
    </row>
    <row r="235" spans="2:12" x14ac:dyDescent="0.3">
      <c r="B235" t="str">
        <f t="shared" si="1"/>
        <v>MarinusPortland</v>
      </c>
      <c r="C235" t="s">
        <v>64</v>
      </c>
      <c r="D235">
        <f t="shared" si="4"/>
        <v>0</v>
      </c>
      <c r="E235" t="str">
        <f t="shared" si="13"/>
        <v>Cal-34</v>
      </c>
      <c r="F235" t="s">
        <v>44</v>
      </c>
      <c r="G235" s="73" cm="1">
        <f t="array" ref="G235">INDEX(PPAcfd!$E$28:$T$35,Summary!K235,Summary!L235)</f>
        <v>-12649029.033627152</v>
      </c>
      <c r="H235" s="73" cm="1">
        <f t="array" ref="H235">INDEX(SwapSold!$E$28:$T$35,Summary!K235,Summary!L235)</f>
        <v>-21923962.275100458</v>
      </c>
      <c r="I235" s="20" cm="1">
        <f t="array" ref="I235">INDEX('2hBatteryCM'!$E$28:$T$35,Summary!K235,Summary!L235)</f>
        <v>2778456.455213109</v>
      </c>
      <c r="J235" s="20"/>
      <c r="K235">
        <f t="shared" si="6"/>
        <v>7</v>
      </c>
      <c r="L235">
        <f t="shared" si="15"/>
        <v>13</v>
      </c>
    </row>
    <row r="236" spans="2:12" x14ac:dyDescent="0.3">
      <c r="B236" t="str">
        <f t="shared" si="1"/>
        <v>MarinusPortland</v>
      </c>
      <c r="C236" t="s">
        <v>64</v>
      </c>
      <c r="D236" t="str">
        <f t="shared" si="4"/>
        <v>avg</v>
      </c>
      <c r="E236" t="str">
        <f t="shared" si="13"/>
        <v>Cal-34</v>
      </c>
      <c r="F236" t="s">
        <v>44</v>
      </c>
      <c r="G236" s="73" cm="1">
        <f t="array" ref="G236">INDEX(PPAcfd!$E$28:$T$35,Summary!K236,Summary!L236)</f>
        <v>1381696.1966394363</v>
      </c>
      <c r="H236" s="73" cm="1">
        <f t="array" ref="H236">INDEX(SwapSold!$E$28:$T$35,Summary!K236,Summary!L236)</f>
        <v>13271.938930824306</v>
      </c>
      <c r="I236" s="20" cm="1">
        <f t="array" ref="I236">INDEX('2hBatteryCM'!$E$28:$T$35,Summary!K236,Summary!L236)</f>
        <v>6535809.651025367</v>
      </c>
      <c r="J236" s="20"/>
      <c r="K236">
        <f t="shared" si="6"/>
        <v>8</v>
      </c>
      <c r="L236">
        <f t="shared" si="15"/>
        <v>13</v>
      </c>
    </row>
    <row r="237" spans="2:12" x14ac:dyDescent="0.3">
      <c r="B237" t="str">
        <f t="shared" si="1"/>
        <v>MarinusPortland</v>
      </c>
      <c r="C237" t="s">
        <v>64</v>
      </c>
      <c r="D237">
        <f t="shared" si="4"/>
        <v>1</v>
      </c>
      <c r="E237" t="str">
        <f t="shared" si="13"/>
        <v>Cal-35</v>
      </c>
      <c r="F237" t="s">
        <v>44</v>
      </c>
      <c r="G237" s="73" cm="1">
        <f t="array" ref="G237">INDEX(PPAcfd!$E$28:$T$35,Summary!K237,Summary!L237)</f>
        <v>20135291.198764388</v>
      </c>
      <c r="H237" s="73" cm="1">
        <f t="array" ref="H237">INDEX(SwapSold!$E$28:$T$35,Summary!K237,Summary!L237)</f>
        <v>23242119.11033351</v>
      </c>
      <c r="I237" s="20" cm="1">
        <f t="array" ref="I237">INDEX('2hBatteryCM'!$E$28:$T$35,Summary!K237,Summary!L237)</f>
        <v>11365032.460296525</v>
      </c>
      <c r="J237" s="20"/>
      <c r="K237">
        <f t="shared" si="6"/>
        <v>1</v>
      </c>
      <c r="L237">
        <f t="shared" si="15"/>
        <v>14</v>
      </c>
    </row>
    <row r="238" spans="2:12" x14ac:dyDescent="0.3">
      <c r="B238" t="str">
        <f t="shared" si="1"/>
        <v>MarinusPortland</v>
      </c>
      <c r="C238" t="s">
        <v>64</v>
      </c>
      <c r="D238">
        <f t="shared" si="4"/>
        <v>0.95</v>
      </c>
      <c r="E238" t="str">
        <f t="shared" si="13"/>
        <v>Cal-35</v>
      </c>
      <c r="F238" t="s">
        <v>44</v>
      </c>
      <c r="G238" s="73" cm="1">
        <f t="array" ref="G238">INDEX(PPAcfd!$E$28:$T$35,Summary!K238,Summary!L238)</f>
        <v>9085108.8775123283</v>
      </c>
      <c r="H238" s="73" cm="1">
        <f t="array" ref="H238">INDEX(SwapSold!$E$28:$T$35,Summary!K238,Summary!L238)</f>
        <v>11284215.450230345</v>
      </c>
      <c r="I238" s="20" cm="1">
        <f t="array" ref="I238">INDEX('2hBatteryCM'!$E$28:$T$35,Summary!K238,Summary!L238)</f>
        <v>8530821.9916598238</v>
      </c>
      <c r="J238" s="20"/>
      <c r="K238">
        <f t="shared" si="6"/>
        <v>2</v>
      </c>
      <c r="L238">
        <f t="shared" si="15"/>
        <v>14</v>
      </c>
    </row>
    <row r="239" spans="2:12" x14ac:dyDescent="0.3">
      <c r="B239" t="str">
        <f t="shared" si="1"/>
        <v>MarinusPortland</v>
      </c>
      <c r="C239" t="s">
        <v>64</v>
      </c>
      <c r="D239">
        <f t="shared" si="4"/>
        <v>0.75</v>
      </c>
      <c r="E239" t="str">
        <f t="shared" si="13"/>
        <v>Cal-35</v>
      </c>
      <c r="F239" t="s">
        <v>44</v>
      </c>
      <c r="G239" s="73" cm="1">
        <f t="array" ref="G239">INDEX(PPAcfd!$E$28:$T$35,Summary!K239,Summary!L239)</f>
        <v>4665040.3715363936</v>
      </c>
      <c r="H239" s="73" cm="1">
        <f t="array" ref="H239">INDEX(SwapSold!$E$28:$T$35,Summary!K239,Summary!L239)</f>
        <v>4264980.5738425311</v>
      </c>
      <c r="I239" s="20" cm="1">
        <f t="array" ref="I239">INDEX('2hBatteryCM'!$E$28:$T$35,Summary!K239,Summary!L239)</f>
        <v>7463502.7519318806</v>
      </c>
      <c r="J239" s="20"/>
      <c r="K239">
        <f t="shared" si="6"/>
        <v>3</v>
      </c>
      <c r="L239">
        <f t="shared" si="15"/>
        <v>14</v>
      </c>
    </row>
    <row r="240" spans="2:12" x14ac:dyDescent="0.3">
      <c r="B240" t="str">
        <f t="shared" si="1"/>
        <v>MarinusPortland</v>
      </c>
      <c r="C240" t="s">
        <v>64</v>
      </c>
      <c r="D240">
        <f t="shared" si="4"/>
        <v>0.5</v>
      </c>
      <c r="E240" t="str">
        <f t="shared" si="13"/>
        <v>Cal-35</v>
      </c>
      <c r="F240" t="s">
        <v>44</v>
      </c>
      <c r="G240" s="73" cm="1">
        <f t="array" ref="G240">INDEX(PPAcfd!$E$28:$T$35,Summary!K240,Summary!L240)</f>
        <v>1136024.9500990917</v>
      </c>
      <c r="H240" s="73" cm="1">
        <f t="array" ref="H240">INDEX(SwapSold!$E$28:$T$35,Summary!K240,Summary!L240)</f>
        <v>-208065.68082886355</v>
      </c>
      <c r="I240" s="20" cm="1">
        <f t="array" ref="I240">INDEX('2hBatteryCM'!$E$28:$T$35,Summary!K240,Summary!L240)</f>
        <v>6583448.913059812</v>
      </c>
      <c r="J240" s="20"/>
      <c r="K240">
        <f t="shared" si="6"/>
        <v>4</v>
      </c>
      <c r="L240">
        <f t="shared" si="15"/>
        <v>14</v>
      </c>
    </row>
    <row r="241" spans="2:12" x14ac:dyDescent="0.3">
      <c r="B241" t="str">
        <f t="shared" si="1"/>
        <v>MarinusPortland</v>
      </c>
      <c r="C241" t="s">
        <v>64</v>
      </c>
      <c r="D241">
        <f t="shared" si="4"/>
        <v>0.25</v>
      </c>
      <c r="E241" t="str">
        <f t="shared" si="13"/>
        <v>Cal-35</v>
      </c>
      <c r="F241" t="s">
        <v>44</v>
      </c>
      <c r="G241" s="73" cm="1">
        <f t="array" ref="G241">INDEX(PPAcfd!$E$28:$T$35,Summary!K241,Summary!L241)</f>
        <v>-3556260.7664779043</v>
      </c>
      <c r="H241" s="73" cm="1">
        <f t="array" ref="H241">INDEX(SwapSold!$E$28:$T$35,Summary!K241,Summary!L241)</f>
        <v>-4211303.3304246683</v>
      </c>
      <c r="I241" s="20" cm="1">
        <f t="array" ref="I241">INDEX('2hBatteryCM'!$E$28:$T$35,Summary!K241,Summary!L241)</f>
        <v>5440545.7061100286</v>
      </c>
      <c r="J241" s="20"/>
      <c r="K241">
        <f t="shared" si="6"/>
        <v>5</v>
      </c>
      <c r="L241">
        <f t="shared" si="15"/>
        <v>14</v>
      </c>
    </row>
    <row r="242" spans="2:12" x14ac:dyDescent="0.3">
      <c r="B242" t="str">
        <f t="shared" si="1"/>
        <v>MarinusPortland</v>
      </c>
      <c r="C242" t="s">
        <v>64</v>
      </c>
      <c r="D242">
        <f t="shared" si="4"/>
        <v>0.05</v>
      </c>
      <c r="E242" t="str">
        <f t="shared" si="13"/>
        <v>Cal-35</v>
      </c>
      <c r="F242" t="s">
        <v>44</v>
      </c>
      <c r="G242" s="73" cm="1">
        <f t="array" ref="G242">INDEX(PPAcfd!$E$28:$T$35,Summary!K242,Summary!L242)</f>
        <v>-10072682.991558393</v>
      </c>
      <c r="H242" s="73" cm="1">
        <f t="array" ref="H242">INDEX(SwapSold!$E$28:$T$35,Summary!K242,Summary!L242)</f>
        <v>-9333761.2838313971</v>
      </c>
      <c r="I242" s="20" cm="1">
        <f t="array" ref="I242">INDEX('2hBatteryCM'!$E$28:$T$35,Summary!K242,Summary!L242)</f>
        <v>3860384.5221889811</v>
      </c>
      <c r="J242" s="20"/>
      <c r="K242">
        <f t="shared" si="6"/>
        <v>6</v>
      </c>
      <c r="L242">
        <f t="shared" si="15"/>
        <v>14</v>
      </c>
    </row>
    <row r="243" spans="2:12" x14ac:dyDescent="0.3">
      <c r="B243" t="str">
        <f t="shared" si="1"/>
        <v>MarinusPortland</v>
      </c>
      <c r="C243" t="s">
        <v>64</v>
      </c>
      <c r="D243">
        <f t="shared" si="4"/>
        <v>0</v>
      </c>
      <c r="E243" t="str">
        <f t="shared" si="13"/>
        <v>Cal-35</v>
      </c>
      <c r="F243" t="s">
        <v>44</v>
      </c>
      <c r="G243" s="73" cm="1">
        <f t="array" ref="G243">INDEX(PPAcfd!$E$28:$T$35,Summary!K243,Summary!L243)</f>
        <v>-14801990.047179017</v>
      </c>
      <c r="H243" s="73" cm="1">
        <f t="array" ref="H243">INDEX(SwapSold!$E$28:$T$35,Summary!K243,Summary!L243)</f>
        <v>-19973418.104298703</v>
      </c>
      <c r="I243" s="20" cm="1">
        <f t="array" ref="I243">INDEX('2hBatteryCM'!$E$28:$T$35,Summary!K243,Summary!L243)</f>
        <v>2491852.1549116168</v>
      </c>
      <c r="J243" s="20"/>
      <c r="K243">
        <f t="shared" si="6"/>
        <v>7</v>
      </c>
      <c r="L243">
        <f t="shared" si="15"/>
        <v>14</v>
      </c>
    </row>
    <row r="244" spans="2:12" x14ac:dyDescent="0.3">
      <c r="B244" t="str">
        <f t="shared" si="1"/>
        <v>MarinusPortland</v>
      </c>
      <c r="C244" t="s">
        <v>64</v>
      </c>
      <c r="D244" t="str">
        <f t="shared" si="4"/>
        <v>avg</v>
      </c>
      <c r="E244" t="str">
        <f t="shared" si="13"/>
        <v>Cal-35</v>
      </c>
      <c r="F244" t="s">
        <v>44</v>
      </c>
      <c r="G244" s="73" cm="1">
        <f t="array" ref="G244">INDEX(PPAcfd!$E$28:$T$35,Summary!K244,Summary!L244)</f>
        <v>456774.70561518898</v>
      </c>
      <c r="H244" s="73" cm="1">
        <f t="array" ref="H244">INDEX(SwapSold!$E$28:$T$35,Summary!K244,Summary!L244)</f>
        <v>228975.63770979791</v>
      </c>
      <c r="I244" s="20" cm="1">
        <f t="array" ref="I244">INDEX('2hBatteryCM'!$E$28:$T$35,Summary!K244,Summary!L244)</f>
        <v>6401851.4705628017</v>
      </c>
      <c r="J244" s="20"/>
      <c r="K244">
        <f t="shared" si="6"/>
        <v>8</v>
      </c>
      <c r="L244">
        <f t="shared" si="15"/>
        <v>14</v>
      </c>
    </row>
    <row r="245" spans="2:12" x14ac:dyDescent="0.3">
      <c r="B245" t="str">
        <f t="shared" si="1"/>
        <v>MarinusPortland</v>
      </c>
      <c r="C245" t="s">
        <v>64</v>
      </c>
      <c r="D245">
        <f t="shared" si="4"/>
        <v>1</v>
      </c>
      <c r="E245" t="str">
        <f t="shared" si="13"/>
        <v>Cal-36</v>
      </c>
      <c r="F245" t="s">
        <v>44</v>
      </c>
      <c r="G245" s="73" cm="1">
        <f t="array" ref="G245">INDEX(PPAcfd!$E$28:$T$35,Summary!K245,Summary!L245)</f>
        <v>20916921.678452354</v>
      </c>
      <c r="H245" s="73" cm="1">
        <f t="array" ref="H245">INDEX(SwapSold!$E$28:$T$35,Summary!K245,Summary!L245)</f>
        <v>21773614.066425137</v>
      </c>
      <c r="I245" s="20" cm="1">
        <f t="array" ref="I245">INDEX('2hBatteryCM'!$E$28:$T$35,Summary!K245,Summary!L245)</f>
        <v>11571519.392073058</v>
      </c>
      <c r="J245" s="20"/>
      <c r="K245">
        <f t="shared" si="6"/>
        <v>1</v>
      </c>
      <c r="L245">
        <f t="shared" si="15"/>
        <v>15</v>
      </c>
    </row>
    <row r="246" spans="2:12" x14ac:dyDescent="0.3">
      <c r="B246" t="str">
        <f t="shared" si="1"/>
        <v>MarinusPortland</v>
      </c>
      <c r="C246" t="s">
        <v>64</v>
      </c>
      <c r="D246">
        <f t="shared" si="4"/>
        <v>0.95</v>
      </c>
      <c r="E246" t="str">
        <f t="shared" si="13"/>
        <v>Cal-36</v>
      </c>
      <c r="F246" t="s">
        <v>44</v>
      </c>
      <c r="G246" s="73" cm="1">
        <f t="array" ref="G246">INDEX(PPAcfd!$E$28:$T$35,Summary!K246,Summary!L246)</f>
        <v>10631245.470547862</v>
      </c>
      <c r="H246" s="73" cm="1">
        <f t="array" ref="H246">INDEX(SwapSold!$E$28:$T$35,Summary!K246,Summary!L246)</f>
        <v>12205899.659661293</v>
      </c>
      <c r="I246" s="20" cm="1">
        <f t="array" ref="I246">INDEX('2hBatteryCM'!$E$28:$T$35,Summary!K246,Summary!L246)</f>
        <v>8822985.9849435389</v>
      </c>
      <c r="J246" s="20"/>
      <c r="K246">
        <f t="shared" si="6"/>
        <v>2</v>
      </c>
      <c r="L246">
        <f t="shared" si="15"/>
        <v>15</v>
      </c>
    </row>
    <row r="247" spans="2:12" x14ac:dyDescent="0.3">
      <c r="B247" t="str">
        <f t="shared" si="1"/>
        <v>MarinusPortland</v>
      </c>
      <c r="C247" t="s">
        <v>64</v>
      </c>
      <c r="D247">
        <f t="shared" si="4"/>
        <v>0.75</v>
      </c>
      <c r="E247" t="str">
        <f t="shared" si="13"/>
        <v>Cal-36</v>
      </c>
      <c r="F247" t="s">
        <v>44</v>
      </c>
      <c r="G247" s="73" cm="1">
        <f t="array" ref="G247">INDEX(PPAcfd!$E$28:$T$35,Summary!K247,Summary!L247)</f>
        <v>6990609.803438236</v>
      </c>
      <c r="H247" s="73" cm="1">
        <f t="array" ref="H247">INDEX(SwapSold!$E$28:$T$35,Summary!K247,Summary!L247)</f>
        <v>4592155.5108230058</v>
      </c>
      <c r="I247" s="20" cm="1">
        <f t="array" ref="I247">INDEX('2hBatteryCM'!$E$28:$T$35,Summary!K247,Summary!L247)</f>
        <v>7909923.3934238395</v>
      </c>
      <c r="J247" s="20"/>
      <c r="K247">
        <f t="shared" si="6"/>
        <v>3</v>
      </c>
      <c r="L247">
        <f t="shared" si="15"/>
        <v>15</v>
      </c>
    </row>
    <row r="248" spans="2:12" x14ac:dyDescent="0.3">
      <c r="B248" t="str">
        <f t="shared" si="1"/>
        <v>MarinusPortland</v>
      </c>
      <c r="C248" t="s">
        <v>64</v>
      </c>
      <c r="D248">
        <f t="shared" si="4"/>
        <v>0.5</v>
      </c>
      <c r="E248" t="str">
        <f t="shared" si="13"/>
        <v>Cal-36</v>
      </c>
      <c r="F248" t="s">
        <v>44</v>
      </c>
      <c r="G248" s="73" cm="1">
        <f t="array" ref="G248">INDEX(PPAcfd!$E$28:$T$35,Summary!K248,Summary!L248)</f>
        <v>3669795.7627242352</v>
      </c>
      <c r="H248" s="73" cm="1">
        <f t="array" ref="H248">INDEX(SwapSold!$E$28:$T$35,Summary!K248,Summary!L248)</f>
        <v>-175793.72480460521</v>
      </c>
      <c r="I248" s="20" cm="1">
        <f t="array" ref="I248">INDEX('2hBatteryCM'!$E$28:$T$35,Summary!K248,Summary!L248)</f>
        <v>7063349.8299243636</v>
      </c>
      <c r="J248" s="20"/>
      <c r="K248">
        <f t="shared" si="6"/>
        <v>4</v>
      </c>
      <c r="L248">
        <f t="shared" si="15"/>
        <v>15</v>
      </c>
    </row>
    <row r="249" spans="2:12" x14ac:dyDescent="0.3">
      <c r="B249" t="str">
        <f t="shared" si="1"/>
        <v>MarinusPortland</v>
      </c>
      <c r="C249" t="s">
        <v>64</v>
      </c>
      <c r="D249">
        <f t="shared" si="4"/>
        <v>0.25</v>
      </c>
      <c r="E249" t="str">
        <f t="shared" si="13"/>
        <v>Cal-36</v>
      </c>
      <c r="F249" t="s">
        <v>44</v>
      </c>
      <c r="G249" s="73" cm="1">
        <f t="array" ref="G249">INDEX(PPAcfd!$E$28:$T$35,Summary!K249,Summary!L249)</f>
        <v>-1785057.4252204103</v>
      </c>
      <c r="H249" s="73" cm="1">
        <f t="array" ref="H249">INDEX(SwapSold!$E$28:$T$35,Summary!K249,Summary!L249)</f>
        <v>-4013397.6923134611</v>
      </c>
      <c r="I249" s="20" cm="1">
        <f t="array" ref="I249">INDEX('2hBatteryCM'!$E$28:$T$35,Summary!K249,Summary!L249)</f>
        <v>5791838.6199335055</v>
      </c>
      <c r="J249" s="20"/>
      <c r="K249">
        <f t="shared" si="6"/>
        <v>5</v>
      </c>
      <c r="L249">
        <f t="shared" si="15"/>
        <v>15</v>
      </c>
    </row>
    <row r="250" spans="2:12" x14ac:dyDescent="0.3">
      <c r="B250" t="str">
        <f t="shared" si="1"/>
        <v>MarinusPortland</v>
      </c>
      <c r="C250" t="s">
        <v>64</v>
      </c>
      <c r="D250">
        <f t="shared" si="4"/>
        <v>0.05</v>
      </c>
      <c r="E250" t="str">
        <f t="shared" si="13"/>
        <v>Cal-36</v>
      </c>
      <c r="F250" t="s">
        <v>44</v>
      </c>
      <c r="G250" s="73" cm="1">
        <f t="array" ref="G250">INDEX(PPAcfd!$E$28:$T$35,Summary!K250,Summary!L250)</f>
        <v>-9446788.2757980544</v>
      </c>
      <c r="H250" s="73" cm="1">
        <f t="array" ref="H250">INDEX(SwapSold!$E$28:$T$35,Summary!K250,Summary!L250)</f>
        <v>-8414931.788589919</v>
      </c>
      <c r="I250" s="20" cm="1">
        <f t="array" ref="I250">INDEX('2hBatteryCM'!$E$28:$T$35,Summary!K250,Summary!L250)</f>
        <v>4030051.9550350336</v>
      </c>
      <c r="J250" s="20"/>
      <c r="K250">
        <f t="shared" si="6"/>
        <v>6</v>
      </c>
      <c r="L250">
        <f t="shared" si="15"/>
        <v>15</v>
      </c>
    </row>
    <row r="251" spans="2:12" x14ac:dyDescent="0.3">
      <c r="B251" t="str">
        <f t="shared" si="1"/>
        <v>MarinusPortland</v>
      </c>
      <c r="C251" t="s">
        <v>64</v>
      </c>
      <c r="D251">
        <f t="shared" si="4"/>
        <v>0</v>
      </c>
      <c r="E251" t="str">
        <f t="shared" si="13"/>
        <v>Cal-36</v>
      </c>
      <c r="F251" t="s">
        <v>44</v>
      </c>
      <c r="G251" s="73" cm="1">
        <f t="array" ref="G251">INDEX(PPAcfd!$E$28:$T$35,Summary!K251,Summary!L251)</f>
        <v>-14456791.14379588</v>
      </c>
      <c r="H251" s="73" cm="1">
        <f t="array" ref="H251">INDEX(SwapSold!$E$28:$T$35,Summary!K251,Summary!L251)</f>
        <v>-18406300.707093742</v>
      </c>
      <c r="I251" s="20" cm="1">
        <f t="array" ref="I251">INDEX('2hBatteryCM'!$E$28:$T$35,Summary!K251,Summary!L251)</f>
        <v>2611762.9304366265</v>
      </c>
      <c r="J251" s="20"/>
      <c r="K251">
        <f t="shared" si="6"/>
        <v>7</v>
      </c>
      <c r="L251">
        <f t="shared" si="15"/>
        <v>15</v>
      </c>
    </row>
    <row r="252" spans="2:12" x14ac:dyDescent="0.3">
      <c r="B252" t="str">
        <f t="shared" si="1"/>
        <v>MarinusPortland</v>
      </c>
      <c r="C252" t="s">
        <v>64</v>
      </c>
      <c r="D252" t="str">
        <f t="shared" si="4"/>
        <v>avg</v>
      </c>
      <c r="E252" t="str">
        <f t="shared" si="13"/>
        <v>Cal-36</v>
      </c>
      <c r="F252" t="s">
        <v>44</v>
      </c>
      <c r="G252" s="73" cm="1">
        <f t="array" ref="G252">INDEX(PPAcfd!$E$28:$T$35,Summary!K252,Summary!L252)</f>
        <v>2373923.0502044023</v>
      </c>
      <c r="H252" s="73" cm="1">
        <f t="array" ref="H252">INDEX(SwapSold!$E$28:$T$35,Summary!K252,Summary!L252)</f>
        <v>612120.30806827894</v>
      </c>
      <c r="I252" s="20" cm="1">
        <f t="array" ref="I252">INDEX('2hBatteryCM'!$E$28:$T$35,Summary!K252,Summary!L252)</f>
        <v>6781898.9885388911</v>
      </c>
      <c r="J252" s="20"/>
      <c r="K252">
        <f t="shared" si="6"/>
        <v>8</v>
      </c>
      <c r="L252">
        <f t="shared" si="15"/>
        <v>15</v>
      </c>
    </row>
    <row r="253" spans="2:12" x14ac:dyDescent="0.3">
      <c r="B253" t="str">
        <f t="shared" si="1"/>
        <v>MarinusPortland</v>
      </c>
      <c r="C253" t="s">
        <v>64</v>
      </c>
      <c r="D253">
        <f t="shared" si="4"/>
        <v>1</v>
      </c>
      <c r="E253" t="str">
        <f t="shared" si="13"/>
        <v>Cal-37</v>
      </c>
      <c r="F253" t="s">
        <v>44</v>
      </c>
      <c r="G253" s="73" cm="1">
        <f t="array" ref="G253">INDEX(PPAcfd!$E$28:$T$35,Summary!K253,Summary!L253)</f>
        <v>19034076.10738232</v>
      </c>
      <c r="H253" s="73" cm="1">
        <f t="array" ref="H253">INDEX(SwapSold!$E$28:$T$35,Summary!K253,Summary!L253)</f>
        <v>27292855.414072435</v>
      </c>
      <c r="I253" s="20" cm="1">
        <f t="array" ref="I253">INDEX('2hBatteryCM'!$E$28:$T$35,Summary!K253,Summary!L253)</f>
        <v>11438352.346757386</v>
      </c>
      <c r="J253" s="20"/>
      <c r="K253">
        <f t="shared" si="6"/>
        <v>1</v>
      </c>
      <c r="L253">
        <f t="shared" si="15"/>
        <v>16</v>
      </c>
    </row>
    <row r="254" spans="2:12" x14ac:dyDescent="0.3">
      <c r="B254" t="str">
        <f t="shared" ref="B254:B260" si="16">$B$2</f>
        <v>MarinusPortland</v>
      </c>
      <c r="C254" t="s">
        <v>64</v>
      </c>
      <c r="D254">
        <f t="shared" si="4"/>
        <v>0.95</v>
      </c>
      <c r="E254" t="str">
        <f t="shared" si="13"/>
        <v>Cal-37</v>
      </c>
      <c r="F254" t="s">
        <v>44</v>
      </c>
      <c r="G254" s="73" cm="1">
        <f t="array" ref="G254">INDEX(PPAcfd!$E$28:$T$35,Summary!K254,Summary!L254)</f>
        <v>9698570.5594856013</v>
      </c>
      <c r="H254" s="73" cm="1">
        <f t="array" ref="H254">INDEX(SwapSold!$E$28:$T$35,Summary!K254,Summary!L254)</f>
        <v>13037941.356885795</v>
      </c>
      <c r="I254" s="20" cm="1">
        <f t="array" ref="I254">INDEX('2hBatteryCM'!$E$28:$T$35,Summary!K254,Summary!L254)</f>
        <v>8823642.294600049</v>
      </c>
      <c r="J254" s="20"/>
      <c r="K254">
        <f t="shared" si="6"/>
        <v>2</v>
      </c>
      <c r="L254">
        <f t="shared" si="15"/>
        <v>16</v>
      </c>
    </row>
    <row r="255" spans="2:12" x14ac:dyDescent="0.3">
      <c r="B255" t="str">
        <f t="shared" si="16"/>
        <v>MarinusPortland</v>
      </c>
      <c r="C255" t="s">
        <v>64</v>
      </c>
      <c r="D255">
        <f t="shared" si="4"/>
        <v>0.75</v>
      </c>
      <c r="E255" t="str">
        <f t="shared" si="13"/>
        <v>Cal-37</v>
      </c>
      <c r="F255" t="s">
        <v>44</v>
      </c>
      <c r="G255" s="73" cm="1">
        <f t="array" ref="G255">INDEX(PPAcfd!$E$28:$T$35,Summary!K255,Summary!L255)</f>
        <v>5905344.5315388702</v>
      </c>
      <c r="H255" s="73" cm="1">
        <f t="array" ref="H255">INDEX(SwapSold!$E$28:$T$35,Summary!K255,Summary!L255)</f>
        <v>4913140.1608508546</v>
      </c>
      <c r="I255" s="20" cm="1">
        <f t="array" ref="I255">INDEX('2hBatteryCM'!$E$28:$T$35,Summary!K255,Summary!L255)</f>
        <v>7880005.1053774273</v>
      </c>
      <c r="J255" s="20"/>
      <c r="K255">
        <f t="shared" si="6"/>
        <v>3</v>
      </c>
      <c r="L255">
        <f t="shared" si="15"/>
        <v>16</v>
      </c>
    </row>
    <row r="256" spans="2:12" x14ac:dyDescent="0.3">
      <c r="B256" t="str">
        <f t="shared" si="16"/>
        <v>MarinusPortland</v>
      </c>
      <c r="C256" t="s">
        <v>64</v>
      </c>
      <c r="D256">
        <f t="shared" si="4"/>
        <v>0.5</v>
      </c>
      <c r="E256" t="str">
        <f t="shared" si="13"/>
        <v>Cal-37</v>
      </c>
      <c r="F256" t="s">
        <v>44</v>
      </c>
      <c r="G256" s="73" cm="1">
        <f t="array" ref="G256">INDEX(PPAcfd!$E$28:$T$35,Summary!K256,Summary!L256)</f>
        <v>2436927.8482014164</v>
      </c>
      <c r="H256" s="73" cm="1">
        <f t="array" ref="H256">INDEX(SwapSold!$E$28:$T$35,Summary!K256,Summary!L256)</f>
        <v>-179410.96531799287</v>
      </c>
      <c r="I256" s="20" cm="1">
        <f t="array" ref="I256">INDEX('2hBatteryCM'!$E$28:$T$35,Summary!K256,Summary!L256)</f>
        <v>7007827.6649083383</v>
      </c>
      <c r="J256" s="20"/>
      <c r="K256">
        <f t="shared" si="6"/>
        <v>4</v>
      </c>
      <c r="L256">
        <f t="shared" si="15"/>
        <v>16</v>
      </c>
    </row>
    <row r="257" spans="2:12" x14ac:dyDescent="0.3">
      <c r="B257" t="str">
        <f t="shared" si="16"/>
        <v>MarinusPortland</v>
      </c>
      <c r="C257" t="s">
        <v>64</v>
      </c>
      <c r="D257">
        <f t="shared" si="4"/>
        <v>0.25</v>
      </c>
      <c r="E257" t="str">
        <f t="shared" si="13"/>
        <v>Cal-37</v>
      </c>
      <c r="F257" t="s">
        <v>44</v>
      </c>
      <c r="G257" s="73" cm="1">
        <f t="array" ref="G257">INDEX(PPAcfd!$E$28:$T$35,Summary!K257,Summary!L257)</f>
        <v>-3306485.0380182895</v>
      </c>
      <c r="H257" s="73" cm="1">
        <f t="array" ref="H257">INDEX(SwapSold!$E$28:$T$35,Summary!K257,Summary!L257)</f>
        <v>-4305145.686470422</v>
      </c>
      <c r="I257" s="20" cm="1">
        <f t="array" ref="I257">INDEX('2hBatteryCM'!$E$28:$T$35,Summary!K257,Summary!L257)</f>
        <v>5683738.1836115625</v>
      </c>
      <c r="J257" s="20"/>
      <c r="K257">
        <f t="shared" si="6"/>
        <v>5</v>
      </c>
      <c r="L257">
        <f t="shared" si="15"/>
        <v>16</v>
      </c>
    </row>
    <row r="258" spans="2:12" x14ac:dyDescent="0.3">
      <c r="B258" t="str">
        <f t="shared" si="16"/>
        <v>MarinusPortland</v>
      </c>
      <c r="C258" t="s">
        <v>64</v>
      </c>
      <c r="D258">
        <f t="shared" si="4"/>
        <v>0.05</v>
      </c>
      <c r="E258" t="str">
        <f t="shared" si="13"/>
        <v>Cal-37</v>
      </c>
      <c r="F258" t="s">
        <v>44</v>
      </c>
      <c r="G258" s="73" cm="1">
        <f t="array" ref="G258">INDEX(PPAcfd!$E$28:$T$35,Summary!K258,Summary!L258)</f>
        <v>-11575567.245011112</v>
      </c>
      <c r="H258" s="73" cm="1">
        <f t="array" ref="H258">INDEX(SwapSold!$E$28:$T$35,Summary!K258,Summary!L258)</f>
        <v>-9188532.6132406686</v>
      </c>
      <c r="I258" s="20" cm="1">
        <f t="array" ref="I258">INDEX('2hBatteryCM'!$E$28:$T$35,Summary!K258,Summary!L258)</f>
        <v>3819029.0662965304</v>
      </c>
      <c r="J258" s="20"/>
      <c r="K258">
        <f t="shared" si="6"/>
        <v>6</v>
      </c>
      <c r="L258">
        <f t="shared" si="15"/>
        <v>16</v>
      </c>
    </row>
    <row r="259" spans="2:12" x14ac:dyDescent="0.3">
      <c r="B259" t="str">
        <f t="shared" si="16"/>
        <v>MarinusPortland</v>
      </c>
      <c r="C259" t="s">
        <v>64</v>
      </c>
      <c r="D259">
        <f t="shared" si="4"/>
        <v>0</v>
      </c>
      <c r="E259" t="str">
        <f t="shared" si="13"/>
        <v>Cal-37</v>
      </c>
      <c r="F259" t="s">
        <v>44</v>
      </c>
      <c r="G259" s="73" cm="1">
        <f t="array" ref="G259">INDEX(PPAcfd!$E$28:$T$35,Summary!K259,Summary!L259)</f>
        <v>-18031214.549025174</v>
      </c>
      <c r="H259" s="73" cm="1">
        <f t="array" ref="H259">INDEX(SwapSold!$E$28:$T$35,Summary!K259,Summary!L259)</f>
        <v>-20749059.644596826</v>
      </c>
      <c r="I259" s="20" cm="1">
        <f t="array" ref="I259">INDEX('2hBatteryCM'!$E$28:$T$35,Summary!K259,Summary!L259)</f>
        <v>2243699.7534054462</v>
      </c>
      <c r="J259" s="20"/>
      <c r="K259">
        <f t="shared" si="6"/>
        <v>7</v>
      </c>
      <c r="L259">
        <f t="shared" ref="L259:L260" si="17">VLOOKUP(E259,$R$5:$S$20,2,FALSE)</f>
        <v>16</v>
      </c>
    </row>
    <row r="260" spans="2:12" x14ac:dyDescent="0.3">
      <c r="B260" t="str">
        <f t="shared" si="16"/>
        <v>MarinusPortland</v>
      </c>
      <c r="C260" t="s">
        <v>64</v>
      </c>
      <c r="D260" t="str">
        <f t="shared" si="4"/>
        <v>avg</v>
      </c>
      <c r="E260" t="str">
        <f t="shared" si="13"/>
        <v>Cal-37</v>
      </c>
      <c r="F260" t="s">
        <v>44</v>
      </c>
      <c r="G260" s="73" cm="1">
        <f t="array" ref="G260">INDEX(PPAcfd!$E$28:$T$35,Summary!K260,Summary!L260)</f>
        <v>1027600.6476219398</v>
      </c>
      <c r="H260" s="73" cm="1">
        <f t="array" ref="H260">INDEX(SwapSold!$E$28:$T$35,Summary!K260,Summary!L260)</f>
        <v>598851.37603770511</v>
      </c>
      <c r="I260" s="20" cm="1">
        <f t="array" ref="I260">INDEX('2hBatteryCM'!$E$28:$T$35,Summary!K260,Summary!L260)</f>
        <v>6698191.7390067885</v>
      </c>
      <c r="J260" s="20"/>
      <c r="K260">
        <f t="shared" si="6"/>
        <v>8</v>
      </c>
      <c r="L260">
        <f t="shared" si="17"/>
        <v>16</v>
      </c>
    </row>
    <row r="261" spans="2:12" x14ac:dyDescent="0.3">
      <c r="I261" s="20"/>
      <c r="J261" s="20"/>
    </row>
    <row r="262" spans="2:12" x14ac:dyDescent="0.3">
      <c r="I262" s="20"/>
      <c r="J262" s="20"/>
    </row>
    <row r="263" spans="2:12" x14ac:dyDescent="0.3">
      <c r="I263" s="20"/>
      <c r="J263" s="20"/>
    </row>
    <row r="264" spans="2:12" x14ac:dyDescent="0.3">
      <c r="I264" s="20"/>
      <c r="J264" s="20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2EC26-BE11-4606-A394-6F88C7BD48D6}">
  <dimension ref="B2:AU39"/>
  <sheetViews>
    <sheetView workbookViewId="0">
      <selection sqref="A1:XFD1048576"/>
    </sheetView>
  </sheetViews>
  <sheetFormatPr defaultRowHeight="15.05" x14ac:dyDescent="0.3"/>
  <cols>
    <col min="3" max="4" width="17.33203125" customWidth="1"/>
    <col min="5" max="5" width="13.77734375" customWidth="1"/>
    <col min="6" max="6" width="17.77734375" bestFit="1" customWidth="1"/>
    <col min="7" max="7" width="14.21875" customWidth="1"/>
    <col min="8" max="8" width="12.6640625" bestFit="1" customWidth="1"/>
    <col min="10" max="10" width="10.6640625" customWidth="1"/>
    <col min="15" max="15" width="15.44140625" customWidth="1"/>
    <col min="16" max="16" width="11.44140625" bestFit="1" customWidth="1"/>
    <col min="17" max="17" width="12.33203125" customWidth="1"/>
    <col min="22" max="22" width="11.6640625" bestFit="1" customWidth="1"/>
    <col min="23" max="23" width="15.5546875" bestFit="1" customWidth="1"/>
    <col min="26" max="26" width="15.5546875" bestFit="1" customWidth="1"/>
    <col min="27" max="27" width="14.5546875" bestFit="1" customWidth="1"/>
    <col min="30" max="30" width="15.5546875" bestFit="1" customWidth="1"/>
    <col min="31" max="31" width="13.5546875" bestFit="1" customWidth="1"/>
    <col min="32" max="32" width="13.5546875" customWidth="1"/>
    <col min="33" max="33" width="10.88671875" bestFit="1" customWidth="1"/>
    <col min="34" max="34" width="9.88671875" bestFit="1" customWidth="1"/>
    <col min="35" max="35" width="13" customWidth="1"/>
    <col min="38" max="38" width="10.88671875" bestFit="1" customWidth="1"/>
    <col min="42" max="42" width="15.5546875" bestFit="1" customWidth="1"/>
    <col min="43" max="43" width="12.88671875" customWidth="1"/>
    <col min="46" max="47" width="10.88671875" bestFit="1" customWidth="1"/>
  </cols>
  <sheetData>
    <row r="2" spans="2:47" ht="26.2" x14ac:dyDescent="0.45">
      <c r="B2" s="83" t="s">
        <v>80</v>
      </c>
      <c r="N2" s="83" t="s">
        <v>81</v>
      </c>
      <c r="V2" s="83" t="s">
        <v>82</v>
      </c>
      <c r="Z2" s="83" t="s">
        <v>83</v>
      </c>
      <c r="AC2" s="83" t="s">
        <v>84</v>
      </c>
      <c r="AK2" s="83" t="s">
        <v>85</v>
      </c>
      <c r="AO2" s="83" t="s">
        <v>86</v>
      </c>
    </row>
    <row r="3" spans="2:47" ht="15.05" customHeight="1" x14ac:dyDescent="0.45">
      <c r="B3" s="83"/>
      <c r="N3" s="83"/>
      <c r="V3" s="83"/>
      <c r="Z3" s="83"/>
      <c r="AC3" s="83"/>
      <c r="AK3" s="83"/>
      <c r="AO3" s="83"/>
    </row>
    <row r="4" spans="2:47" ht="15.05" customHeight="1" x14ac:dyDescent="0.45">
      <c r="B4" s="84"/>
      <c r="L4" s="84"/>
      <c r="V4" s="1" t="s">
        <v>87</v>
      </c>
      <c r="W4" s="85" t="s">
        <v>44</v>
      </c>
      <c r="X4" s="107">
        <v>0.11</v>
      </c>
      <c r="AO4" t="s">
        <v>88</v>
      </c>
      <c r="AP4" s="14">
        <f>SUMPRODUCT(AT4:AU4,AT8:AU8)/SUM(AT8:AU8)</f>
        <v>0.13593600035856931</v>
      </c>
      <c r="AQ4" s="86">
        <v>6.7500000000000004E-2</v>
      </c>
      <c r="AT4" s="86">
        <v>6.7500000000000004E-2</v>
      </c>
      <c r="AU4" s="3">
        <v>0.27</v>
      </c>
    </row>
    <row r="5" spans="2:47" ht="15.05" customHeight="1" x14ac:dyDescent="0.45">
      <c r="B5" s="84"/>
      <c r="L5" s="84"/>
      <c r="W5" s="85" t="s">
        <v>89</v>
      </c>
      <c r="X5" s="107">
        <v>0.1</v>
      </c>
      <c r="AC5" s="1" t="s">
        <v>90</v>
      </c>
      <c r="AD5" s="86">
        <v>2.5000000000000001E-2</v>
      </c>
      <c r="AO5" t="s">
        <v>91</v>
      </c>
      <c r="AP5" s="20">
        <f>AP23</f>
        <v>14751207.355692042</v>
      </c>
      <c r="AQ5" s="20">
        <f>AQ23</f>
        <v>24188735.601319138</v>
      </c>
    </row>
    <row r="6" spans="2:47" x14ac:dyDescent="0.3">
      <c r="B6" s="87"/>
      <c r="C6" s="87"/>
      <c r="D6" s="87"/>
      <c r="E6" s="87"/>
      <c r="F6" s="88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AO6" t="s">
        <v>92</v>
      </c>
      <c r="AP6" s="89">
        <f>SUMPRODUCT(AT6:AU6,AT8:AU8)/SUM(AT8:AU8)</f>
        <v>18.310222213368657</v>
      </c>
      <c r="AQ6">
        <v>20</v>
      </c>
      <c r="AT6">
        <v>20</v>
      </c>
      <c r="AU6">
        <v>15</v>
      </c>
    </row>
    <row r="7" spans="2:47" ht="45.2" x14ac:dyDescent="0.3">
      <c r="B7" s="90" t="s">
        <v>20</v>
      </c>
      <c r="C7" s="90" t="s">
        <v>60</v>
      </c>
      <c r="D7" s="90" t="s">
        <v>93</v>
      </c>
      <c r="E7" s="90" t="s">
        <v>94</v>
      </c>
      <c r="F7" s="90" t="s">
        <v>83</v>
      </c>
      <c r="G7" s="90" t="s">
        <v>95</v>
      </c>
      <c r="H7" s="90" t="s">
        <v>87</v>
      </c>
      <c r="I7" s="90" t="s">
        <v>96</v>
      </c>
      <c r="J7" s="90" t="s">
        <v>97</v>
      </c>
      <c r="K7" s="90" t="s">
        <v>98</v>
      </c>
      <c r="L7" s="90" t="s">
        <v>131</v>
      </c>
      <c r="M7" s="91"/>
      <c r="N7" s="90" t="s">
        <v>33</v>
      </c>
      <c r="O7" s="90" t="s">
        <v>59</v>
      </c>
      <c r="P7" s="90" t="s">
        <v>99</v>
      </c>
      <c r="Q7" s="90" t="s">
        <v>100</v>
      </c>
      <c r="R7" s="90" t="s">
        <v>101</v>
      </c>
      <c r="S7" s="90" t="s">
        <v>102</v>
      </c>
      <c r="V7" s="90" t="s">
        <v>33</v>
      </c>
      <c r="W7" s="90" t="s">
        <v>60</v>
      </c>
      <c r="X7" s="90" t="s">
        <v>103</v>
      </c>
      <c r="Z7" s="90" t="s">
        <v>60</v>
      </c>
      <c r="AA7" s="90" t="s">
        <v>104</v>
      </c>
      <c r="AC7" s="90" t="s">
        <v>33</v>
      </c>
      <c r="AD7" s="90" t="s">
        <v>60</v>
      </c>
      <c r="AE7" s="90" t="s">
        <v>105</v>
      </c>
      <c r="AF7" s="90" t="s">
        <v>106</v>
      </c>
      <c r="AG7" s="90" t="s">
        <v>85</v>
      </c>
      <c r="AH7" s="90" t="s">
        <v>107</v>
      </c>
      <c r="AI7" s="90" t="s">
        <v>94</v>
      </c>
      <c r="AK7" s="90" t="s">
        <v>108</v>
      </c>
      <c r="AL7" s="90" t="s">
        <v>85</v>
      </c>
      <c r="AO7" s="90" t="s">
        <v>33</v>
      </c>
      <c r="AP7" s="90" t="s">
        <v>44</v>
      </c>
      <c r="AQ7" s="90" t="s">
        <v>89</v>
      </c>
      <c r="AS7" s="90" t="s">
        <v>33</v>
      </c>
      <c r="AT7" s="92" t="s">
        <v>109</v>
      </c>
      <c r="AU7" s="92" t="s">
        <v>110</v>
      </c>
    </row>
    <row r="8" spans="2:47" x14ac:dyDescent="0.3">
      <c r="B8" s="85" t="s">
        <v>3</v>
      </c>
      <c r="C8" s="85" t="s">
        <v>44</v>
      </c>
      <c r="D8" s="93">
        <f>AH8</f>
        <v>2000000</v>
      </c>
      <c r="E8" s="93">
        <f>AI8</f>
        <v>2000000</v>
      </c>
      <c r="F8" s="93">
        <f>$AA$8</f>
        <v>73600000</v>
      </c>
      <c r="G8" s="21">
        <f>AP8/H8</f>
        <v>50928800.422043659</v>
      </c>
      <c r="H8" s="94">
        <f>SUMIFS($X$8:$X$39,$V$8:$V$39,B8,$W$8:$W$39,C8)</f>
        <v>1.2321000000000002</v>
      </c>
      <c r="I8" s="95">
        <v>8760</v>
      </c>
      <c r="J8" s="95">
        <f>I8</f>
        <v>8760</v>
      </c>
      <c r="K8" s="96">
        <v>100</v>
      </c>
      <c r="L8" s="96">
        <f>(1+AD5)^2</f>
        <v>1.0506249999999999</v>
      </c>
      <c r="M8" s="87"/>
      <c r="N8" s="87" t="s">
        <v>3</v>
      </c>
      <c r="O8" s="87" t="s">
        <v>64</v>
      </c>
      <c r="P8" s="108">
        <f>HLOOKUP(N8,WindFarmLGCs!$E$16:$T$24,5,FALSE)*WindFarmLGCs!$E$26</f>
        <v>458693.51980000001</v>
      </c>
      <c r="Q8" s="37">
        <f>P8</f>
        <v>458693.51980000001</v>
      </c>
      <c r="R8" s="109">
        <v>150</v>
      </c>
      <c r="S8" s="110">
        <v>50</v>
      </c>
      <c r="V8" s="85" t="s">
        <v>3</v>
      </c>
      <c r="W8" s="85" t="s">
        <v>44</v>
      </c>
      <c r="X8" s="97">
        <f>(1+$X$4)^2</f>
        <v>1.2321000000000002</v>
      </c>
      <c r="Z8" s="85" t="s">
        <v>44</v>
      </c>
      <c r="AA8" s="60">
        <f>147200000/2</f>
        <v>73600000</v>
      </c>
      <c r="AC8" s="85" t="s">
        <v>3</v>
      </c>
      <c r="AD8" s="85" t="s">
        <v>44</v>
      </c>
      <c r="AE8" s="60">
        <f>700000/2</f>
        <v>350000</v>
      </c>
      <c r="AF8" s="60"/>
      <c r="AG8" s="20">
        <f>AVERAGE(AL9:AL10)+AL8+AL9/2</f>
        <v>1650000</v>
      </c>
      <c r="AH8" s="20">
        <f>SUM(AE8:AG8)</f>
        <v>2000000</v>
      </c>
      <c r="AI8" s="20">
        <f>AH8</f>
        <v>2000000</v>
      </c>
      <c r="AK8" s="77">
        <v>44377</v>
      </c>
      <c r="AL8" s="20">
        <v>750000</v>
      </c>
      <c r="AO8" s="85" t="s">
        <v>3</v>
      </c>
      <c r="AP8" s="93">
        <f>SUM(AT8:AU8)</f>
        <v>62749375</v>
      </c>
      <c r="AQ8" s="111">
        <f>AA9*(1-$AQ$4)</f>
        <v>69005000</v>
      </c>
      <c r="AS8" s="85" t="s">
        <v>3</v>
      </c>
      <c r="AT8" s="111">
        <f>89100000/2*(1-AT4)</f>
        <v>41542875</v>
      </c>
      <c r="AU8" s="111">
        <f>58100000/2*(1-AU4)</f>
        <v>21206500</v>
      </c>
    </row>
    <row r="9" spans="2:47" ht="15.05" customHeight="1" x14ac:dyDescent="0.3">
      <c r="B9" s="85" t="s">
        <v>4</v>
      </c>
      <c r="C9" s="85" t="s">
        <v>44</v>
      </c>
      <c r="D9" s="93">
        <f t="shared" ref="D9:E23" si="0">AH9</f>
        <v>958750</v>
      </c>
      <c r="E9" s="93">
        <f t="shared" si="0"/>
        <v>2958750</v>
      </c>
      <c r="F9" s="93">
        <f>F8</f>
        <v>73600000</v>
      </c>
      <c r="G9" s="21">
        <f t="shared" ref="G9:G23" si="1">AP9/H9</f>
        <v>39644813.504154257</v>
      </c>
      <c r="H9" s="94">
        <f t="shared" ref="H9:H39" si="2">SUMIFS($X$8:$X$39,$V$8:$V$39,B9,$W$8:$W$39,C9)</f>
        <v>1.3676310000000003</v>
      </c>
      <c r="I9" s="95">
        <v>8760</v>
      </c>
      <c r="J9" s="95">
        <f>I9+J8</f>
        <v>17520</v>
      </c>
      <c r="K9" s="96">
        <v>100</v>
      </c>
      <c r="L9" s="96">
        <f>L8*(1+$AD$5)</f>
        <v>1.0768906249999999</v>
      </c>
      <c r="M9" s="87"/>
      <c r="N9" s="87" t="s">
        <v>4</v>
      </c>
      <c r="O9" s="87" t="s">
        <v>64</v>
      </c>
      <c r="P9" s="108">
        <f>HLOOKUP(N9,WindFarmLGCs!$E$16:$T$24,5,FALSE)*WindFarmLGCs!$E$26</f>
        <v>458634.59004999994</v>
      </c>
      <c r="Q9" s="37">
        <f>P9+Q8</f>
        <v>917328.10984999989</v>
      </c>
      <c r="R9" s="109">
        <f>R8</f>
        <v>150</v>
      </c>
      <c r="S9" s="109">
        <f>S8</f>
        <v>50</v>
      </c>
      <c r="V9" s="85" t="s">
        <v>4</v>
      </c>
      <c r="W9" s="85" t="s">
        <v>44</v>
      </c>
      <c r="X9" s="97">
        <f t="shared" ref="X9:X23" si="3">X8*(1+$X$4)</f>
        <v>1.3676310000000003</v>
      </c>
      <c r="Z9" s="85" t="s">
        <v>89</v>
      </c>
      <c r="AA9" s="60">
        <f>148000000/2</f>
        <v>74000000</v>
      </c>
      <c r="AC9" s="85" t="s">
        <v>4</v>
      </c>
      <c r="AD9" s="85" t="s">
        <v>44</v>
      </c>
      <c r="AE9" s="60">
        <f>AE8*(1+$AD$5)</f>
        <v>358749.99999999994</v>
      </c>
      <c r="AF9" s="60"/>
      <c r="AG9" s="60">
        <v>600000</v>
      </c>
      <c r="AH9" s="20">
        <f t="shared" ref="AH9:AH39" si="4">SUM(AE9:AG9)</f>
        <v>958750</v>
      </c>
      <c r="AI9" s="20">
        <f>AH9+AI8</f>
        <v>2958750</v>
      </c>
      <c r="AK9" s="77">
        <v>44742</v>
      </c>
      <c r="AL9" s="20">
        <v>600000</v>
      </c>
      <c r="AO9" s="85" t="s">
        <v>4</v>
      </c>
      <c r="AP9" s="93">
        <f>SUM(AT9:AU9)</f>
        <v>54219475.9375</v>
      </c>
      <c r="AQ9" s="111">
        <f>AQ8*(1-$AQ$4)</f>
        <v>64347162.5</v>
      </c>
      <c r="AS9" s="85" t="s">
        <v>4</v>
      </c>
      <c r="AT9" s="111">
        <f>AT8*(1-$AT$4)</f>
        <v>38738730.9375</v>
      </c>
      <c r="AU9" s="111">
        <f>AU8*(1-$AU$4)</f>
        <v>15480745</v>
      </c>
    </row>
    <row r="10" spans="2:47" x14ac:dyDescent="0.3">
      <c r="B10" s="85" t="s">
        <v>5</v>
      </c>
      <c r="C10" s="85" t="s">
        <v>44</v>
      </c>
      <c r="D10" s="93">
        <f t="shared" si="0"/>
        <v>967718.74999999988</v>
      </c>
      <c r="E10" s="93">
        <f t="shared" si="0"/>
        <v>3926468.75</v>
      </c>
      <c r="F10" s="93">
        <f t="shared" ref="F10:F23" si="5">F9</f>
        <v>73600000</v>
      </c>
      <c r="G10" s="21">
        <f t="shared" si="1"/>
        <v>31240191.585855849</v>
      </c>
      <c r="H10" s="94">
        <f t="shared" si="2"/>
        <v>1.5180704100000004</v>
      </c>
      <c r="I10" s="95">
        <v>8784</v>
      </c>
      <c r="J10" s="95">
        <f t="shared" ref="J10:J23" si="6">I10+J9</f>
        <v>26304</v>
      </c>
      <c r="K10" s="96">
        <v>100</v>
      </c>
      <c r="L10" s="96">
        <f t="shared" ref="L10:L23" si="7">L9*(1+$AD$5)</f>
        <v>1.1038128906249998</v>
      </c>
      <c r="M10" s="87"/>
      <c r="N10" s="87" t="s">
        <v>5</v>
      </c>
      <c r="O10" s="87" t="s">
        <v>64</v>
      </c>
      <c r="P10" s="108">
        <f>HLOOKUP(N10,WindFarmLGCs!$E$16:$T$24,5,FALSE)*WindFarmLGCs!$E$26</f>
        <v>458931.087</v>
      </c>
      <c r="Q10" s="37">
        <f t="shared" ref="Q10:Q23" si="8">P10+Q9</f>
        <v>1376259.1968499999</v>
      </c>
      <c r="R10" s="109">
        <f t="shared" ref="R10:S23" si="9">R9</f>
        <v>150</v>
      </c>
      <c r="S10" s="109">
        <f t="shared" si="9"/>
        <v>50</v>
      </c>
      <c r="V10" s="85" t="s">
        <v>5</v>
      </c>
      <c r="W10" s="85" t="s">
        <v>44</v>
      </c>
      <c r="X10" s="97">
        <f t="shared" si="3"/>
        <v>1.5180704100000004</v>
      </c>
      <c r="AC10" s="85" t="s">
        <v>5</v>
      </c>
      <c r="AD10" s="85" t="s">
        <v>44</v>
      </c>
      <c r="AE10" s="60">
        <f t="shared" ref="AE10:AE23" si="10">AE9*(1+$AD$5)</f>
        <v>367718.74999999988</v>
      </c>
      <c r="AF10" s="60"/>
      <c r="AG10" s="60">
        <v>600000</v>
      </c>
      <c r="AH10" s="20">
        <f t="shared" si="4"/>
        <v>967718.74999999988</v>
      </c>
      <c r="AI10" s="20">
        <f t="shared" ref="AI10:AI23" si="11">AH10+AI9</f>
        <v>3926468.75</v>
      </c>
      <c r="AK10" s="77">
        <v>45107</v>
      </c>
      <c r="AL10" s="20">
        <v>600000</v>
      </c>
      <c r="AO10" s="85" t="s">
        <v>5</v>
      </c>
      <c r="AP10" s="93">
        <f t="shared" ref="AP10:AP23" si="12">SUM(AT10:AU10)</f>
        <v>47424810.44921875</v>
      </c>
      <c r="AQ10" s="111">
        <f t="shared" ref="AQ10:AQ23" si="13">AQ9*(1-$AQ$4)</f>
        <v>60003729.03125</v>
      </c>
      <c r="AS10" s="85" t="s">
        <v>5</v>
      </c>
      <c r="AT10" s="111">
        <f t="shared" ref="AT10:AT23" si="14">AT9*(1-$AT$4)</f>
        <v>36123866.599218749</v>
      </c>
      <c r="AU10" s="111">
        <f t="shared" ref="AU10:AU23" si="15">AU9*(1-$AU$4)</f>
        <v>11300943.85</v>
      </c>
    </row>
    <row r="11" spans="2:47" x14ac:dyDescent="0.3">
      <c r="B11" s="85" t="s">
        <v>6</v>
      </c>
      <c r="C11" s="85" t="s">
        <v>44</v>
      </c>
      <c r="D11" s="93">
        <f t="shared" si="0"/>
        <v>976911.71874999977</v>
      </c>
      <c r="E11" s="93">
        <f t="shared" si="0"/>
        <v>4903380.46875</v>
      </c>
      <c r="F11" s="93">
        <f t="shared" si="5"/>
        <v>73600000</v>
      </c>
      <c r="G11" s="21">
        <f t="shared" si="1"/>
        <v>24886496.936233528</v>
      </c>
      <c r="H11" s="94">
        <f t="shared" si="2"/>
        <v>1.6850581551000006</v>
      </c>
      <c r="I11" s="95">
        <v>8760</v>
      </c>
      <c r="J11" s="95">
        <f t="shared" si="6"/>
        <v>35064</v>
      </c>
      <c r="K11" s="96">
        <v>100</v>
      </c>
      <c r="L11" s="96">
        <f t="shared" si="7"/>
        <v>1.1314082128906247</v>
      </c>
      <c r="M11" s="87"/>
      <c r="N11" s="87" t="s">
        <v>6</v>
      </c>
      <c r="O11" s="87" t="s">
        <v>64</v>
      </c>
      <c r="P11" s="108">
        <f>HLOOKUP(N11,WindFarmLGCs!$E$16:$T$24,5,FALSE)*WindFarmLGCs!$E$26</f>
        <v>458211.67979999998</v>
      </c>
      <c r="Q11" s="37">
        <f t="shared" si="8"/>
        <v>1834470.87665</v>
      </c>
      <c r="R11" s="109">
        <f t="shared" si="9"/>
        <v>150</v>
      </c>
      <c r="S11" s="109">
        <f t="shared" si="9"/>
        <v>50</v>
      </c>
      <c r="V11" s="85" t="s">
        <v>6</v>
      </c>
      <c r="W11" s="85" t="s">
        <v>44</v>
      </c>
      <c r="X11" s="97">
        <f t="shared" si="3"/>
        <v>1.6850581551000006</v>
      </c>
      <c r="AC11" s="85" t="s">
        <v>6</v>
      </c>
      <c r="AD11" s="85" t="s">
        <v>44</v>
      </c>
      <c r="AE11" s="60">
        <f t="shared" si="10"/>
        <v>376911.71874999983</v>
      </c>
      <c r="AF11" s="60"/>
      <c r="AG11" s="60">
        <v>600000</v>
      </c>
      <c r="AH11" s="20">
        <f t="shared" si="4"/>
        <v>976911.71874999977</v>
      </c>
      <c r="AI11" s="20">
        <f t="shared" si="11"/>
        <v>4903380.46875</v>
      </c>
      <c r="AK11" s="77">
        <v>45473</v>
      </c>
      <c r="AL11" s="20">
        <v>600000</v>
      </c>
      <c r="AO11" s="85" t="s">
        <v>6</v>
      </c>
      <c r="AP11" s="93">
        <f t="shared" si="12"/>
        <v>41935194.614271484</v>
      </c>
      <c r="AQ11" s="111">
        <f t="shared" si="13"/>
        <v>55953477.321640626</v>
      </c>
      <c r="AS11" s="85" t="s">
        <v>6</v>
      </c>
      <c r="AT11" s="111">
        <f t="shared" si="14"/>
        <v>33685505.603771485</v>
      </c>
      <c r="AU11" s="111">
        <f t="shared" si="15"/>
        <v>8249689.0104999999</v>
      </c>
    </row>
    <row r="12" spans="2:47" x14ac:dyDescent="0.3">
      <c r="B12" s="85" t="s">
        <v>7</v>
      </c>
      <c r="C12" s="85" t="s">
        <v>44</v>
      </c>
      <c r="D12" s="93">
        <f t="shared" si="0"/>
        <v>986334.51171874977</v>
      </c>
      <c r="E12" s="93">
        <f t="shared" si="0"/>
        <v>5889714.98046875</v>
      </c>
      <c r="F12" s="93">
        <f t="shared" si="5"/>
        <v>73600000</v>
      </c>
      <c r="G12" s="21">
        <f t="shared" si="1"/>
        <v>20013748.77560281</v>
      </c>
      <c r="H12" s="94">
        <f t="shared" si="2"/>
        <v>1.8704145521610007</v>
      </c>
      <c r="I12" s="95">
        <v>8760</v>
      </c>
      <c r="J12" s="95">
        <f t="shared" si="6"/>
        <v>43824</v>
      </c>
      <c r="K12" s="96">
        <v>100</v>
      </c>
      <c r="L12" s="96">
        <f t="shared" si="7"/>
        <v>1.1596934182128902</v>
      </c>
      <c r="M12" s="87"/>
      <c r="N12" s="87" t="s">
        <v>7</v>
      </c>
      <c r="O12" s="87" t="s">
        <v>64</v>
      </c>
      <c r="P12" s="108">
        <f>HLOOKUP(N12,WindFarmLGCs!$E$16:$T$24,5,FALSE)*WindFarmLGCs!$E$26</f>
        <v>458128.66200000001</v>
      </c>
      <c r="Q12" s="37">
        <f t="shared" si="8"/>
        <v>2292599.53865</v>
      </c>
      <c r="R12" s="109">
        <f t="shared" si="9"/>
        <v>150</v>
      </c>
      <c r="S12" s="109">
        <f t="shared" si="9"/>
        <v>50</v>
      </c>
      <c r="V12" s="85" t="s">
        <v>7</v>
      </c>
      <c r="W12" s="85" t="s">
        <v>44</v>
      </c>
      <c r="X12" s="97">
        <f t="shared" si="3"/>
        <v>1.8704145521610007</v>
      </c>
      <c r="AC12" s="85" t="s">
        <v>7</v>
      </c>
      <c r="AD12" s="85" t="s">
        <v>44</v>
      </c>
      <c r="AE12" s="60">
        <f t="shared" si="10"/>
        <v>386334.51171874977</v>
      </c>
      <c r="AF12" s="60"/>
      <c r="AG12" s="60">
        <v>600000</v>
      </c>
      <c r="AH12" s="20">
        <f t="shared" si="4"/>
        <v>986334.51171874977</v>
      </c>
      <c r="AI12" s="20">
        <f t="shared" si="11"/>
        <v>5889714.98046875</v>
      </c>
      <c r="AK12" s="77">
        <v>45838</v>
      </c>
      <c r="AL12" s="20">
        <v>600000</v>
      </c>
      <c r="AO12" s="85" t="s">
        <v>7</v>
      </c>
      <c r="AP12" s="93">
        <f t="shared" si="12"/>
        <v>37434006.953181908</v>
      </c>
      <c r="AQ12" s="111">
        <f t="shared" si="13"/>
        <v>52176617.602429882</v>
      </c>
      <c r="AS12" s="85" t="s">
        <v>7</v>
      </c>
      <c r="AT12" s="111">
        <f t="shared" si="14"/>
        <v>31411733.975516912</v>
      </c>
      <c r="AU12" s="111">
        <f t="shared" si="15"/>
        <v>6022272.9776649997</v>
      </c>
    </row>
    <row r="13" spans="2:47" x14ac:dyDescent="0.3">
      <c r="B13" s="85" t="s">
        <v>8</v>
      </c>
      <c r="C13" s="85" t="s">
        <v>44</v>
      </c>
      <c r="D13" s="93">
        <f t="shared" si="0"/>
        <v>995992.87451171852</v>
      </c>
      <c r="E13" s="93">
        <f t="shared" si="0"/>
        <v>6885707.8549804688</v>
      </c>
      <c r="F13" s="93">
        <f t="shared" si="5"/>
        <v>73600000</v>
      </c>
      <c r="G13" s="21">
        <f t="shared" si="1"/>
        <v>16225964.629381113</v>
      </c>
      <c r="H13" s="94">
        <f t="shared" si="2"/>
        <v>2.0761601528987108</v>
      </c>
      <c r="I13" s="95">
        <v>8760</v>
      </c>
      <c r="J13" s="95">
        <f t="shared" si="6"/>
        <v>52584</v>
      </c>
      <c r="K13" s="96">
        <v>100</v>
      </c>
      <c r="L13" s="96">
        <f t="shared" si="7"/>
        <v>1.1886857536682123</v>
      </c>
      <c r="M13" s="87"/>
      <c r="N13" s="87" t="s">
        <v>8</v>
      </c>
      <c r="O13" s="87" t="s">
        <v>64</v>
      </c>
      <c r="P13" s="108">
        <f>HLOOKUP(N13,WindFarmLGCs!$E$16:$T$24,5,FALSE)*WindFarmLGCs!$E$26</f>
        <v>459740.21759999997</v>
      </c>
      <c r="Q13" s="37">
        <f t="shared" si="8"/>
        <v>2752339.7562500001</v>
      </c>
      <c r="R13" s="109">
        <f t="shared" si="9"/>
        <v>150</v>
      </c>
      <c r="S13" s="109">
        <f t="shared" si="9"/>
        <v>50</v>
      </c>
      <c r="V13" s="85" t="s">
        <v>8</v>
      </c>
      <c r="W13" s="85" t="s">
        <v>44</v>
      </c>
      <c r="X13" s="97">
        <f t="shared" si="3"/>
        <v>2.0761601528987108</v>
      </c>
      <c r="AC13" s="85" t="s">
        <v>8</v>
      </c>
      <c r="AD13" s="85" t="s">
        <v>44</v>
      </c>
      <c r="AE13" s="60">
        <f t="shared" si="10"/>
        <v>395992.87451171846</v>
      </c>
      <c r="AF13" s="60"/>
      <c r="AG13" s="60">
        <v>600000</v>
      </c>
      <c r="AH13" s="20">
        <f t="shared" si="4"/>
        <v>995992.87451171852</v>
      </c>
      <c r="AI13" s="20">
        <f t="shared" si="11"/>
        <v>6885707.8549804688</v>
      </c>
      <c r="AK13" s="77">
        <v>46203</v>
      </c>
      <c r="AL13" s="20">
        <v>600000</v>
      </c>
      <c r="AO13" s="85" t="s">
        <v>8</v>
      </c>
      <c r="AP13" s="93">
        <f t="shared" si="12"/>
        <v>33687701.205864966</v>
      </c>
      <c r="AQ13" s="111">
        <f t="shared" si="13"/>
        <v>48654695.914265864</v>
      </c>
      <c r="AS13" s="85" t="s">
        <v>8</v>
      </c>
      <c r="AT13" s="111">
        <f t="shared" si="14"/>
        <v>29291441.932169519</v>
      </c>
      <c r="AU13" s="111">
        <f t="shared" si="15"/>
        <v>4396259.2736954493</v>
      </c>
    </row>
    <row r="14" spans="2:47" x14ac:dyDescent="0.3">
      <c r="B14" s="85" t="s">
        <v>9</v>
      </c>
      <c r="C14" s="85" t="s">
        <v>44</v>
      </c>
      <c r="D14" s="93">
        <f t="shared" si="0"/>
        <v>1005892.6963745113</v>
      </c>
      <c r="E14" s="93">
        <f t="shared" si="0"/>
        <v>7891600.5513549801</v>
      </c>
      <c r="F14" s="93">
        <f t="shared" si="5"/>
        <v>73600000</v>
      </c>
      <c r="G14" s="21">
        <f t="shared" si="1"/>
        <v>13244972.277146295</v>
      </c>
      <c r="H14" s="94">
        <f t="shared" si="2"/>
        <v>2.3045377697175691</v>
      </c>
      <c r="I14" s="95">
        <f>I10</f>
        <v>8784</v>
      </c>
      <c r="J14" s="95">
        <f t="shared" si="6"/>
        <v>61368</v>
      </c>
      <c r="K14" s="96">
        <v>100</v>
      </c>
      <c r="L14" s="96">
        <f t="shared" si="7"/>
        <v>1.2184028975099175</v>
      </c>
      <c r="M14" s="87"/>
      <c r="N14" s="87" t="s">
        <v>9</v>
      </c>
      <c r="O14" s="87" t="s">
        <v>64</v>
      </c>
      <c r="P14" s="108">
        <f>HLOOKUP(N14,WindFarmLGCs!$E$16:$T$24,5,FALSE)*WindFarmLGCs!$E$26</f>
        <v>460203.71204999997</v>
      </c>
      <c r="Q14" s="37">
        <f t="shared" si="8"/>
        <v>3212543.4682999998</v>
      </c>
      <c r="R14" s="109">
        <f t="shared" si="9"/>
        <v>150</v>
      </c>
      <c r="S14" s="109">
        <f t="shared" si="9"/>
        <v>50</v>
      </c>
      <c r="V14" s="85" t="s">
        <v>9</v>
      </c>
      <c r="W14" s="85" t="s">
        <v>44</v>
      </c>
      <c r="X14" s="97">
        <f t="shared" si="3"/>
        <v>2.3045377697175691</v>
      </c>
      <c r="AC14" s="85" t="s">
        <v>9</v>
      </c>
      <c r="AD14" s="85" t="s">
        <v>44</v>
      </c>
      <c r="AE14" s="60">
        <f t="shared" si="10"/>
        <v>405892.6963745114</v>
      </c>
      <c r="AF14" s="60"/>
      <c r="AG14" s="60">
        <v>600000</v>
      </c>
      <c r="AH14" s="20">
        <f t="shared" si="4"/>
        <v>1005892.6963745113</v>
      </c>
      <c r="AI14" s="20">
        <f t="shared" si="11"/>
        <v>7891600.5513549801</v>
      </c>
      <c r="AK14" s="77">
        <v>46568</v>
      </c>
      <c r="AL14" s="20">
        <v>600000</v>
      </c>
      <c r="AO14" s="85" t="s">
        <v>9</v>
      </c>
      <c r="AP14" s="93">
        <f t="shared" si="12"/>
        <v>30523538.871545754</v>
      </c>
      <c r="AQ14" s="111">
        <f t="shared" si="13"/>
        <v>45370503.940052919</v>
      </c>
      <c r="AS14" s="85" t="s">
        <v>9</v>
      </c>
      <c r="AT14" s="111">
        <f t="shared" si="14"/>
        <v>27314269.601748075</v>
      </c>
      <c r="AU14" s="111">
        <f t="shared" si="15"/>
        <v>3209269.2697976781</v>
      </c>
    </row>
    <row r="15" spans="2:47" x14ac:dyDescent="0.3">
      <c r="B15" s="85" t="s">
        <v>10</v>
      </c>
      <c r="C15" s="85" t="s">
        <v>44</v>
      </c>
      <c r="D15" s="93">
        <f t="shared" si="0"/>
        <v>1016040.0137838742</v>
      </c>
      <c r="E15" s="93">
        <f t="shared" si="0"/>
        <v>8907640.5651388541</v>
      </c>
      <c r="F15" s="93">
        <f t="shared" si="5"/>
        <v>73600000</v>
      </c>
      <c r="G15" s="21">
        <f t="shared" si="1"/>
        <v>10872916.92525232</v>
      </c>
      <c r="H15" s="94">
        <f t="shared" si="2"/>
        <v>2.558036924386502</v>
      </c>
      <c r="I15" s="95">
        <f t="shared" ref="I15:I23" si="16">I11</f>
        <v>8760</v>
      </c>
      <c r="J15" s="95">
        <f t="shared" si="6"/>
        <v>70128</v>
      </c>
      <c r="K15" s="96">
        <v>100</v>
      </c>
      <c r="L15" s="96">
        <f t="shared" si="7"/>
        <v>1.2488629699476652</v>
      </c>
      <c r="M15" s="87"/>
      <c r="N15" s="87" t="s">
        <v>10</v>
      </c>
      <c r="O15" s="87" t="s">
        <v>64</v>
      </c>
      <c r="P15" s="108">
        <f>HLOOKUP(N15,WindFarmLGCs!$E$16:$T$24,5,FALSE)*WindFarmLGCs!$E$26</f>
        <v>458978.64480000001</v>
      </c>
      <c r="Q15" s="37">
        <f t="shared" si="8"/>
        <v>3671522.1130999997</v>
      </c>
      <c r="R15" s="109">
        <f t="shared" si="9"/>
        <v>150</v>
      </c>
      <c r="S15" s="109">
        <f t="shared" si="9"/>
        <v>50</v>
      </c>
      <c r="V15" s="85" t="s">
        <v>10</v>
      </c>
      <c r="W15" s="85" t="s">
        <v>44</v>
      </c>
      <c r="X15" s="97">
        <f t="shared" si="3"/>
        <v>2.558036924386502</v>
      </c>
      <c r="AC15" s="85" t="s">
        <v>10</v>
      </c>
      <c r="AD15" s="85" t="s">
        <v>44</v>
      </c>
      <c r="AE15" s="60">
        <f t="shared" si="10"/>
        <v>416040.01378387416</v>
      </c>
      <c r="AF15" s="60"/>
      <c r="AG15" s="60">
        <v>600000</v>
      </c>
      <c r="AH15" s="20">
        <f t="shared" si="4"/>
        <v>1016040.0137838742</v>
      </c>
      <c r="AI15" s="20">
        <f t="shared" si="11"/>
        <v>8907640.5651388541</v>
      </c>
      <c r="AK15" s="77">
        <v>46934</v>
      </c>
      <c r="AL15" s="20">
        <v>600000</v>
      </c>
      <c r="AO15" s="85" t="s">
        <v>10</v>
      </c>
      <c r="AP15" s="93">
        <f t="shared" si="12"/>
        <v>27813322.970582388</v>
      </c>
      <c r="AQ15" s="111">
        <f t="shared" si="13"/>
        <v>42307994.924099348</v>
      </c>
      <c r="AS15" s="85" t="s">
        <v>10</v>
      </c>
      <c r="AT15" s="111">
        <f t="shared" si="14"/>
        <v>25470556.403630082</v>
      </c>
      <c r="AU15" s="111">
        <f t="shared" si="15"/>
        <v>2342766.5669523049</v>
      </c>
    </row>
    <row r="16" spans="2:47" x14ac:dyDescent="0.3">
      <c r="B16" s="85" t="s">
        <v>11</v>
      </c>
      <c r="C16" s="85" t="s">
        <v>44</v>
      </c>
      <c r="D16" s="93">
        <f t="shared" si="0"/>
        <v>1026441.014128471</v>
      </c>
      <c r="E16" s="93">
        <f t="shared" si="0"/>
        <v>9934081.5792673249</v>
      </c>
      <c r="F16" s="93">
        <f t="shared" si="5"/>
        <v>73600000</v>
      </c>
      <c r="G16" s="21">
        <f t="shared" si="1"/>
        <v>8967149.8397671357</v>
      </c>
      <c r="H16" s="94">
        <f t="shared" si="2"/>
        <v>2.8394209860690176</v>
      </c>
      <c r="I16" s="95">
        <f t="shared" si="16"/>
        <v>8760</v>
      </c>
      <c r="J16" s="95">
        <f t="shared" si="6"/>
        <v>78888</v>
      </c>
      <c r="K16" s="96">
        <v>100</v>
      </c>
      <c r="L16" s="96">
        <f t="shared" si="7"/>
        <v>1.2800845441963566</v>
      </c>
      <c r="M16" s="87"/>
      <c r="N16" s="87" t="s">
        <v>11</v>
      </c>
      <c r="O16" s="87" t="s">
        <v>64</v>
      </c>
      <c r="P16" s="108">
        <f>HLOOKUP(N16,WindFarmLGCs!$E$16:$T$24,5,FALSE)*WindFarmLGCs!$E$26</f>
        <v>459066.28454999998</v>
      </c>
      <c r="Q16" s="37">
        <f t="shared" si="8"/>
        <v>4130588.3976499997</v>
      </c>
      <c r="R16" s="109">
        <f t="shared" si="9"/>
        <v>150</v>
      </c>
      <c r="S16" s="109">
        <f t="shared" si="9"/>
        <v>50</v>
      </c>
      <c r="V16" s="85" t="s">
        <v>11</v>
      </c>
      <c r="W16" s="85" t="s">
        <v>44</v>
      </c>
      <c r="X16" s="97">
        <f t="shared" si="3"/>
        <v>2.8394209860690176</v>
      </c>
      <c r="AC16" s="85" t="s">
        <v>11</v>
      </c>
      <c r="AD16" s="85" t="s">
        <v>44</v>
      </c>
      <c r="AE16" s="60">
        <f t="shared" si="10"/>
        <v>426441.01412847097</v>
      </c>
      <c r="AF16" s="60"/>
      <c r="AG16" s="60">
        <v>600000</v>
      </c>
      <c r="AH16" s="20">
        <f t="shared" si="4"/>
        <v>1026441.014128471</v>
      </c>
      <c r="AI16" s="20">
        <f t="shared" si="11"/>
        <v>9934081.5792673249</v>
      </c>
      <c r="AK16" s="77">
        <v>47299</v>
      </c>
      <c r="AL16" s="20">
        <v>600000</v>
      </c>
      <c r="AO16" s="85" t="s">
        <v>11</v>
      </c>
      <c r="AP16" s="93">
        <f t="shared" si="12"/>
        <v>25461513.440260231</v>
      </c>
      <c r="AQ16" s="111">
        <f t="shared" si="13"/>
        <v>39452205.266722642</v>
      </c>
      <c r="AS16" s="85" t="s">
        <v>11</v>
      </c>
      <c r="AT16" s="111">
        <f t="shared" si="14"/>
        <v>23751293.846385051</v>
      </c>
      <c r="AU16" s="111">
        <f t="shared" si="15"/>
        <v>1710219.5938751826</v>
      </c>
    </row>
    <row r="17" spans="2:47" x14ac:dyDescent="0.3">
      <c r="B17" s="85" t="s">
        <v>12</v>
      </c>
      <c r="C17" s="85" t="s">
        <v>44</v>
      </c>
      <c r="D17" s="93">
        <f t="shared" si="0"/>
        <v>1037102.0394816827</v>
      </c>
      <c r="E17" s="93">
        <f t="shared" si="0"/>
        <v>10971183.618749008</v>
      </c>
      <c r="F17" s="93">
        <f t="shared" si="5"/>
        <v>73600000</v>
      </c>
      <c r="G17" s="21">
        <f t="shared" si="1"/>
        <v>7423332.3282346334</v>
      </c>
      <c r="H17" s="94">
        <f t="shared" si="2"/>
        <v>3.1517572945366097</v>
      </c>
      <c r="I17" s="95">
        <f t="shared" si="16"/>
        <v>8760</v>
      </c>
      <c r="J17" s="95">
        <f t="shared" si="6"/>
        <v>87648</v>
      </c>
      <c r="K17" s="96">
        <v>100</v>
      </c>
      <c r="L17" s="96">
        <f t="shared" si="7"/>
        <v>1.3120866578012655</v>
      </c>
      <c r="M17" s="87"/>
      <c r="N17" s="87" t="s">
        <v>12</v>
      </c>
      <c r="O17" s="87" t="s">
        <v>64</v>
      </c>
      <c r="P17" s="108">
        <f>HLOOKUP(N17,WindFarmLGCs!$E$16:$T$24,5,FALSE)*WindFarmLGCs!$E$26</f>
        <v>457858.84079999995</v>
      </c>
      <c r="Q17" s="37">
        <f t="shared" si="8"/>
        <v>4588447.2384500001</v>
      </c>
      <c r="R17" s="109">
        <f t="shared" si="9"/>
        <v>150</v>
      </c>
      <c r="S17" s="109">
        <f t="shared" si="9"/>
        <v>50</v>
      </c>
      <c r="V17" s="85" t="s">
        <v>12</v>
      </c>
      <c r="W17" s="85" t="s">
        <v>44</v>
      </c>
      <c r="X17" s="97">
        <f t="shared" si="3"/>
        <v>3.1517572945366097</v>
      </c>
      <c r="AC17" s="85" t="s">
        <v>12</v>
      </c>
      <c r="AD17" s="85" t="s">
        <v>44</v>
      </c>
      <c r="AE17" s="60">
        <f t="shared" si="10"/>
        <v>437102.0394816827</v>
      </c>
      <c r="AF17" s="60"/>
      <c r="AG17" s="60">
        <v>600000</v>
      </c>
      <c r="AH17" s="20">
        <f t="shared" si="4"/>
        <v>1037102.0394816827</v>
      </c>
      <c r="AI17" s="20">
        <f t="shared" si="11"/>
        <v>10971183.618749008</v>
      </c>
      <c r="AK17" s="77">
        <v>47664</v>
      </c>
      <c r="AL17" s="20">
        <v>600000</v>
      </c>
      <c r="AO17" s="85" t="s">
        <v>12</v>
      </c>
      <c r="AP17" s="93">
        <f t="shared" si="12"/>
        <v>23396541.815282941</v>
      </c>
      <c r="AQ17" s="111">
        <f t="shared" si="13"/>
        <v>36789181.411218867</v>
      </c>
      <c r="AS17" s="85" t="s">
        <v>12</v>
      </c>
      <c r="AT17" s="111">
        <f t="shared" si="14"/>
        <v>22148081.511754058</v>
      </c>
      <c r="AU17" s="111">
        <f t="shared" si="15"/>
        <v>1248460.3035288833</v>
      </c>
    </row>
    <row r="18" spans="2:47" x14ac:dyDescent="0.3">
      <c r="B18" s="85" t="s">
        <v>13</v>
      </c>
      <c r="C18" s="85" t="s">
        <v>44</v>
      </c>
      <c r="D18" s="93">
        <f t="shared" si="0"/>
        <v>1063029.5904687247</v>
      </c>
      <c r="E18" s="93">
        <f t="shared" si="0"/>
        <v>12034213.209217733</v>
      </c>
      <c r="F18" s="93">
        <f t="shared" si="5"/>
        <v>73600000</v>
      </c>
      <c r="G18" s="21">
        <f t="shared" si="1"/>
        <v>6164003.5878098402</v>
      </c>
      <c r="H18" s="94">
        <f t="shared" si="2"/>
        <v>3.498450596935637</v>
      </c>
      <c r="I18" s="95">
        <f t="shared" si="16"/>
        <v>8784</v>
      </c>
      <c r="J18" s="95">
        <f t="shared" si="6"/>
        <v>96432</v>
      </c>
      <c r="K18" s="96">
        <v>100</v>
      </c>
      <c r="L18" s="96">
        <f t="shared" si="7"/>
        <v>1.3448888242462971</v>
      </c>
      <c r="M18" s="95"/>
      <c r="N18" s="87" t="s">
        <v>13</v>
      </c>
      <c r="O18" s="87" t="s">
        <v>64</v>
      </c>
      <c r="P18" s="108">
        <f>HLOOKUP(N18,WindFarmLGCs!$E$16:$T$24,5,FALSE)*WindFarmLGCs!$E$26</f>
        <v>460639.59885000001</v>
      </c>
      <c r="Q18" s="37">
        <f t="shared" si="8"/>
        <v>5049086.8372999998</v>
      </c>
      <c r="R18" s="109">
        <f t="shared" si="9"/>
        <v>150</v>
      </c>
      <c r="S18" s="109">
        <f t="shared" si="9"/>
        <v>50</v>
      </c>
      <c r="V18" s="85" t="s">
        <v>13</v>
      </c>
      <c r="W18" s="85" t="s">
        <v>44</v>
      </c>
      <c r="X18" s="97">
        <f t="shared" si="3"/>
        <v>3.498450596935637</v>
      </c>
      <c r="AC18" s="85" t="s">
        <v>13</v>
      </c>
      <c r="AD18" s="85" t="s">
        <v>44</v>
      </c>
      <c r="AE18" s="60">
        <f t="shared" si="10"/>
        <v>448029.59046872472</v>
      </c>
      <c r="AF18" s="60"/>
      <c r="AG18" s="60">
        <f t="shared" ref="AG18:AG23" si="17">AG17*(1+$AD$5)</f>
        <v>615000</v>
      </c>
      <c r="AH18" s="20">
        <f t="shared" si="4"/>
        <v>1063029.5904687247</v>
      </c>
      <c r="AI18" s="20">
        <f t="shared" si="11"/>
        <v>12034213.209217733</v>
      </c>
      <c r="AK18" s="77">
        <v>48029</v>
      </c>
      <c r="AL18" s="20">
        <v>600000</v>
      </c>
      <c r="AO18" s="85" t="s">
        <v>13</v>
      </c>
      <c r="AP18" s="93">
        <f t="shared" si="12"/>
        <v>21564462.031286743</v>
      </c>
      <c r="AQ18" s="111">
        <f t="shared" si="13"/>
        <v>34305911.665961593</v>
      </c>
      <c r="AS18" s="85" t="s">
        <v>13</v>
      </c>
      <c r="AT18" s="111">
        <f t="shared" si="14"/>
        <v>20653086.009710658</v>
      </c>
      <c r="AU18" s="111">
        <f t="shared" si="15"/>
        <v>911376.02157608478</v>
      </c>
    </row>
    <row r="19" spans="2:47" x14ac:dyDescent="0.3">
      <c r="B19" s="85" t="s">
        <v>14</v>
      </c>
      <c r="C19" s="85" t="s">
        <v>44</v>
      </c>
      <c r="D19" s="93">
        <f t="shared" si="0"/>
        <v>1089605.3302304428</v>
      </c>
      <c r="E19" s="93">
        <f t="shared" si="0"/>
        <v>13123818.539448176</v>
      </c>
      <c r="F19" s="93">
        <f t="shared" si="5"/>
        <v>73600000</v>
      </c>
      <c r="G19" s="21">
        <f t="shared" si="1"/>
        <v>5130793.1350678215</v>
      </c>
      <c r="H19" s="94">
        <f t="shared" si="2"/>
        <v>3.8832801625985574</v>
      </c>
      <c r="I19" s="95">
        <f t="shared" si="16"/>
        <v>8760</v>
      </c>
      <c r="J19" s="95">
        <f t="shared" si="6"/>
        <v>105192</v>
      </c>
      <c r="K19" s="96">
        <v>100</v>
      </c>
      <c r="L19" s="96">
        <f t="shared" si="7"/>
        <v>1.3785110448524545</v>
      </c>
      <c r="M19" s="95"/>
      <c r="N19" s="87" t="s">
        <v>14</v>
      </c>
      <c r="O19" s="87" t="s">
        <v>64</v>
      </c>
      <c r="P19" s="108">
        <f>HLOOKUP(N19,WindFarmLGCs!$E$16:$T$24,5,FALSE)*WindFarmLGCs!$E$26</f>
        <v>458862.6</v>
      </c>
      <c r="Q19" s="37">
        <f t="shared" si="8"/>
        <v>5507949.4372999994</v>
      </c>
      <c r="R19" s="109">
        <f t="shared" si="9"/>
        <v>150</v>
      </c>
      <c r="S19" s="109">
        <f t="shared" si="9"/>
        <v>50</v>
      </c>
      <c r="V19" s="85" t="s">
        <v>14</v>
      </c>
      <c r="W19" s="85" t="s">
        <v>44</v>
      </c>
      <c r="X19" s="97">
        <f t="shared" si="3"/>
        <v>3.8832801625985574</v>
      </c>
      <c r="AC19" s="85" t="s">
        <v>14</v>
      </c>
      <c r="AD19" s="85" t="s">
        <v>44</v>
      </c>
      <c r="AE19" s="60">
        <f t="shared" si="10"/>
        <v>459230.33023044281</v>
      </c>
      <c r="AF19" s="60"/>
      <c r="AG19" s="60">
        <f t="shared" si="17"/>
        <v>630375</v>
      </c>
      <c r="AH19" s="20">
        <f t="shared" si="4"/>
        <v>1089605.3302304428</v>
      </c>
      <c r="AI19" s="20">
        <f t="shared" si="11"/>
        <v>13123818.539448176</v>
      </c>
      <c r="AO19" s="85" t="s">
        <v>14</v>
      </c>
      <c r="AP19" s="93">
        <f t="shared" si="12"/>
        <v>19924307.199805733</v>
      </c>
      <c r="AQ19" s="111">
        <f t="shared" si="13"/>
        <v>31990262.628509186</v>
      </c>
      <c r="AS19" s="85" t="s">
        <v>14</v>
      </c>
      <c r="AT19" s="111">
        <f t="shared" si="14"/>
        <v>19259002.70405519</v>
      </c>
      <c r="AU19" s="111">
        <f t="shared" si="15"/>
        <v>665304.49575054192</v>
      </c>
    </row>
    <row r="20" spans="2:47" x14ac:dyDescent="0.3">
      <c r="B20" s="85" t="s">
        <v>15</v>
      </c>
      <c r="C20" s="85" t="s">
        <v>44</v>
      </c>
      <c r="D20" s="93">
        <f t="shared" si="0"/>
        <v>1116845.4634862039</v>
      </c>
      <c r="E20" s="93">
        <f t="shared" si="0"/>
        <v>14240664.00293438</v>
      </c>
      <c r="F20" s="93">
        <f t="shared" si="5"/>
        <v>73600000</v>
      </c>
      <c r="G20" s="21">
        <f t="shared" si="1"/>
        <v>4279073.1590893008</v>
      </c>
      <c r="H20" s="94">
        <f t="shared" si="2"/>
        <v>4.3104409804843993</v>
      </c>
      <c r="I20" s="95">
        <f t="shared" si="16"/>
        <v>8760</v>
      </c>
      <c r="J20" s="95">
        <f t="shared" si="6"/>
        <v>113952</v>
      </c>
      <c r="K20" s="96">
        <v>100</v>
      </c>
      <c r="L20" s="96">
        <f t="shared" si="7"/>
        <v>1.4129738209737657</v>
      </c>
      <c r="M20" s="95"/>
      <c r="N20" s="87" t="s">
        <v>15</v>
      </c>
      <c r="O20" s="87" t="s">
        <v>64</v>
      </c>
      <c r="P20" s="108">
        <f>HLOOKUP(N20,WindFarmLGCs!$E$16:$T$24,5,FALSE)*WindFarmLGCs!$E$26</f>
        <v>458112.3</v>
      </c>
      <c r="Q20" s="37">
        <f t="shared" si="8"/>
        <v>5966061.7372999992</v>
      </c>
      <c r="R20" s="109">
        <f t="shared" si="9"/>
        <v>150</v>
      </c>
      <c r="S20" s="109">
        <f t="shared" si="9"/>
        <v>50</v>
      </c>
      <c r="V20" s="85" t="s">
        <v>15</v>
      </c>
      <c r="W20" s="85" t="s">
        <v>44</v>
      </c>
      <c r="X20" s="97">
        <f t="shared" si="3"/>
        <v>4.3104409804843993</v>
      </c>
      <c r="AC20" s="85" t="s">
        <v>15</v>
      </c>
      <c r="AD20" s="85" t="s">
        <v>44</v>
      </c>
      <c r="AE20" s="60">
        <f t="shared" si="10"/>
        <v>470711.08848620381</v>
      </c>
      <c r="AF20" s="60"/>
      <c r="AG20" s="60">
        <f t="shared" si="17"/>
        <v>646134.375</v>
      </c>
      <c r="AH20" s="20">
        <f t="shared" si="4"/>
        <v>1116845.4634862039</v>
      </c>
      <c r="AI20" s="20">
        <f t="shared" si="11"/>
        <v>14240664.00293438</v>
      </c>
      <c r="AO20" s="85" t="s">
        <v>15</v>
      </c>
      <c r="AP20" s="93">
        <f t="shared" si="12"/>
        <v>18444692.303429361</v>
      </c>
      <c r="AQ20" s="111">
        <f t="shared" si="13"/>
        <v>29830919.901084814</v>
      </c>
      <c r="AS20" s="85" t="s">
        <v>15</v>
      </c>
      <c r="AT20" s="111">
        <f t="shared" si="14"/>
        <v>17959020.021531466</v>
      </c>
      <c r="AU20" s="111">
        <f t="shared" si="15"/>
        <v>485672.28189789556</v>
      </c>
    </row>
    <row r="21" spans="2:47" x14ac:dyDescent="0.3">
      <c r="B21" s="85" t="s">
        <v>16</v>
      </c>
      <c r="C21" s="85" t="s">
        <v>44</v>
      </c>
      <c r="D21" s="93">
        <f t="shared" si="0"/>
        <v>1144766.600073359</v>
      </c>
      <c r="E21" s="93">
        <f t="shared" si="0"/>
        <v>15385430.603007738</v>
      </c>
      <c r="F21" s="93">
        <f t="shared" si="5"/>
        <v>73600000</v>
      </c>
      <c r="G21" s="21">
        <f t="shared" si="1"/>
        <v>3574251.663083659</v>
      </c>
      <c r="H21" s="94">
        <f t="shared" si="2"/>
        <v>4.7845894883376836</v>
      </c>
      <c r="I21" s="95">
        <f t="shared" si="16"/>
        <v>8760</v>
      </c>
      <c r="J21" s="95">
        <f t="shared" si="6"/>
        <v>122712</v>
      </c>
      <c r="K21" s="96">
        <v>100</v>
      </c>
      <c r="L21" s="96">
        <f t="shared" si="7"/>
        <v>1.4482981664981096</v>
      </c>
      <c r="M21" s="95"/>
      <c r="N21" s="87" t="s">
        <v>16</v>
      </c>
      <c r="O21" s="87" t="s">
        <v>64</v>
      </c>
      <c r="P21" s="108">
        <f>HLOOKUP(N21,WindFarmLGCs!$E$16:$T$24,5,FALSE)*WindFarmLGCs!$E$26</f>
        <v>458160.14999999997</v>
      </c>
      <c r="Q21" s="37">
        <f t="shared" si="8"/>
        <v>6424221.8872999996</v>
      </c>
      <c r="R21" s="109">
        <f t="shared" si="9"/>
        <v>150</v>
      </c>
      <c r="S21" s="109">
        <f t="shared" si="9"/>
        <v>50</v>
      </c>
      <c r="V21" s="85" t="s">
        <v>16</v>
      </c>
      <c r="W21" s="85" t="s">
        <v>44</v>
      </c>
      <c r="X21" s="97">
        <f t="shared" si="3"/>
        <v>4.7845894883376836</v>
      </c>
      <c r="AC21" s="85" t="s">
        <v>16</v>
      </c>
      <c r="AD21" s="85" t="s">
        <v>44</v>
      </c>
      <c r="AE21" s="60">
        <f t="shared" si="10"/>
        <v>482478.86569835886</v>
      </c>
      <c r="AF21" s="60"/>
      <c r="AG21" s="60">
        <f t="shared" si="17"/>
        <v>662287.734375</v>
      </c>
      <c r="AH21" s="20">
        <f t="shared" si="4"/>
        <v>1144766.600073359</v>
      </c>
      <c r="AI21" s="20">
        <f t="shared" si="11"/>
        <v>15385430.603007738</v>
      </c>
      <c r="AO21" s="85" t="s">
        <v>16</v>
      </c>
      <c r="AP21" s="93">
        <f t="shared" si="12"/>
        <v>17101326.935863558</v>
      </c>
      <c r="AQ21" s="111">
        <f t="shared" si="13"/>
        <v>27817332.807761591</v>
      </c>
      <c r="AS21" s="85" t="s">
        <v>16</v>
      </c>
      <c r="AT21" s="111">
        <f t="shared" si="14"/>
        <v>16746786.170078093</v>
      </c>
      <c r="AU21" s="111">
        <f t="shared" si="15"/>
        <v>354540.76578546374</v>
      </c>
    </row>
    <row r="22" spans="2:47" x14ac:dyDescent="0.3">
      <c r="B22" s="85" t="s">
        <v>17</v>
      </c>
      <c r="C22" s="85" t="s">
        <v>44</v>
      </c>
      <c r="D22" s="93">
        <f t="shared" si="0"/>
        <v>1173385.7650751928</v>
      </c>
      <c r="E22" s="93">
        <f t="shared" si="0"/>
        <v>16558816.368082929</v>
      </c>
      <c r="F22" s="93">
        <f t="shared" si="5"/>
        <v>73600000</v>
      </c>
      <c r="G22" s="21">
        <f t="shared" si="1"/>
        <v>2989175.056035989</v>
      </c>
      <c r="H22" s="94">
        <f t="shared" si="2"/>
        <v>5.3108943320548292</v>
      </c>
      <c r="I22" s="95">
        <f t="shared" si="16"/>
        <v>8784</v>
      </c>
      <c r="J22" s="95">
        <f t="shared" si="6"/>
        <v>131496</v>
      </c>
      <c r="K22" s="96">
        <v>100</v>
      </c>
      <c r="L22" s="96">
        <f t="shared" si="7"/>
        <v>1.4845056206605622</v>
      </c>
      <c r="M22" s="95"/>
      <c r="N22" s="87" t="s">
        <v>17</v>
      </c>
      <c r="O22" s="87" t="s">
        <v>64</v>
      </c>
      <c r="P22" s="108">
        <f>HLOOKUP(N22,WindFarmLGCs!$E$16:$T$24,5,FALSE)*WindFarmLGCs!$E$26</f>
        <v>460420.64999999997</v>
      </c>
      <c r="Q22" s="37">
        <f t="shared" si="8"/>
        <v>6884642.5373</v>
      </c>
      <c r="R22" s="109">
        <f t="shared" si="9"/>
        <v>150</v>
      </c>
      <c r="S22" s="109">
        <f t="shared" si="9"/>
        <v>50</v>
      </c>
      <c r="V22" s="85" t="s">
        <v>17</v>
      </c>
      <c r="W22" s="85" t="s">
        <v>44</v>
      </c>
      <c r="X22" s="97">
        <f t="shared" si="3"/>
        <v>5.3108943320548292</v>
      </c>
      <c r="AC22" s="85" t="s">
        <v>17</v>
      </c>
      <c r="AD22" s="85" t="s">
        <v>44</v>
      </c>
      <c r="AE22" s="60">
        <f t="shared" si="10"/>
        <v>494540.83734081779</v>
      </c>
      <c r="AF22" s="60"/>
      <c r="AG22" s="60">
        <f t="shared" si="17"/>
        <v>678844.92773437488</v>
      </c>
      <c r="AH22" s="20">
        <f t="shared" si="4"/>
        <v>1173385.7650751928</v>
      </c>
      <c r="AI22" s="20">
        <f t="shared" si="11"/>
        <v>16558816.368082929</v>
      </c>
      <c r="AO22" s="85" t="s">
        <v>17</v>
      </c>
      <c r="AP22" s="93">
        <f t="shared" si="12"/>
        <v>15875192.862621211</v>
      </c>
      <c r="AQ22" s="111">
        <f t="shared" si="13"/>
        <v>25939662.843237683</v>
      </c>
      <c r="AS22" s="85" t="s">
        <v>17</v>
      </c>
      <c r="AT22" s="111">
        <f t="shared" si="14"/>
        <v>15616378.103597822</v>
      </c>
      <c r="AU22" s="111">
        <f t="shared" si="15"/>
        <v>258814.75902338853</v>
      </c>
    </row>
    <row r="23" spans="2:47" x14ac:dyDescent="0.3">
      <c r="B23" s="85" t="s">
        <v>18</v>
      </c>
      <c r="C23" s="85" t="s">
        <v>44</v>
      </c>
      <c r="D23" s="93">
        <f t="shared" si="0"/>
        <v>1202720.4092020723</v>
      </c>
      <c r="E23" s="93">
        <f t="shared" si="0"/>
        <v>17761536.777285002</v>
      </c>
      <c r="F23" s="93">
        <f t="shared" si="5"/>
        <v>73600000</v>
      </c>
      <c r="G23" s="21">
        <f t="shared" si="1"/>
        <v>2502285.8986119549</v>
      </c>
      <c r="H23" s="94">
        <f t="shared" si="2"/>
        <v>5.8950927085808607</v>
      </c>
      <c r="I23" s="95">
        <f t="shared" si="16"/>
        <v>8760</v>
      </c>
      <c r="J23" s="95">
        <f t="shared" si="6"/>
        <v>140256</v>
      </c>
      <c r="K23" s="96">
        <v>100</v>
      </c>
      <c r="L23" s="96">
        <f t="shared" si="7"/>
        <v>1.5216182611770761</v>
      </c>
      <c r="M23" s="95"/>
      <c r="N23" s="87" t="s">
        <v>18</v>
      </c>
      <c r="O23" s="87" t="s">
        <v>64</v>
      </c>
      <c r="P23" s="108">
        <f>HLOOKUP(N23,WindFarmLGCs!$E$16:$T$24,5,FALSE)*WindFarmLGCs!$E$26</f>
        <v>459128.1</v>
      </c>
      <c r="Q23" s="37">
        <f t="shared" si="8"/>
        <v>7343770.6372999996</v>
      </c>
      <c r="R23" s="109">
        <f t="shared" si="9"/>
        <v>150</v>
      </c>
      <c r="S23" s="109">
        <f t="shared" si="9"/>
        <v>50</v>
      </c>
      <c r="V23" s="85" t="s">
        <v>18</v>
      </c>
      <c r="W23" s="85" t="s">
        <v>44</v>
      </c>
      <c r="X23" s="97">
        <f t="shared" si="3"/>
        <v>5.8950927085808607</v>
      </c>
      <c r="AC23" s="85" t="s">
        <v>18</v>
      </c>
      <c r="AD23" s="85" t="s">
        <v>44</v>
      </c>
      <c r="AE23" s="60">
        <f t="shared" si="10"/>
        <v>506904.35827433818</v>
      </c>
      <c r="AF23" s="60"/>
      <c r="AG23" s="60">
        <f t="shared" si="17"/>
        <v>695816.05092773424</v>
      </c>
      <c r="AH23" s="20">
        <f t="shared" si="4"/>
        <v>1202720.4092020723</v>
      </c>
      <c r="AI23" s="20">
        <f t="shared" si="11"/>
        <v>17761536.777285002</v>
      </c>
      <c r="AO23" s="85" t="s">
        <v>18</v>
      </c>
      <c r="AP23" s="93">
        <f t="shared" si="12"/>
        <v>14751207.355692042</v>
      </c>
      <c r="AQ23" s="111">
        <f t="shared" si="13"/>
        <v>24188735.601319138</v>
      </c>
      <c r="AS23" s="85" t="s">
        <v>18</v>
      </c>
      <c r="AT23" s="111">
        <f t="shared" si="14"/>
        <v>14562272.581604969</v>
      </c>
      <c r="AU23" s="111">
        <f t="shared" si="15"/>
        <v>188934.77408707363</v>
      </c>
    </row>
    <row r="24" spans="2:47" x14ac:dyDescent="0.3">
      <c r="B24" s="85" t="s">
        <v>3</v>
      </c>
      <c r="C24" t="s">
        <v>34</v>
      </c>
      <c r="D24" s="93">
        <f>AH24</f>
        <v>2650000</v>
      </c>
      <c r="E24" s="93">
        <f>AI24</f>
        <v>2650000</v>
      </c>
      <c r="F24" s="93">
        <f>$AA$9</f>
        <v>74000000</v>
      </c>
      <c r="G24" s="21">
        <f>AQ8/H24</f>
        <v>57028925.619834699</v>
      </c>
      <c r="H24" s="94">
        <f t="shared" si="2"/>
        <v>1.2100000000000002</v>
      </c>
      <c r="I24" s="95">
        <f>I8</f>
        <v>8760</v>
      </c>
      <c r="J24" s="95">
        <f>J8</f>
        <v>8760</v>
      </c>
      <c r="K24" s="96">
        <v>95.8</v>
      </c>
      <c r="L24" s="96">
        <f>L8</f>
        <v>1.0506249999999999</v>
      </c>
      <c r="M24" s="95"/>
      <c r="V24" s="85" t="s">
        <v>3</v>
      </c>
      <c r="W24" t="s">
        <v>34</v>
      </c>
      <c r="X24" s="97">
        <f>(1+$X$5)^2</f>
        <v>1.2100000000000002</v>
      </c>
      <c r="AC24" s="85" t="s">
        <v>3</v>
      </c>
      <c r="AD24" t="s">
        <v>34</v>
      </c>
      <c r="AE24" s="60">
        <f>2000000/2</f>
        <v>1000000</v>
      </c>
      <c r="AF24" s="60"/>
      <c r="AG24" s="20">
        <f>AG8</f>
        <v>1650000</v>
      </c>
      <c r="AH24" s="20">
        <f t="shared" si="4"/>
        <v>2650000</v>
      </c>
      <c r="AI24" s="20">
        <f>AH24</f>
        <v>2650000</v>
      </c>
      <c r="AO24" s="85"/>
      <c r="AP24" s="85"/>
    </row>
    <row r="25" spans="2:47" x14ac:dyDescent="0.3">
      <c r="B25" s="85" t="s">
        <v>4</v>
      </c>
      <c r="C25" t="s">
        <v>34</v>
      </c>
      <c r="D25" s="93">
        <f t="shared" ref="D25:E39" si="18">AH25</f>
        <v>1625000</v>
      </c>
      <c r="E25" s="93">
        <f t="shared" si="18"/>
        <v>4275000</v>
      </c>
      <c r="F25" s="93">
        <f>F24</f>
        <v>74000000</v>
      </c>
      <c r="G25" s="21">
        <f t="shared" ref="G25:G39" si="19">AQ9/H25</f>
        <v>48344975.582268953</v>
      </c>
      <c r="H25" s="94">
        <f t="shared" si="2"/>
        <v>1.3310000000000004</v>
      </c>
      <c r="I25" s="95">
        <f t="shared" ref="I25:J39" si="20">I9</f>
        <v>8760</v>
      </c>
      <c r="J25" s="95">
        <f t="shared" si="20"/>
        <v>17520</v>
      </c>
      <c r="K25" s="96">
        <v>95.8</v>
      </c>
      <c r="L25" s="96">
        <f t="shared" ref="L25:L39" si="21">L9</f>
        <v>1.0768906249999999</v>
      </c>
      <c r="M25" s="95"/>
      <c r="V25" s="85" t="s">
        <v>4</v>
      </c>
      <c r="W25" t="s">
        <v>34</v>
      </c>
      <c r="X25" s="97">
        <f t="shared" ref="X25:X39" si="22">X24*(1+$X$5)</f>
        <v>1.3310000000000004</v>
      </c>
      <c r="AC25" s="85" t="s">
        <v>4</v>
      </c>
      <c r="AD25" t="s">
        <v>34</v>
      </c>
      <c r="AE25" s="60">
        <f t="shared" ref="AE25:AE39" si="23">AE24*(1+$AD$5)</f>
        <v>1024999.9999999999</v>
      </c>
      <c r="AF25" s="97"/>
      <c r="AG25" s="20">
        <f t="shared" ref="AG25:AG39" si="24">AG9</f>
        <v>600000</v>
      </c>
      <c r="AH25" s="20">
        <f t="shared" si="4"/>
        <v>1625000</v>
      </c>
      <c r="AI25" s="20">
        <f>AH25+AI24</f>
        <v>4275000</v>
      </c>
      <c r="AO25" s="85"/>
      <c r="AP25" s="85"/>
    </row>
    <row r="26" spans="2:47" x14ac:dyDescent="0.3">
      <c r="B26" s="85" t="s">
        <v>5</v>
      </c>
      <c r="C26" t="s">
        <v>34</v>
      </c>
      <c r="D26" s="93">
        <f t="shared" si="18"/>
        <v>1650624.9999999998</v>
      </c>
      <c r="E26" s="93">
        <f t="shared" si="18"/>
        <v>5925625</v>
      </c>
      <c r="F26" s="93">
        <f t="shared" ref="F26:F39" si="25">F25</f>
        <v>74000000</v>
      </c>
      <c r="G26" s="21">
        <f t="shared" si="19"/>
        <v>40983354.300423451</v>
      </c>
      <c r="H26" s="94">
        <f t="shared" si="2"/>
        <v>1.4641000000000006</v>
      </c>
      <c r="I26" s="95">
        <f t="shared" si="20"/>
        <v>8784</v>
      </c>
      <c r="J26" s="95">
        <f t="shared" si="20"/>
        <v>26304</v>
      </c>
      <c r="K26" s="96">
        <v>95.8</v>
      </c>
      <c r="L26" s="96">
        <f t="shared" si="21"/>
        <v>1.1038128906249998</v>
      </c>
      <c r="M26" s="95"/>
      <c r="V26" s="85" t="s">
        <v>5</v>
      </c>
      <c r="W26" t="s">
        <v>34</v>
      </c>
      <c r="X26" s="97">
        <f t="shared" si="22"/>
        <v>1.4641000000000006</v>
      </c>
      <c r="AC26" s="85" t="s">
        <v>5</v>
      </c>
      <c r="AD26" t="s">
        <v>34</v>
      </c>
      <c r="AE26" s="60">
        <f t="shared" si="23"/>
        <v>1050624.9999999998</v>
      </c>
      <c r="AF26" s="97"/>
      <c r="AG26" s="20">
        <f t="shared" si="24"/>
        <v>600000</v>
      </c>
      <c r="AH26" s="20">
        <f t="shared" si="4"/>
        <v>1650624.9999999998</v>
      </c>
      <c r="AI26" s="20">
        <f t="shared" ref="AI26:AI39" si="26">AH26+AI25</f>
        <v>5925625</v>
      </c>
      <c r="AO26" s="85"/>
      <c r="AP26" s="85"/>
    </row>
    <row r="27" spans="2:47" x14ac:dyDescent="0.3">
      <c r="B27" s="85" t="s">
        <v>6</v>
      </c>
      <c r="C27" t="s">
        <v>34</v>
      </c>
      <c r="D27" s="93">
        <f t="shared" si="18"/>
        <v>1676890.6249999998</v>
      </c>
      <c r="E27" s="93">
        <f t="shared" si="18"/>
        <v>7602515.625</v>
      </c>
      <c r="F27" s="93">
        <f t="shared" si="25"/>
        <v>74000000</v>
      </c>
      <c r="G27" s="21">
        <f t="shared" si="19"/>
        <v>34742707.168313518</v>
      </c>
      <c r="H27" s="94">
        <f t="shared" si="2"/>
        <v>1.6105100000000008</v>
      </c>
      <c r="I27" s="95">
        <f t="shared" si="20"/>
        <v>8760</v>
      </c>
      <c r="J27" s="95">
        <f t="shared" si="20"/>
        <v>35064</v>
      </c>
      <c r="K27" s="96">
        <v>95.8</v>
      </c>
      <c r="L27" s="96">
        <f t="shared" si="21"/>
        <v>1.1314082128906247</v>
      </c>
      <c r="M27" s="95"/>
      <c r="V27" s="85" t="s">
        <v>6</v>
      </c>
      <c r="W27" t="s">
        <v>34</v>
      </c>
      <c r="X27" s="97">
        <f t="shared" si="22"/>
        <v>1.6105100000000008</v>
      </c>
      <c r="AC27" s="85" t="s">
        <v>6</v>
      </c>
      <c r="AD27" t="s">
        <v>34</v>
      </c>
      <c r="AE27" s="60">
        <f t="shared" si="23"/>
        <v>1076890.6249999998</v>
      </c>
      <c r="AF27" s="97"/>
      <c r="AG27" s="20">
        <f t="shared" si="24"/>
        <v>600000</v>
      </c>
      <c r="AH27" s="20">
        <f t="shared" si="4"/>
        <v>1676890.6249999998</v>
      </c>
      <c r="AI27" s="20">
        <f t="shared" si="26"/>
        <v>7602515.625</v>
      </c>
      <c r="AO27" s="85"/>
      <c r="AP27" s="85"/>
    </row>
    <row r="28" spans="2:47" x14ac:dyDescent="0.3">
      <c r="B28" s="85" t="s">
        <v>7</v>
      </c>
      <c r="C28" t="s">
        <v>34</v>
      </c>
      <c r="D28" s="93">
        <f t="shared" si="18"/>
        <v>1703812.8906249998</v>
      </c>
      <c r="E28" s="93">
        <f t="shared" si="18"/>
        <v>9306328.515625</v>
      </c>
      <c r="F28" s="93">
        <f t="shared" si="25"/>
        <v>74000000</v>
      </c>
      <c r="G28" s="21">
        <f t="shared" si="19"/>
        <v>29452340.394956678</v>
      </c>
      <c r="H28" s="94">
        <f t="shared" si="2"/>
        <v>1.7715610000000011</v>
      </c>
      <c r="I28" s="95">
        <f t="shared" si="20"/>
        <v>8760</v>
      </c>
      <c r="J28" s="95">
        <f t="shared" si="20"/>
        <v>43824</v>
      </c>
      <c r="K28" s="96">
        <v>95.8</v>
      </c>
      <c r="L28" s="96">
        <f t="shared" si="21"/>
        <v>1.1596934182128902</v>
      </c>
      <c r="V28" s="85" t="s">
        <v>7</v>
      </c>
      <c r="W28" t="s">
        <v>34</v>
      </c>
      <c r="X28" s="97">
        <f t="shared" si="22"/>
        <v>1.7715610000000011</v>
      </c>
      <c r="AC28" s="85" t="s">
        <v>7</v>
      </c>
      <c r="AD28" t="s">
        <v>34</v>
      </c>
      <c r="AE28" s="60">
        <f t="shared" si="23"/>
        <v>1103812.8906249998</v>
      </c>
      <c r="AF28" s="97"/>
      <c r="AG28" s="20">
        <f t="shared" si="24"/>
        <v>600000</v>
      </c>
      <c r="AH28" s="20">
        <f t="shared" si="4"/>
        <v>1703812.8906249998</v>
      </c>
      <c r="AI28" s="20">
        <f t="shared" si="26"/>
        <v>9306328.515625</v>
      </c>
      <c r="AO28" s="85"/>
      <c r="AP28" s="85"/>
    </row>
    <row r="29" spans="2:47" x14ac:dyDescent="0.3">
      <c r="B29" s="85" t="s">
        <v>8</v>
      </c>
      <c r="C29" t="s">
        <v>34</v>
      </c>
      <c r="D29" s="93">
        <f t="shared" si="18"/>
        <v>1731408.2128906248</v>
      </c>
      <c r="E29" s="93">
        <f t="shared" si="18"/>
        <v>11037736.728515625</v>
      </c>
      <c r="F29" s="93">
        <f t="shared" si="25"/>
        <v>74000000</v>
      </c>
      <c r="G29" s="21">
        <f t="shared" si="19"/>
        <v>24967552.19845191</v>
      </c>
      <c r="H29" s="94">
        <f t="shared" si="2"/>
        <v>1.9487171000000014</v>
      </c>
      <c r="I29" s="95">
        <f t="shared" si="20"/>
        <v>8760</v>
      </c>
      <c r="J29" s="95">
        <f t="shared" si="20"/>
        <v>52584</v>
      </c>
      <c r="K29" s="96">
        <v>95.8</v>
      </c>
      <c r="L29" s="96">
        <f t="shared" si="21"/>
        <v>1.1886857536682123</v>
      </c>
      <c r="V29" s="85" t="s">
        <v>8</v>
      </c>
      <c r="W29" t="s">
        <v>34</v>
      </c>
      <c r="X29" s="97">
        <f t="shared" si="22"/>
        <v>1.9487171000000014</v>
      </c>
      <c r="AC29" s="85" t="s">
        <v>8</v>
      </c>
      <c r="AD29" t="s">
        <v>34</v>
      </c>
      <c r="AE29" s="60">
        <f t="shared" si="23"/>
        <v>1131408.2128906248</v>
      </c>
      <c r="AF29" s="97"/>
      <c r="AG29" s="20">
        <f t="shared" si="24"/>
        <v>600000</v>
      </c>
      <c r="AH29" s="20">
        <f t="shared" si="4"/>
        <v>1731408.2128906248</v>
      </c>
      <c r="AI29" s="20">
        <f t="shared" si="26"/>
        <v>11037736.728515625</v>
      </c>
      <c r="AO29" s="85"/>
      <c r="AP29" s="85"/>
    </row>
    <row r="30" spans="2:47" x14ac:dyDescent="0.3">
      <c r="B30" s="85" t="s">
        <v>9</v>
      </c>
      <c r="C30" t="s">
        <v>34</v>
      </c>
      <c r="D30" s="93">
        <f t="shared" si="18"/>
        <v>1759693.4182128904</v>
      </c>
      <c r="E30" s="93">
        <f t="shared" si="18"/>
        <v>12797430.146728516</v>
      </c>
      <c r="F30" s="93">
        <f t="shared" si="25"/>
        <v>74000000</v>
      </c>
      <c r="G30" s="21">
        <f t="shared" si="19"/>
        <v>21165674.931869458</v>
      </c>
      <c r="H30" s="94">
        <f t="shared" si="2"/>
        <v>2.1435888100000016</v>
      </c>
      <c r="I30" s="95">
        <f t="shared" si="20"/>
        <v>8784</v>
      </c>
      <c r="J30" s="95">
        <f t="shared" si="20"/>
        <v>61368</v>
      </c>
      <c r="K30" s="96">
        <v>95.8</v>
      </c>
      <c r="L30" s="96">
        <f t="shared" si="21"/>
        <v>1.2184028975099175</v>
      </c>
      <c r="V30" s="85" t="s">
        <v>9</v>
      </c>
      <c r="W30" t="s">
        <v>34</v>
      </c>
      <c r="X30" s="97">
        <f t="shared" si="22"/>
        <v>2.1435888100000016</v>
      </c>
      <c r="AC30" s="85" t="s">
        <v>9</v>
      </c>
      <c r="AD30" t="s">
        <v>34</v>
      </c>
      <c r="AE30" s="60">
        <f t="shared" si="23"/>
        <v>1159693.4182128904</v>
      </c>
      <c r="AF30" s="97"/>
      <c r="AG30" s="20">
        <f t="shared" si="24"/>
        <v>600000</v>
      </c>
      <c r="AH30" s="20">
        <f t="shared" si="4"/>
        <v>1759693.4182128904</v>
      </c>
      <c r="AI30" s="20">
        <f t="shared" si="26"/>
        <v>12797430.146728516</v>
      </c>
      <c r="AO30" s="85"/>
      <c r="AP30" s="85"/>
    </row>
    <row r="31" spans="2:47" x14ac:dyDescent="0.3">
      <c r="B31" s="85" t="s">
        <v>10</v>
      </c>
      <c r="C31" t="s">
        <v>34</v>
      </c>
      <c r="D31" s="93">
        <f t="shared" si="18"/>
        <v>1788685.7536682126</v>
      </c>
      <c r="E31" s="93">
        <f t="shared" si="18"/>
        <v>14586115.900396729</v>
      </c>
      <c r="F31" s="93">
        <f t="shared" si="25"/>
        <v>74000000</v>
      </c>
      <c r="G31" s="21">
        <f t="shared" si="19"/>
        <v>17942719.885425702</v>
      </c>
      <c r="H31" s="94">
        <f t="shared" si="2"/>
        <v>2.3579476910000019</v>
      </c>
      <c r="I31" s="95">
        <f t="shared" si="20"/>
        <v>8760</v>
      </c>
      <c r="J31" s="95">
        <f t="shared" si="20"/>
        <v>70128</v>
      </c>
      <c r="K31" s="96">
        <v>95.8</v>
      </c>
      <c r="L31" s="96">
        <f t="shared" si="21"/>
        <v>1.2488629699476652</v>
      </c>
      <c r="V31" s="85" t="s">
        <v>10</v>
      </c>
      <c r="W31" t="s">
        <v>34</v>
      </c>
      <c r="X31" s="97">
        <f t="shared" si="22"/>
        <v>2.3579476910000019</v>
      </c>
      <c r="AC31" s="85" t="s">
        <v>10</v>
      </c>
      <c r="AD31" t="s">
        <v>34</v>
      </c>
      <c r="AE31" s="60">
        <f t="shared" si="23"/>
        <v>1188685.7536682126</v>
      </c>
      <c r="AF31" s="97"/>
      <c r="AG31" s="20">
        <f t="shared" si="24"/>
        <v>600000</v>
      </c>
      <c r="AH31" s="20">
        <f t="shared" si="4"/>
        <v>1788685.7536682126</v>
      </c>
      <c r="AI31" s="20">
        <f t="shared" si="26"/>
        <v>14586115.900396729</v>
      </c>
      <c r="AO31" s="85"/>
      <c r="AP31" s="85"/>
    </row>
    <row r="32" spans="2:47" x14ac:dyDescent="0.3">
      <c r="B32" s="85" t="s">
        <v>11</v>
      </c>
      <c r="C32" t="s">
        <v>34</v>
      </c>
      <c r="D32" s="93">
        <f t="shared" si="18"/>
        <v>1818402.8975099178</v>
      </c>
      <c r="E32" s="93">
        <f t="shared" si="18"/>
        <v>16404518.797906647</v>
      </c>
      <c r="F32" s="93">
        <f t="shared" si="25"/>
        <v>74000000</v>
      </c>
      <c r="G32" s="21">
        <f t="shared" si="19"/>
        <v>15210532.99378133</v>
      </c>
      <c r="H32" s="94">
        <f t="shared" si="2"/>
        <v>2.5937424601000023</v>
      </c>
      <c r="I32" s="95">
        <f t="shared" si="20"/>
        <v>8760</v>
      </c>
      <c r="J32" s="95">
        <f t="shared" si="20"/>
        <v>78888</v>
      </c>
      <c r="K32" s="96">
        <v>95.8</v>
      </c>
      <c r="L32" s="96">
        <f t="shared" si="21"/>
        <v>1.2800845441963566</v>
      </c>
      <c r="V32" s="85" t="s">
        <v>11</v>
      </c>
      <c r="W32" t="s">
        <v>34</v>
      </c>
      <c r="X32" s="97">
        <f t="shared" si="22"/>
        <v>2.5937424601000023</v>
      </c>
      <c r="AC32" s="85" t="s">
        <v>11</v>
      </c>
      <c r="AD32" t="s">
        <v>34</v>
      </c>
      <c r="AE32" s="60">
        <f t="shared" si="23"/>
        <v>1218402.8975099178</v>
      </c>
      <c r="AF32" s="97"/>
      <c r="AG32" s="20">
        <f t="shared" si="24"/>
        <v>600000</v>
      </c>
      <c r="AH32" s="20">
        <f t="shared" si="4"/>
        <v>1818402.8975099178</v>
      </c>
      <c r="AI32" s="20">
        <f t="shared" si="26"/>
        <v>16404518.797906647</v>
      </c>
      <c r="AO32" s="85"/>
      <c r="AP32" s="85"/>
    </row>
    <row r="33" spans="2:42" x14ac:dyDescent="0.3">
      <c r="B33" s="85" t="s">
        <v>12</v>
      </c>
      <c r="C33" t="s">
        <v>34</v>
      </c>
      <c r="D33" s="93">
        <f t="shared" si="18"/>
        <v>1848862.9699476657</v>
      </c>
      <c r="E33" s="93">
        <f t="shared" si="18"/>
        <v>18253381.767854311</v>
      </c>
      <c r="F33" s="93">
        <f t="shared" si="25"/>
        <v>74000000</v>
      </c>
      <c r="G33" s="21">
        <f t="shared" si="19"/>
        <v>12894383.651546447</v>
      </c>
      <c r="H33" s="94">
        <f t="shared" si="2"/>
        <v>2.8531167061100029</v>
      </c>
      <c r="I33" s="95">
        <f t="shared" si="20"/>
        <v>8760</v>
      </c>
      <c r="J33" s="95">
        <f t="shared" si="20"/>
        <v>87648</v>
      </c>
      <c r="K33" s="96">
        <v>95.8</v>
      </c>
      <c r="L33" s="96">
        <f t="shared" si="21"/>
        <v>1.3120866578012655</v>
      </c>
      <c r="V33" s="85" t="s">
        <v>12</v>
      </c>
      <c r="W33" t="s">
        <v>34</v>
      </c>
      <c r="X33" s="97">
        <f t="shared" si="22"/>
        <v>2.8531167061100029</v>
      </c>
      <c r="AC33" s="85" t="s">
        <v>12</v>
      </c>
      <c r="AD33" t="s">
        <v>34</v>
      </c>
      <c r="AE33" s="60">
        <f t="shared" si="23"/>
        <v>1248862.9699476657</v>
      </c>
      <c r="AF33" s="97"/>
      <c r="AG33" s="20">
        <f t="shared" si="24"/>
        <v>600000</v>
      </c>
      <c r="AH33" s="20">
        <f t="shared" si="4"/>
        <v>1848862.9699476657</v>
      </c>
      <c r="AI33" s="20">
        <f t="shared" si="26"/>
        <v>18253381.767854311</v>
      </c>
      <c r="AO33" s="85"/>
      <c r="AP33" s="85"/>
    </row>
    <row r="34" spans="2:42" x14ac:dyDescent="0.3">
      <c r="B34" s="85" t="s">
        <v>13</v>
      </c>
      <c r="C34" t="s">
        <v>34</v>
      </c>
      <c r="D34" s="93">
        <f t="shared" si="18"/>
        <v>3020084.544196357</v>
      </c>
      <c r="E34" s="93">
        <f t="shared" si="18"/>
        <v>21273466.312050667</v>
      </c>
      <c r="F34" s="93">
        <f t="shared" si="25"/>
        <v>74000000</v>
      </c>
      <c r="G34" s="21">
        <f t="shared" si="19"/>
        <v>10930920.6864246</v>
      </c>
      <c r="H34" s="94">
        <f t="shared" si="2"/>
        <v>3.1384283767210035</v>
      </c>
      <c r="I34" s="95">
        <f t="shared" si="20"/>
        <v>8784</v>
      </c>
      <c r="J34" s="95">
        <f t="shared" si="20"/>
        <v>96432</v>
      </c>
      <c r="K34" s="96">
        <v>95.8</v>
      </c>
      <c r="L34" s="96">
        <f t="shared" si="21"/>
        <v>1.3448888242462971</v>
      </c>
      <c r="V34" s="85" t="s">
        <v>13</v>
      </c>
      <c r="W34" t="s">
        <v>34</v>
      </c>
      <c r="X34" s="97">
        <f t="shared" si="22"/>
        <v>3.1384283767210035</v>
      </c>
      <c r="AC34" s="85" t="s">
        <v>13</v>
      </c>
      <c r="AD34" t="s">
        <v>34</v>
      </c>
      <c r="AE34" s="60">
        <f t="shared" si="23"/>
        <v>1280084.5441963573</v>
      </c>
      <c r="AF34" s="15">
        <f>4500000/10*(2037-2032)/2</f>
        <v>1125000</v>
      </c>
      <c r="AG34" s="20">
        <f t="shared" si="24"/>
        <v>615000</v>
      </c>
      <c r="AH34" s="20">
        <f t="shared" si="4"/>
        <v>3020084.544196357</v>
      </c>
      <c r="AI34" s="20">
        <f t="shared" si="26"/>
        <v>21273466.312050667</v>
      </c>
      <c r="AO34" s="85"/>
      <c r="AP34" s="85"/>
    </row>
    <row r="35" spans="2:42" x14ac:dyDescent="0.3">
      <c r="B35" s="85" t="s">
        <v>14</v>
      </c>
      <c r="C35" t="s">
        <v>34</v>
      </c>
      <c r="D35" s="93">
        <f t="shared" si="18"/>
        <v>1942461.6578012661</v>
      </c>
      <c r="E35" s="93">
        <f t="shared" si="18"/>
        <v>23215927.969851933</v>
      </c>
      <c r="F35" s="93">
        <f t="shared" si="25"/>
        <v>74000000</v>
      </c>
      <c r="G35" s="21">
        <f t="shared" si="19"/>
        <v>9266439.5819008537</v>
      </c>
      <c r="H35" s="94">
        <f t="shared" si="2"/>
        <v>3.4522712143931042</v>
      </c>
      <c r="I35" s="95">
        <f t="shared" si="20"/>
        <v>8760</v>
      </c>
      <c r="J35" s="95">
        <f t="shared" si="20"/>
        <v>105192</v>
      </c>
      <c r="K35" s="96">
        <v>95.8</v>
      </c>
      <c r="L35" s="96">
        <f t="shared" si="21"/>
        <v>1.3785110448524545</v>
      </c>
      <c r="V35" s="85" t="s">
        <v>14</v>
      </c>
      <c r="W35" t="s">
        <v>34</v>
      </c>
      <c r="X35" s="97">
        <f t="shared" si="22"/>
        <v>3.4522712143931042</v>
      </c>
      <c r="AC35" s="85" t="s">
        <v>14</v>
      </c>
      <c r="AD35" t="s">
        <v>34</v>
      </c>
      <c r="AE35" s="60">
        <f t="shared" si="23"/>
        <v>1312086.6578012661</v>
      </c>
      <c r="AF35" s="97"/>
      <c r="AG35" s="20">
        <f t="shared" si="24"/>
        <v>630375</v>
      </c>
      <c r="AH35" s="20">
        <f t="shared" si="4"/>
        <v>1942461.6578012661</v>
      </c>
      <c r="AI35" s="20">
        <f t="shared" si="26"/>
        <v>23215927.969851933</v>
      </c>
      <c r="AO35" s="85"/>
      <c r="AP35" s="85"/>
    </row>
    <row r="36" spans="2:42" x14ac:dyDescent="0.3">
      <c r="B36" s="85" t="s">
        <v>15</v>
      </c>
      <c r="C36" t="s">
        <v>34</v>
      </c>
      <c r="D36" s="93">
        <f t="shared" si="18"/>
        <v>1991023.1992462976</v>
      </c>
      <c r="E36" s="93">
        <f t="shared" si="18"/>
        <v>25206951.169098232</v>
      </c>
      <c r="F36" s="93">
        <f t="shared" si="25"/>
        <v>74000000</v>
      </c>
      <c r="G36" s="21">
        <f t="shared" si="19"/>
        <v>7855413.5546568586</v>
      </c>
      <c r="H36" s="94">
        <f t="shared" si="2"/>
        <v>3.7974983358324148</v>
      </c>
      <c r="I36" s="95">
        <f t="shared" si="20"/>
        <v>8760</v>
      </c>
      <c r="J36" s="95">
        <f t="shared" si="20"/>
        <v>113952</v>
      </c>
      <c r="K36" s="96">
        <v>95.8</v>
      </c>
      <c r="L36" s="96">
        <f t="shared" si="21"/>
        <v>1.4129738209737657</v>
      </c>
      <c r="V36" s="85" t="s">
        <v>15</v>
      </c>
      <c r="W36" t="s">
        <v>34</v>
      </c>
      <c r="X36" s="97">
        <f t="shared" si="22"/>
        <v>3.7974983358324148</v>
      </c>
      <c r="AC36" s="85" t="s">
        <v>15</v>
      </c>
      <c r="AD36" t="s">
        <v>34</v>
      </c>
      <c r="AE36" s="60">
        <f t="shared" si="23"/>
        <v>1344888.8242462976</v>
      </c>
      <c r="AF36" s="97"/>
      <c r="AG36" s="20">
        <f t="shared" si="24"/>
        <v>646134.375</v>
      </c>
      <c r="AH36" s="20">
        <f t="shared" si="4"/>
        <v>1991023.1992462976</v>
      </c>
      <c r="AI36" s="20">
        <f t="shared" si="26"/>
        <v>25206951.169098232</v>
      </c>
      <c r="AO36" s="85"/>
      <c r="AP36" s="85"/>
    </row>
    <row r="37" spans="2:42" x14ac:dyDescent="0.3">
      <c r="B37" s="85" t="s">
        <v>16</v>
      </c>
      <c r="C37" t="s">
        <v>34</v>
      </c>
      <c r="D37" s="93">
        <f t="shared" si="18"/>
        <v>2040798.7792274549</v>
      </c>
      <c r="E37" s="93">
        <f t="shared" si="18"/>
        <v>27247749.948325686</v>
      </c>
      <c r="F37" s="93">
        <f t="shared" si="25"/>
        <v>74000000</v>
      </c>
      <c r="G37" s="21">
        <f t="shared" si="19"/>
        <v>6659248.3088341104</v>
      </c>
      <c r="H37" s="94">
        <f t="shared" si="2"/>
        <v>4.1772481694156562</v>
      </c>
      <c r="I37" s="95">
        <f t="shared" si="20"/>
        <v>8760</v>
      </c>
      <c r="J37" s="95">
        <f t="shared" si="20"/>
        <v>122712</v>
      </c>
      <c r="K37" s="96">
        <v>95.8</v>
      </c>
      <c r="L37" s="96">
        <f t="shared" si="21"/>
        <v>1.4482981664981096</v>
      </c>
      <c r="V37" s="85" t="s">
        <v>16</v>
      </c>
      <c r="W37" t="s">
        <v>34</v>
      </c>
      <c r="X37" s="97">
        <f t="shared" si="22"/>
        <v>4.1772481694156562</v>
      </c>
      <c r="AC37" s="85" t="s">
        <v>16</v>
      </c>
      <c r="AD37" t="s">
        <v>34</v>
      </c>
      <c r="AE37" s="60">
        <f t="shared" si="23"/>
        <v>1378511.0448524549</v>
      </c>
      <c r="AF37" s="97"/>
      <c r="AG37" s="20">
        <f t="shared" si="24"/>
        <v>662287.734375</v>
      </c>
      <c r="AH37" s="20">
        <f t="shared" si="4"/>
        <v>2040798.7792274549</v>
      </c>
      <c r="AI37" s="20">
        <f t="shared" si="26"/>
        <v>27247749.948325686</v>
      </c>
      <c r="AO37" s="85"/>
      <c r="AP37" s="85"/>
    </row>
    <row r="38" spans="2:42" x14ac:dyDescent="0.3">
      <c r="B38" s="85" t="s">
        <v>17</v>
      </c>
      <c r="C38" t="s">
        <v>34</v>
      </c>
      <c r="D38" s="93">
        <f t="shared" si="18"/>
        <v>2091818.748708141</v>
      </c>
      <c r="E38" s="93">
        <f t="shared" si="18"/>
        <v>29339568.697033826</v>
      </c>
      <c r="F38" s="93">
        <f t="shared" si="25"/>
        <v>74000000</v>
      </c>
      <c r="G38" s="21">
        <f t="shared" si="19"/>
        <v>5645226.4072616436</v>
      </c>
      <c r="H38" s="94">
        <f t="shared" si="2"/>
        <v>4.594972986357222</v>
      </c>
      <c r="I38" s="95">
        <f t="shared" si="20"/>
        <v>8784</v>
      </c>
      <c r="J38" s="95">
        <f t="shared" si="20"/>
        <v>131496</v>
      </c>
      <c r="K38" s="96">
        <v>95.8</v>
      </c>
      <c r="L38" s="96">
        <f t="shared" si="21"/>
        <v>1.4845056206605622</v>
      </c>
      <c r="V38" s="85" t="s">
        <v>17</v>
      </c>
      <c r="W38" t="s">
        <v>34</v>
      </c>
      <c r="X38" s="97">
        <f t="shared" si="22"/>
        <v>4.594972986357222</v>
      </c>
      <c r="AC38" s="85" t="s">
        <v>17</v>
      </c>
      <c r="AD38" t="s">
        <v>34</v>
      </c>
      <c r="AE38" s="60">
        <f t="shared" si="23"/>
        <v>1412973.8209737663</v>
      </c>
      <c r="AF38" s="97"/>
      <c r="AG38" s="20">
        <f t="shared" si="24"/>
        <v>678844.92773437488</v>
      </c>
      <c r="AH38" s="20">
        <f t="shared" si="4"/>
        <v>2091818.748708141</v>
      </c>
      <c r="AI38" s="20">
        <f t="shared" si="26"/>
        <v>29339568.697033826</v>
      </c>
      <c r="AO38" s="85"/>
      <c r="AP38" s="85"/>
    </row>
    <row r="39" spans="2:42" x14ac:dyDescent="0.3">
      <c r="B39" s="85" t="s">
        <v>18</v>
      </c>
      <c r="C39" t="s">
        <v>34</v>
      </c>
      <c r="D39" s="93">
        <f t="shared" si="18"/>
        <v>2144114.2174258446</v>
      </c>
      <c r="E39" s="93">
        <f t="shared" si="18"/>
        <v>31483682.914459672</v>
      </c>
      <c r="F39" s="93">
        <f t="shared" si="25"/>
        <v>74000000</v>
      </c>
      <c r="G39" s="21">
        <f t="shared" si="19"/>
        <v>4785612.3861558922</v>
      </c>
      <c r="H39" s="94">
        <f t="shared" si="2"/>
        <v>5.0544702849929442</v>
      </c>
      <c r="I39" s="95">
        <f t="shared" si="20"/>
        <v>8760</v>
      </c>
      <c r="J39" s="95">
        <f t="shared" si="20"/>
        <v>140256</v>
      </c>
      <c r="K39" s="96">
        <v>95.8</v>
      </c>
      <c r="L39" s="96">
        <f t="shared" si="21"/>
        <v>1.5216182611770761</v>
      </c>
      <c r="V39" s="85" t="s">
        <v>18</v>
      </c>
      <c r="W39" t="s">
        <v>34</v>
      </c>
      <c r="X39" s="97">
        <f t="shared" si="22"/>
        <v>5.0544702849929442</v>
      </c>
      <c r="AC39" s="85" t="s">
        <v>18</v>
      </c>
      <c r="AD39" t="s">
        <v>34</v>
      </c>
      <c r="AE39" s="60">
        <f t="shared" si="23"/>
        <v>1448298.1664981104</v>
      </c>
      <c r="AF39" s="97"/>
      <c r="AG39" s="20">
        <f t="shared" si="24"/>
        <v>695816.05092773424</v>
      </c>
      <c r="AH39" s="20">
        <f t="shared" si="4"/>
        <v>2144114.2174258446</v>
      </c>
      <c r="AI39" s="20">
        <f t="shared" si="26"/>
        <v>31483682.914459672</v>
      </c>
      <c r="AO39" s="85"/>
      <c r="AP39" s="8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3C8B5-7835-4316-9373-2C7C05887C88}">
  <dimension ref="A2:AZ260"/>
  <sheetViews>
    <sheetView tabSelected="1" topLeftCell="W1" workbookViewId="0">
      <selection activeCell="AF5" sqref="AF5:AF260"/>
    </sheetView>
  </sheetViews>
  <sheetFormatPr defaultRowHeight="15.05" x14ac:dyDescent="0.3"/>
  <cols>
    <col min="3" max="3" width="11.33203125" customWidth="1"/>
    <col min="4" max="4" width="10.6640625" customWidth="1"/>
    <col min="6" max="6" width="15.88671875" bestFit="1" customWidth="1"/>
    <col min="7" max="12" width="15.88671875" customWidth="1"/>
    <col min="13" max="13" width="13.21875" customWidth="1"/>
    <col min="14" max="14" width="10.88671875" customWidth="1"/>
    <col min="15" max="15" width="12.21875" customWidth="1"/>
    <col min="16" max="16" width="10.88671875" bestFit="1" customWidth="1"/>
    <col min="17" max="17" width="12.33203125" customWidth="1"/>
    <col min="18" max="18" width="10.88671875" bestFit="1" customWidth="1"/>
    <col min="19" max="23" width="10.88671875" customWidth="1"/>
    <col min="24" max="24" width="10.88671875" bestFit="1" customWidth="1"/>
    <col min="25" max="25" width="11.21875" customWidth="1"/>
    <col min="26" max="31" width="10.88671875" customWidth="1"/>
    <col min="32" max="34" width="11.44140625" bestFit="1" customWidth="1"/>
    <col min="38" max="38" width="10.77734375" bestFit="1" customWidth="1"/>
    <col min="39" max="39" width="12.5546875" bestFit="1" customWidth="1"/>
    <col min="40" max="40" width="14.77734375" customWidth="1"/>
    <col min="42" max="42" width="11.44140625" bestFit="1" customWidth="1"/>
    <col min="49" max="49" width="14.6640625" bestFit="1" customWidth="1"/>
    <col min="50" max="50" width="14.44140625" bestFit="1" customWidth="1"/>
    <col min="51" max="51" width="12" bestFit="1" customWidth="1"/>
  </cols>
  <sheetData>
    <row r="2" spans="1:52" x14ac:dyDescent="0.3">
      <c r="B2" s="1" t="s">
        <v>111</v>
      </c>
      <c r="AL2" s="1" t="s">
        <v>112</v>
      </c>
    </row>
    <row r="3" spans="1:52" x14ac:dyDescent="0.3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</row>
    <row r="4" spans="1:52" ht="75.3" x14ac:dyDescent="0.3">
      <c r="B4" s="98" t="s">
        <v>58</v>
      </c>
      <c r="C4" s="98" t="s">
        <v>59</v>
      </c>
      <c r="D4" s="98" t="s">
        <v>0</v>
      </c>
      <c r="E4" s="98" t="s">
        <v>20</v>
      </c>
      <c r="F4" s="98" t="s">
        <v>60</v>
      </c>
      <c r="G4" s="98" t="s">
        <v>61</v>
      </c>
      <c r="H4" s="98" t="s">
        <v>113</v>
      </c>
      <c r="I4" s="98" t="s">
        <v>63</v>
      </c>
      <c r="J4" s="98" t="s">
        <v>114</v>
      </c>
      <c r="K4" s="98" t="s">
        <v>115</v>
      </c>
      <c r="L4" s="98" t="s">
        <v>116</v>
      </c>
      <c r="M4" s="98" t="s">
        <v>107</v>
      </c>
      <c r="N4" s="98" t="s">
        <v>83</v>
      </c>
      <c r="O4" s="98" t="s">
        <v>117</v>
      </c>
      <c r="P4" s="99" t="s">
        <v>118</v>
      </c>
      <c r="Q4" s="99" t="s">
        <v>119</v>
      </c>
      <c r="R4" s="99" t="s">
        <v>120</v>
      </c>
      <c r="S4" s="100" t="s">
        <v>121</v>
      </c>
      <c r="T4" s="112" t="s">
        <v>132</v>
      </c>
      <c r="U4" s="112" t="s">
        <v>133</v>
      </c>
      <c r="V4" s="112" t="s">
        <v>134</v>
      </c>
      <c r="W4" s="112" t="s">
        <v>135</v>
      </c>
      <c r="X4" s="101" t="s">
        <v>122</v>
      </c>
      <c r="Y4" s="101" t="s">
        <v>123</v>
      </c>
      <c r="Z4" s="101" t="s">
        <v>124</v>
      </c>
      <c r="AA4" s="101" t="s">
        <v>136</v>
      </c>
      <c r="AB4" s="113" t="s">
        <v>137</v>
      </c>
      <c r="AC4" s="113" t="s">
        <v>138</v>
      </c>
      <c r="AD4" s="113" t="s">
        <v>139</v>
      </c>
      <c r="AE4" s="113" t="s">
        <v>140</v>
      </c>
      <c r="AF4" s="102" t="s">
        <v>125</v>
      </c>
      <c r="AG4" s="102" t="s">
        <v>126</v>
      </c>
      <c r="AH4" s="102" t="s">
        <v>127</v>
      </c>
      <c r="AI4" s="102" t="s">
        <v>141</v>
      </c>
      <c r="AL4" s="103" t="s">
        <v>128</v>
      </c>
      <c r="AM4" s="103" t="s">
        <v>129</v>
      </c>
      <c r="AN4" s="103" t="s">
        <v>130</v>
      </c>
      <c r="AP4" s="113" t="s">
        <v>144</v>
      </c>
      <c r="AX4" s="118"/>
    </row>
    <row r="5" spans="1:52" x14ac:dyDescent="0.3">
      <c r="A5">
        <v>1</v>
      </c>
      <c r="B5" t="str">
        <f>Summary!B5</f>
        <v>MarinusPortland</v>
      </c>
      <c r="C5" t="str">
        <f>Summary!C5</f>
        <v>Wind</v>
      </c>
      <c r="D5" s="104">
        <f>Summary!D5</f>
        <v>1</v>
      </c>
      <c r="E5" t="str">
        <f>Summary!E5</f>
        <v>Cal-22</v>
      </c>
      <c r="F5" t="str">
        <f>Summary!F5</f>
        <v>Wartsila dual fuel</v>
      </c>
      <c r="G5" s="73">
        <f>SUMIFS(AL$5:AL5,$F$5:$F5,$F5,$D$5:$D5,$D5)</f>
        <v>42921549.349923119</v>
      </c>
      <c r="H5" s="73">
        <f>SUMIFS(AM$5:AM5,$F$5:$F5,$F5,$D$5:$D5,$D5)</f>
        <v>-9214907.5181044675</v>
      </c>
      <c r="I5" s="20">
        <f>SUMIFS(AN$5:AN5,$F$5:$F5,$F5,$D$5:$D5,$D5)</f>
        <v>11902262.444492944</v>
      </c>
      <c r="J5" s="73">
        <f>I5</f>
        <v>11902262.444492944</v>
      </c>
      <c r="K5" s="73">
        <f>SUM(G5,I5)</f>
        <v>54823811.794416063</v>
      </c>
      <c r="L5" s="73">
        <f>SUM(G5:I5)</f>
        <v>45608904.276311599</v>
      </c>
      <c r="M5" s="73">
        <f>-SUMIFS(FinParameters!$E$8:$E$39,FinParameters!$B$8:$B$39,Financials!$E5,FinParameters!$C$8:$C$39,Financials!$F5)</f>
        <v>-2650000</v>
      </c>
      <c r="N5" s="73">
        <f>-SUMIFS(FinParameters!$F$8:$F$39,FinParameters!$B$8:$B$39,Financials!$E5,FinParameters!$C$8:$C$39,Financials!$F5)</f>
        <v>-74000000</v>
      </c>
      <c r="O5" s="73">
        <f>SUMIFS(FinParameters!$G$8:$G$39,FinParameters!$B$8:$B$39,Financials!$E5,FinParameters!$C$8:$C$39,Financials!$F5)</f>
        <v>57028925.619834699</v>
      </c>
      <c r="P5" s="73">
        <f>SUM(J5,M5)</f>
        <v>9252262.4444929436</v>
      </c>
      <c r="Q5" s="73">
        <f>P5/SUMIFS(FinParameters!$H$8:$H$39,FinParameters!$B$8:$B$39,Financials!$E5,FinParameters!$C$8:$C$39,Financials!$F5)</f>
        <v>7646497.8880106956</v>
      </c>
      <c r="R5" s="73">
        <f>SUM(P5,N5:O5)</f>
        <v>-7718811.9356723577</v>
      </c>
      <c r="S5" s="12">
        <f>-R5/SUM($N5,$O5)</f>
        <v>-0.45482164315381279</v>
      </c>
      <c r="T5" s="114">
        <f>G5</f>
        <v>42921549.349923119</v>
      </c>
      <c r="U5" s="73">
        <f>T5/SUMIFS(FinParameters!$L$8:$L$39,FinParameters!$B$8:$B$39,Financials!$E5,FinParameters!$C$8:$C$39,Financials!$F5)</f>
        <v>40853348.578154072</v>
      </c>
      <c r="V5" s="73">
        <f>U5</f>
        <v>40853348.578154072</v>
      </c>
      <c r="W5" s="12"/>
      <c r="X5" s="73">
        <f>SUM(K5,M5)</f>
        <v>52173811.794416063</v>
      </c>
      <c r="Y5" s="73">
        <f>SUM(Q5,U5)</f>
        <v>48499846.466164768</v>
      </c>
      <c r="Z5" s="73">
        <f>SUM(R5,V5)</f>
        <v>33134536.642481714</v>
      </c>
      <c r="AA5" s="12">
        <f>-Z5/SUM($N5,$O5)</f>
        <v>1.9524124342538518</v>
      </c>
      <c r="AB5" s="114">
        <f>H5*AP5</f>
        <v>-9214907.5181044675</v>
      </c>
      <c r="AC5" s="73">
        <f>AB5/SUMIFS(FinParameters!$L$8:$L$39,FinParameters!$B$8:$B$39,Financials!$E5,FinParameters!$C$8:$C$39,Financials!$F5)</f>
        <v>-8770881.6353165675</v>
      </c>
      <c r="AD5" s="73">
        <f>AC5</f>
        <v>-8770881.6353165675</v>
      </c>
      <c r="AE5" s="12"/>
      <c r="AF5" s="73">
        <f>X5+AB5</f>
        <v>42958904.276311591</v>
      </c>
      <c r="AG5" s="73">
        <f>Y5+AC5</f>
        <v>39728964.830848202</v>
      </c>
      <c r="AH5" s="73">
        <f>Z5+AD5</f>
        <v>24363655.007165149</v>
      </c>
      <c r="AI5" s="12">
        <f>-AH5/SUM($N5,$O5)</f>
        <v>1.435598858469433</v>
      </c>
      <c r="AL5" s="73">
        <f>Summary!G5</f>
        <v>42921549.349923119</v>
      </c>
      <c r="AM5" s="73">
        <f>IF(D5&lt;&gt;"avg",SUMIFS(Summary!$H:$H,Summary!$C:$C,Financials!C5,Summary!$E:$E,Financials!E5,Summary!$D:$D,1-Financials!D5,Summary!$F:$F,Financials!F5),SUMIFS(Summary!$H:$H,Summary!$C:$C,Financials!C5,Summary!$E:$E,Financials!E5,Summary!$D:$D,"avg",Summary!$F:$F,Financials!F5))</f>
        <v>-9214907.5181044675</v>
      </c>
      <c r="AN5" s="20">
        <f>Summary!I5</f>
        <v>11902262.444492944</v>
      </c>
      <c r="AP5" s="12">
        <v>1</v>
      </c>
      <c r="AU5" s="104"/>
      <c r="AX5" s="20"/>
      <c r="AY5" s="119"/>
      <c r="AZ5" s="120"/>
    </row>
    <row r="6" spans="1:52" x14ac:dyDescent="0.3">
      <c r="A6">
        <v>2</v>
      </c>
      <c r="B6" t="str">
        <f>Summary!B6</f>
        <v>MarinusPortland</v>
      </c>
      <c r="C6" t="str">
        <f>Summary!C6</f>
        <v>Wind</v>
      </c>
      <c r="D6" s="104">
        <f>Summary!D6</f>
        <v>0.95</v>
      </c>
      <c r="E6" t="str">
        <f>Summary!E6</f>
        <v>Cal-22</v>
      </c>
      <c r="F6" t="str">
        <f>Summary!F6</f>
        <v>Wartsila dual fuel</v>
      </c>
      <c r="G6" s="73">
        <f>SUMIFS(AL$5:AL6,$F$5:$F6,$F6,$D$5:$D6,$D6)</f>
        <v>30217301.135695796</v>
      </c>
      <c r="H6" s="73">
        <f>SUMIFS(AM$5:AM6,$F$5:$F6,$F6,$D$5:$D6,$D6)</f>
        <v>-3924983.1195126427</v>
      </c>
      <c r="I6" s="20">
        <f>SUMIFS(AN$5:AN6,$F$5:$F6,$F6,$D$5:$D6,$D6)</f>
        <v>7874159.7120792056</v>
      </c>
      <c r="J6" s="73">
        <f t="shared" ref="J6:J69" si="0">I6</f>
        <v>7874159.7120792056</v>
      </c>
      <c r="K6" s="73">
        <f t="shared" ref="K6:K69" si="1">SUM(G6,I6)</f>
        <v>38091460.847775005</v>
      </c>
      <c r="L6" s="73">
        <f t="shared" ref="L6:L69" si="2">SUM(G6:I6)</f>
        <v>34166477.728262357</v>
      </c>
      <c r="M6" s="73">
        <f>-SUMIFS(FinParameters!$E$8:$E$39,FinParameters!$B$8:$B$39,Financials!$E6,FinParameters!$C$8:$C$39,Financials!$F6)</f>
        <v>-2650000</v>
      </c>
      <c r="N6" s="73">
        <f>-SUMIFS(FinParameters!$F$8:$F$39,FinParameters!$B$8:$B$39,Financials!$E6,FinParameters!$C$8:$C$39,Financials!$F6)</f>
        <v>-74000000</v>
      </c>
      <c r="O6" s="73">
        <f>SUMIFS(FinParameters!$G$8:$G$39,FinParameters!$B$8:$B$39,Financials!$E6,FinParameters!$C$8:$C$39,Financials!$F6)</f>
        <v>57028925.619834699</v>
      </c>
      <c r="P6" s="73">
        <f t="shared" ref="P6:P69" si="3">SUM(J6,M6)</f>
        <v>5224159.7120792056</v>
      </c>
      <c r="Q6" s="73">
        <f>P6/SUMIFS(FinParameters!$H$8:$H$39,FinParameters!$B$8:$B$39,Financials!$E6,FinParameters!$C$8:$C$39,Financials!$F6)</f>
        <v>4317487.3653547149</v>
      </c>
      <c r="R6" s="73">
        <f>SUM(P6,N6:O6)</f>
        <v>-11746914.668086089</v>
      </c>
      <c r="S6" s="12">
        <f t="shared" ref="S6:S69" si="4">-R6/SUM($N6,$O6)</f>
        <v>-0.69217271723321927</v>
      </c>
      <c r="T6" s="114">
        <f t="shared" ref="T6:T69" si="5">G6</f>
        <v>30217301.135695796</v>
      </c>
      <c r="U6" s="73">
        <f>T6/SUMIFS(FinParameters!$L$8:$L$39,FinParameters!$B$8:$B$39,Financials!$E6,FinParameters!$C$8:$C$39,Financials!$F6)</f>
        <v>28761262.235046566</v>
      </c>
      <c r="V6" s="73">
        <f t="shared" ref="V6:V69" si="6">U6</f>
        <v>28761262.235046566</v>
      </c>
      <c r="W6" s="12"/>
      <c r="X6" s="73">
        <f t="shared" ref="X6:X69" si="7">SUM(K6,M6)</f>
        <v>35441460.847775005</v>
      </c>
      <c r="Y6" s="73">
        <f t="shared" ref="Y6:Z69" si="8">SUM(Q6,U6)</f>
        <v>33078749.600401282</v>
      </c>
      <c r="Z6" s="73">
        <f t="shared" si="8"/>
        <v>17014347.566960476</v>
      </c>
      <c r="AA6" s="12">
        <f t="shared" ref="AA6:AA69" si="9">-Z6/SUM($N6,$O6)</f>
        <v>1.0025498201130831</v>
      </c>
      <c r="AB6" s="114">
        <f t="shared" ref="AB6:AB69" si="10">H6*AP6</f>
        <v>-3924983.1195126427</v>
      </c>
      <c r="AC6" s="73">
        <f>AB6/SUMIFS(FinParameters!$L$8:$L$39,FinParameters!$B$8:$B$39,Financials!$E6,FinParameters!$C$8:$C$39,Financials!$F6)</f>
        <v>-3735855.4379656329</v>
      </c>
      <c r="AD6" s="73">
        <f t="shared" ref="AD6:AD69" si="11">AC6</f>
        <v>-3735855.4379656329</v>
      </c>
      <c r="AE6" s="12"/>
      <c r="AF6" s="73">
        <f t="shared" ref="AF6:AF69" si="12">X6+AB6</f>
        <v>31516477.728262361</v>
      </c>
      <c r="AG6" s="73">
        <f t="shared" ref="AG6:AH69" si="13">Y6+AC6</f>
        <v>29342894.162435651</v>
      </c>
      <c r="AH6" s="73">
        <f t="shared" si="13"/>
        <v>13278492.128994843</v>
      </c>
      <c r="AI6" s="12">
        <f t="shared" ref="AI6:AI69" si="14">-AH6/SUM($N6,$O6)</f>
        <v>0.78241906384629889</v>
      </c>
      <c r="AL6" s="73">
        <f>Summary!G6</f>
        <v>30217301.135695796</v>
      </c>
      <c r="AM6" s="73">
        <f>IF(D6&lt;&gt;"avg",SUMIFS(Summary!$H:$H,Summary!$C:$C,Financials!C6,Summary!$E:$E,Financials!E6,Summary!$D:$D,1-Financials!D6,Summary!$F:$F,Financials!F6),SUMIFS(Summary!$H:$H,Summary!$C:$C,Financials!C6,Summary!$E:$E,Financials!E6,Summary!$D:$D,"avg",Summary!$F:$F,Financials!F6))</f>
        <v>-3924983.1195126427</v>
      </c>
      <c r="AN6" s="20">
        <f>Summary!I6</f>
        <v>7874159.7120792056</v>
      </c>
      <c r="AP6" s="12">
        <v>1</v>
      </c>
      <c r="AU6" s="104"/>
      <c r="AX6" s="20"/>
      <c r="AY6" s="119"/>
      <c r="AZ6" s="120"/>
    </row>
    <row r="7" spans="1:52" x14ac:dyDescent="0.3">
      <c r="A7">
        <v>3</v>
      </c>
      <c r="B7" t="str">
        <f>Summary!B7</f>
        <v>MarinusPortland</v>
      </c>
      <c r="C7" t="str">
        <f>Summary!C7</f>
        <v>Wind</v>
      </c>
      <c r="D7" s="104">
        <f>Summary!D7</f>
        <v>0.75</v>
      </c>
      <c r="E7" t="str">
        <f>Summary!E7</f>
        <v>Cal-22</v>
      </c>
      <c r="F7" t="str">
        <f>Summary!F7</f>
        <v>Wartsila dual fuel</v>
      </c>
      <c r="G7" s="73">
        <f>SUMIFS(AL$5:AL7,$F$5:$F7,$F7,$D$5:$D7,$D7)</f>
        <v>23619270.426674854</v>
      </c>
      <c r="H7" s="73">
        <f>SUMIFS(AM$5:AM7,$F$5:$F7,$F7,$D$5:$D7,$D7)</f>
        <v>-1590820.0822472016</v>
      </c>
      <c r="I7" s="20">
        <f>SUMIFS(AN$5:AN7,$F$5:$F7,$F7,$D$5:$D7,$D7)</f>
        <v>6189283.1413722942</v>
      </c>
      <c r="J7" s="73">
        <f t="shared" si="0"/>
        <v>6189283.1413722942</v>
      </c>
      <c r="K7" s="73">
        <f t="shared" si="1"/>
        <v>29808553.568047147</v>
      </c>
      <c r="L7" s="73">
        <f t="shared" si="2"/>
        <v>28217733.485799946</v>
      </c>
      <c r="M7" s="73">
        <f>-SUMIFS(FinParameters!$E$8:$E$39,FinParameters!$B$8:$B$39,Financials!$E7,FinParameters!$C$8:$C$39,Financials!$F7)</f>
        <v>-2650000</v>
      </c>
      <c r="N7" s="73">
        <f>-SUMIFS(FinParameters!$F$8:$F$39,FinParameters!$B$8:$B$39,Financials!$E7,FinParameters!$C$8:$C$39,Financials!$F7)</f>
        <v>-74000000</v>
      </c>
      <c r="O7" s="73">
        <f>SUMIFS(FinParameters!$G$8:$G$39,FinParameters!$B$8:$B$39,Financials!$E7,FinParameters!$C$8:$C$39,Financials!$F7)</f>
        <v>57028925.619834699</v>
      </c>
      <c r="P7" s="73">
        <f t="shared" si="3"/>
        <v>3539283.1413722942</v>
      </c>
      <c r="Q7" s="73">
        <f>P7/SUMIFS(FinParameters!$H$8:$H$39,FinParameters!$B$8:$B$39,Financials!$E7,FinParameters!$C$8:$C$39,Financials!$F7)</f>
        <v>2925027.389563879</v>
      </c>
      <c r="R7" s="73">
        <f t="shared" ref="R7:R70" si="15">SUM(P7,N7:O7)</f>
        <v>-13431791.238793008</v>
      </c>
      <c r="S7" s="12">
        <f t="shared" si="4"/>
        <v>-0.79145202819281857</v>
      </c>
      <c r="T7" s="114">
        <f t="shared" si="5"/>
        <v>23619270.426674854</v>
      </c>
      <c r="U7" s="73">
        <f>T7/SUMIFS(FinParameters!$L$8:$L$39,FinParameters!$B$8:$B$39,Financials!$E7,FinParameters!$C$8:$C$39,Financials!$F7)</f>
        <v>22481161.619678624</v>
      </c>
      <c r="V7" s="73">
        <f t="shared" si="6"/>
        <v>22481161.619678624</v>
      </c>
      <c r="W7" s="12"/>
      <c r="X7" s="73">
        <f t="shared" si="7"/>
        <v>27158553.568047147</v>
      </c>
      <c r="Y7" s="73">
        <f t="shared" si="8"/>
        <v>25406189.009242505</v>
      </c>
      <c r="Z7" s="73">
        <f t="shared" si="8"/>
        <v>9049370.3808856159</v>
      </c>
      <c r="AA7" s="12">
        <f t="shared" si="9"/>
        <v>0.53322318777071276</v>
      </c>
      <c r="AB7" s="114">
        <f t="shared" si="10"/>
        <v>-1590820.0822472016</v>
      </c>
      <c r="AC7" s="73">
        <f>AB7/SUMIFS(FinParameters!$L$8:$L$39,FinParameters!$B$8:$B$39,Financials!$E7,FinParameters!$C$8:$C$39,Financials!$F7)</f>
        <v>-1514165.4560354091</v>
      </c>
      <c r="AD7" s="73">
        <f t="shared" si="11"/>
        <v>-1514165.4560354091</v>
      </c>
      <c r="AE7" s="12"/>
      <c r="AF7" s="73">
        <f t="shared" si="12"/>
        <v>25567733.485799946</v>
      </c>
      <c r="AG7" s="73">
        <f t="shared" si="13"/>
        <v>23892023.553207096</v>
      </c>
      <c r="AH7" s="73">
        <f t="shared" si="13"/>
        <v>7535204.9248502068</v>
      </c>
      <c r="AI7" s="12">
        <f t="shared" si="14"/>
        <v>0.44400282245282413</v>
      </c>
      <c r="AL7" s="73">
        <f>Summary!G7</f>
        <v>23619270.426674854</v>
      </c>
      <c r="AM7" s="73">
        <f>IF(D7&lt;&gt;"avg",SUMIFS(Summary!$H:$H,Summary!$C:$C,Financials!C7,Summary!$E:$E,Financials!E7,Summary!$D:$D,1-Financials!D7,Summary!$F:$F,Financials!F7),SUMIFS(Summary!$H:$H,Summary!$C:$C,Financials!C7,Summary!$E:$E,Financials!E7,Summary!$D:$D,"avg",Summary!$F:$F,Financials!F7))</f>
        <v>-1590820.0822472016</v>
      </c>
      <c r="AN7" s="20">
        <f>Summary!I7</f>
        <v>6189283.1413722942</v>
      </c>
      <c r="AP7" s="12">
        <v>1</v>
      </c>
      <c r="AU7" s="104"/>
      <c r="AX7" s="20"/>
      <c r="AY7" s="119"/>
      <c r="AZ7" s="120"/>
    </row>
    <row r="8" spans="1:52" x14ac:dyDescent="0.3">
      <c r="A8">
        <v>4</v>
      </c>
      <c r="B8" t="str">
        <f>Summary!B8</f>
        <v>MarinusPortland</v>
      </c>
      <c r="C8" t="str">
        <f>Summary!C8</f>
        <v>Wind</v>
      </c>
      <c r="D8" s="104">
        <f>Summary!D8</f>
        <v>0.5</v>
      </c>
      <c r="E8" t="str">
        <f>Summary!E8</f>
        <v>Cal-22</v>
      </c>
      <c r="F8" t="str">
        <f>Summary!F8</f>
        <v>Wartsila dual fuel</v>
      </c>
      <c r="G8" s="73">
        <f>SUMIFS(AL$5:AL8,$F$5:$F8,$F8,$D$5:$D8,$D8)</f>
        <v>17933129.052012369</v>
      </c>
      <c r="H8" s="73">
        <f>SUMIFS(AM$5:AM8,$F$5:$F8,$F8,$D$5:$D8,$D8)</f>
        <v>92.540903407009267</v>
      </c>
      <c r="I8" s="20">
        <f>SUMIFS(AN$5:AN8,$F$5:$F8,$F8,$D$5:$D8,$D8)</f>
        <v>5173012.2209259439</v>
      </c>
      <c r="J8" s="73">
        <f t="shared" si="0"/>
        <v>5173012.2209259439</v>
      </c>
      <c r="K8" s="73">
        <f t="shared" si="1"/>
        <v>23106141.272938311</v>
      </c>
      <c r="L8" s="73">
        <f t="shared" si="2"/>
        <v>23106233.813841723</v>
      </c>
      <c r="M8" s="73">
        <f>-SUMIFS(FinParameters!$E$8:$E$39,FinParameters!$B$8:$B$39,Financials!$E8,FinParameters!$C$8:$C$39,Financials!$F8)</f>
        <v>-2650000</v>
      </c>
      <c r="N8" s="73">
        <f>-SUMIFS(FinParameters!$F$8:$F$39,FinParameters!$B$8:$B$39,Financials!$E8,FinParameters!$C$8:$C$39,Financials!$F8)</f>
        <v>-74000000</v>
      </c>
      <c r="O8" s="73">
        <f>SUMIFS(FinParameters!$G$8:$G$39,FinParameters!$B$8:$B$39,Financials!$E8,FinParameters!$C$8:$C$39,Financials!$F8)</f>
        <v>57028925.619834699</v>
      </c>
      <c r="P8" s="73">
        <f t="shared" si="3"/>
        <v>2523012.2209259439</v>
      </c>
      <c r="Q8" s="73">
        <f>P8/SUMIFS(FinParameters!$H$8:$H$39,FinParameters!$B$8:$B$39,Financials!$E8,FinParameters!$C$8:$C$39,Financials!$F8)</f>
        <v>2085134.0668809451</v>
      </c>
      <c r="R8" s="73">
        <f t="shared" si="15"/>
        <v>-14448062.159239359</v>
      </c>
      <c r="S8" s="12">
        <f t="shared" si="4"/>
        <v>-0.85133456112391581</v>
      </c>
      <c r="T8" s="114">
        <f t="shared" si="5"/>
        <v>17933129.052012369</v>
      </c>
      <c r="U8" s="73">
        <f>T8/SUMIFS(FinParameters!$L$8:$L$39,FinParameters!$B$8:$B$39,Financials!$E8,FinParameters!$C$8:$C$39,Financials!$F8)</f>
        <v>17069010.40048768</v>
      </c>
      <c r="V8" s="73">
        <f t="shared" si="6"/>
        <v>17069010.40048768</v>
      </c>
      <c r="W8" s="12"/>
      <c r="X8" s="73">
        <f t="shared" si="7"/>
        <v>20456141.272938311</v>
      </c>
      <c r="Y8" s="73">
        <f t="shared" si="8"/>
        <v>19154144.467368625</v>
      </c>
      <c r="Z8" s="73">
        <f t="shared" si="8"/>
        <v>2620948.2412483208</v>
      </c>
      <c r="AA8" s="12">
        <f t="shared" si="9"/>
        <v>0.15443620023912666</v>
      </c>
      <c r="AB8" s="114">
        <f t="shared" si="10"/>
        <v>92.540903407009267</v>
      </c>
      <c r="AC8" s="73">
        <f>AB8/SUMIFS(FinParameters!$L$8:$L$39,FinParameters!$B$8:$B$39,Financials!$E8,FinParameters!$C$8:$C$39,Financials!$F8)</f>
        <v>88.081764099473432</v>
      </c>
      <c r="AD8" s="73">
        <f t="shared" si="11"/>
        <v>88.081764099473432</v>
      </c>
      <c r="AE8" s="12"/>
      <c r="AF8" s="73">
        <f t="shared" si="12"/>
        <v>20456233.813841719</v>
      </c>
      <c r="AG8" s="73">
        <f t="shared" si="13"/>
        <v>19154232.549132723</v>
      </c>
      <c r="AH8" s="73">
        <f t="shared" si="13"/>
        <v>2621036.3230124204</v>
      </c>
      <c r="AI8" s="12">
        <f t="shared" si="14"/>
        <v>0.15444139035037868</v>
      </c>
      <c r="AL8" s="73">
        <f>Summary!G8</f>
        <v>17933129.052012369</v>
      </c>
      <c r="AM8" s="73">
        <f>IF(D8&lt;&gt;"avg",SUMIFS(Summary!$H:$H,Summary!$C:$C,Financials!C8,Summary!$E:$E,Financials!E8,Summary!$D:$D,1-Financials!D8,Summary!$F:$F,Financials!F8),SUMIFS(Summary!$H:$H,Summary!$C:$C,Financials!C8,Summary!$E:$E,Financials!E8,Summary!$D:$D,"avg",Summary!$F:$F,Financials!F8))</f>
        <v>92.540903407009267</v>
      </c>
      <c r="AN8" s="20">
        <f>Summary!I8</f>
        <v>5173012.2209259439</v>
      </c>
      <c r="AP8" s="12">
        <v>1</v>
      </c>
      <c r="AU8" s="104"/>
      <c r="AX8" s="20"/>
      <c r="AY8" s="119"/>
      <c r="AZ8" s="120"/>
    </row>
    <row r="9" spans="1:52" x14ac:dyDescent="0.3">
      <c r="A9">
        <v>5</v>
      </c>
      <c r="B9" t="str">
        <f>Summary!B9</f>
        <v>MarinusPortland</v>
      </c>
      <c r="C9" t="str">
        <f>Summary!C9</f>
        <v>Wind</v>
      </c>
      <c r="D9" s="104">
        <f>Summary!D9</f>
        <v>0.25</v>
      </c>
      <c r="E9" t="str">
        <f>Summary!E9</f>
        <v>Cal-22</v>
      </c>
      <c r="F9" t="str">
        <f>Summary!F9</f>
        <v>Wartsila dual fuel</v>
      </c>
      <c r="G9" s="73">
        <f>SUMIFS(AL$5:AL9,$F$5:$F9,$F9,$D$5:$D9,$D9)</f>
        <v>13976925.106400451</v>
      </c>
      <c r="H9" s="73">
        <f>SUMIFS(AM$5:AM9,$F$5:$F9,$F9,$D$5:$D9,$D9)</f>
        <v>1411985.7959917195</v>
      </c>
      <c r="I9" s="20">
        <f>SUMIFS(AN$5:AN9,$F$5:$F9,$F9,$D$5:$D9,$D9)</f>
        <v>4400044.0634945026</v>
      </c>
      <c r="J9" s="73">
        <f t="shared" si="0"/>
        <v>4400044.0634945026</v>
      </c>
      <c r="K9" s="73">
        <f t="shared" si="1"/>
        <v>18376969.169894952</v>
      </c>
      <c r="L9" s="73">
        <f t="shared" si="2"/>
        <v>19788954.965886671</v>
      </c>
      <c r="M9" s="73">
        <f>-SUMIFS(FinParameters!$E$8:$E$39,FinParameters!$B$8:$B$39,Financials!$E9,FinParameters!$C$8:$C$39,Financials!$F9)</f>
        <v>-2650000</v>
      </c>
      <c r="N9" s="73">
        <f>-SUMIFS(FinParameters!$F$8:$F$39,FinParameters!$B$8:$B$39,Financials!$E9,FinParameters!$C$8:$C$39,Financials!$F9)</f>
        <v>-74000000</v>
      </c>
      <c r="O9" s="73">
        <f>SUMIFS(FinParameters!$G$8:$G$39,FinParameters!$B$8:$B$39,Financials!$E9,FinParameters!$C$8:$C$39,Financials!$F9)</f>
        <v>57028925.619834699</v>
      </c>
      <c r="P9" s="73">
        <f t="shared" si="3"/>
        <v>1750044.0634945026</v>
      </c>
      <c r="Q9" s="73">
        <f>P9/SUMIFS(FinParameters!$H$8:$H$39,FinParameters!$B$8:$B$39,Financials!$E9,FinParameters!$C$8:$C$39,Financials!$F9)</f>
        <v>1446317.4078466962</v>
      </c>
      <c r="R9" s="73">
        <f t="shared" si="15"/>
        <v>-15221030.316670798</v>
      </c>
      <c r="S9" s="12">
        <f t="shared" si="4"/>
        <v>-0.89688077346830541</v>
      </c>
      <c r="T9" s="114">
        <f t="shared" si="5"/>
        <v>13976925.106400451</v>
      </c>
      <c r="U9" s="73">
        <f>T9/SUMIFS(FinParameters!$L$8:$L$39,FinParameters!$B$8:$B$39,Financials!$E9,FinParameters!$C$8:$C$39,Financials!$F9)</f>
        <v>13303438.530779729</v>
      </c>
      <c r="V9" s="73">
        <f t="shared" si="6"/>
        <v>13303438.530779729</v>
      </c>
      <c r="W9" s="12"/>
      <c r="X9" s="73">
        <f t="shared" si="7"/>
        <v>15726969.169894952</v>
      </c>
      <c r="Y9" s="73">
        <f t="shared" si="8"/>
        <v>14749755.938626425</v>
      </c>
      <c r="Z9" s="73">
        <f t="shared" si="8"/>
        <v>-1917591.7858910691</v>
      </c>
      <c r="AA9" s="12">
        <f t="shared" si="9"/>
        <v>-0.11299177311556816</v>
      </c>
      <c r="AB9" s="114">
        <f t="shared" si="10"/>
        <v>1411985.7959917195</v>
      </c>
      <c r="AC9" s="73">
        <f>AB9/SUMIFS(FinParameters!$L$8:$L$39,FinParameters!$B$8:$B$39,Financials!$E9,FinParameters!$C$8:$C$39,Financials!$F9)</f>
        <v>1343948.4078445872</v>
      </c>
      <c r="AD9" s="73">
        <f t="shared" si="11"/>
        <v>1343948.4078445872</v>
      </c>
      <c r="AE9" s="12"/>
      <c r="AF9" s="73">
        <f t="shared" si="12"/>
        <v>17138954.965886671</v>
      </c>
      <c r="AG9" s="73">
        <f t="shared" si="13"/>
        <v>16093704.346471012</v>
      </c>
      <c r="AH9" s="73">
        <f t="shared" si="13"/>
        <v>-573643.37804648187</v>
      </c>
      <c r="AI9" s="12">
        <f t="shared" si="14"/>
        <v>-3.380124117050122E-2</v>
      </c>
      <c r="AL9" s="73">
        <f>Summary!G9</f>
        <v>13976925.106400451</v>
      </c>
      <c r="AM9" s="73">
        <f>IF(D9&lt;&gt;"avg",SUMIFS(Summary!$H:$H,Summary!$C:$C,Financials!C9,Summary!$E:$E,Financials!E9,Summary!$D:$D,1-Financials!D9,Summary!$F:$F,Financials!F9),SUMIFS(Summary!$H:$H,Summary!$C:$C,Financials!C9,Summary!$E:$E,Financials!E9,Summary!$D:$D,"avg",Summary!$F:$F,Financials!F9))</f>
        <v>1411985.7959917195</v>
      </c>
      <c r="AN9" s="20">
        <f>Summary!I9</f>
        <v>4400044.0634945026</v>
      </c>
      <c r="AP9" s="12">
        <v>1</v>
      </c>
      <c r="AU9" s="104"/>
      <c r="AX9" s="20"/>
      <c r="AY9" s="119"/>
      <c r="AZ9" s="120"/>
    </row>
    <row r="10" spans="1:52" x14ac:dyDescent="0.3">
      <c r="A10">
        <v>6</v>
      </c>
      <c r="B10" t="str">
        <f>Summary!B10</f>
        <v>MarinusPortland</v>
      </c>
      <c r="C10" t="str">
        <f>Summary!C10</f>
        <v>Wind</v>
      </c>
      <c r="D10" s="104">
        <f>Summary!D10</f>
        <v>0.05</v>
      </c>
      <c r="E10" t="str">
        <f>Summary!E10</f>
        <v>Cal-22</v>
      </c>
      <c r="F10" t="str">
        <f>Summary!F10</f>
        <v>Wartsila dual fuel</v>
      </c>
      <c r="G10" s="73">
        <f>SUMIFS(AL$5:AL10,$F$5:$F10,$F10,$D$5:$D10,$D10)</f>
        <v>10329686.279967198</v>
      </c>
      <c r="H10" s="73">
        <f>SUMIFS(AM$5:AM10,$F$5:$F10,$F10,$D$5:$D10,$D10)</f>
        <v>3305517.361466316</v>
      </c>
      <c r="I10" s="20">
        <f>SUMIFS(AN$5:AN10,$F$5:$F10,$F10,$D$5:$D10,$D10)</f>
        <v>3452157.2799194478</v>
      </c>
      <c r="J10" s="73">
        <f t="shared" si="0"/>
        <v>3452157.2799194478</v>
      </c>
      <c r="K10" s="73">
        <f t="shared" si="1"/>
        <v>13781843.559886646</v>
      </c>
      <c r="L10" s="73">
        <f t="shared" si="2"/>
        <v>17087360.921352964</v>
      </c>
      <c r="M10" s="73">
        <f>-SUMIFS(FinParameters!$E$8:$E$39,FinParameters!$B$8:$B$39,Financials!$E10,FinParameters!$C$8:$C$39,Financials!$F10)</f>
        <v>-2650000</v>
      </c>
      <c r="N10" s="73">
        <f>-SUMIFS(FinParameters!$F$8:$F$39,FinParameters!$B$8:$B$39,Financials!$E10,FinParameters!$C$8:$C$39,Financials!$F10)</f>
        <v>-74000000</v>
      </c>
      <c r="O10" s="73">
        <f>SUMIFS(FinParameters!$G$8:$G$39,FinParameters!$B$8:$B$39,Financials!$E10,FinParameters!$C$8:$C$39,Financials!$F10)</f>
        <v>57028925.619834699</v>
      </c>
      <c r="P10" s="73">
        <f t="shared" si="3"/>
        <v>802157.27991944784</v>
      </c>
      <c r="Q10" s="73">
        <f>P10/SUMIFS(FinParameters!$H$8:$H$39,FinParameters!$B$8:$B$39,Financials!$E10,FinParameters!$C$8:$C$39,Financials!$F10)</f>
        <v>662939.90075987414</v>
      </c>
      <c r="R10" s="73">
        <f t="shared" si="15"/>
        <v>-16168917.100245856</v>
      </c>
      <c r="S10" s="12">
        <f t="shared" si="4"/>
        <v>-0.95273385397114541</v>
      </c>
      <c r="T10" s="114">
        <f t="shared" si="5"/>
        <v>10329686.279967198</v>
      </c>
      <c r="U10" s="73">
        <f>T10/SUMIFS(FinParameters!$L$8:$L$39,FinParameters!$B$8:$B$39,Financials!$E10,FinParameters!$C$8:$C$39,Financials!$F10)</f>
        <v>9831944.1094274353</v>
      </c>
      <c r="V10" s="73">
        <f t="shared" si="6"/>
        <v>9831944.1094274353</v>
      </c>
      <c r="W10" s="12"/>
      <c r="X10" s="73">
        <f t="shared" si="7"/>
        <v>11131843.559886646</v>
      </c>
      <c r="Y10" s="73">
        <f t="shared" si="8"/>
        <v>10494884.010187309</v>
      </c>
      <c r="Z10" s="73">
        <f t="shared" si="8"/>
        <v>-6336972.9908184204</v>
      </c>
      <c r="AA10" s="12">
        <f t="shared" si="9"/>
        <v>-0.37339845721403864</v>
      </c>
      <c r="AB10" s="114">
        <f t="shared" si="10"/>
        <v>3305517.361466316</v>
      </c>
      <c r="AC10" s="73">
        <f>AB10/SUMIFS(FinParameters!$L$8:$L$39,FinParameters!$B$8:$B$39,Financials!$E10,FinParameters!$C$8:$C$39,Financials!$F10)</f>
        <v>3146239.0115086888</v>
      </c>
      <c r="AD10" s="73">
        <f t="shared" si="11"/>
        <v>3146239.0115086888</v>
      </c>
      <c r="AE10" s="12"/>
      <c r="AF10" s="73">
        <f t="shared" si="12"/>
        <v>14437360.921352962</v>
      </c>
      <c r="AG10" s="73">
        <f t="shared" si="13"/>
        <v>13641123.021695998</v>
      </c>
      <c r="AH10" s="73">
        <f t="shared" si="13"/>
        <v>-3190733.9793097316</v>
      </c>
      <c r="AI10" s="12">
        <f t="shared" si="14"/>
        <v>-0.1880101346464462</v>
      </c>
      <c r="AL10" s="73">
        <f>Summary!G10</f>
        <v>10329686.279967198</v>
      </c>
      <c r="AM10" s="73">
        <f>IF(D10&lt;&gt;"avg",SUMIFS(Summary!$H:$H,Summary!$C:$C,Financials!C10,Summary!$E:$E,Financials!E10,Summary!$D:$D,1-Financials!D10,Summary!$F:$F,Financials!F10),SUMIFS(Summary!$H:$H,Summary!$C:$C,Financials!C10,Summary!$E:$E,Financials!E10,Summary!$D:$D,"avg",Summary!$F:$F,Financials!F10))</f>
        <v>3305517.361466316</v>
      </c>
      <c r="AN10" s="20">
        <f>Summary!I10</f>
        <v>3452157.2799194478</v>
      </c>
      <c r="AP10" s="12">
        <v>1</v>
      </c>
      <c r="AU10" s="104"/>
      <c r="AX10" s="20"/>
      <c r="AY10" s="119"/>
      <c r="AZ10" s="120"/>
    </row>
    <row r="11" spans="1:52" x14ac:dyDescent="0.3">
      <c r="A11">
        <v>7</v>
      </c>
      <c r="B11" t="str">
        <f>Summary!B11</f>
        <v>MarinusPortland</v>
      </c>
      <c r="C11" t="str">
        <f>Summary!C11</f>
        <v>Wind</v>
      </c>
      <c r="D11" s="104">
        <f>Summary!D11</f>
        <v>0</v>
      </c>
      <c r="E11" t="str">
        <f>Summary!E11</f>
        <v>Cal-22</v>
      </c>
      <c r="F11" t="str">
        <f>Summary!F11</f>
        <v>Wartsila dual fuel</v>
      </c>
      <c r="G11" s="73">
        <f>SUMIFS(AL$5:AL11,$F$5:$F11,$F11,$D$5:$D11,$D11)</f>
        <v>3733222.8768259604</v>
      </c>
      <c r="H11" s="73">
        <f>SUMIFS(AM$5:AM11,$F$5:$F11,$F11,$D$5:$D11,$D11)</f>
        <v>7378144.2146676332</v>
      </c>
      <c r="I11" s="20">
        <f>SUMIFS(AN$5:AN11,$F$5:$F11,$F11,$D$5:$D11,$D11)</f>
        <v>1855093.030273994</v>
      </c>
      <c r="J11" s="73">
        <f t="shared" si="0"/>
        <v>1855093.030273994</v>
      </c>
      <c r="K11" s="73">
        <f t="shared" si="1"/>
        <v>5588315.9070999548</v>
      </c>
      <c r="L11" s="73">
        <f t="shared" si="2"/>
        <v>12966460.121767588</v>
      </c>
      <c r="M11" s="73">
        <f>-SUMIFS(FinParameters!$E$8:$E$39,FinParameters!$B$8:$B$39,Financials!$E11,FinParameters!$C$8:$C$39,Financials!$F11)</f>
        <v>-2650000</v>
      </c>
      <c r="N11" s="73">
        <f>-SUMIFS(FinParameters!$F$8:$F$39,FinParameters!$B$8:$B$39,Financials!$E11,FinParameters!$C$8:$C$39,Financials!$F11)</f>
        <v>-74000000</v>
      </c>
      <c r="O11" s="73">
        <f>SUMIFS(FinParameters!$G$8:$G$39,FinParameters!$B$8:$B$39,Financials!$E11,FinParameters!$C$8:$C$39,Financials!$F11)</f>
        <v>57028925.619834699</v>
      </c>
      <c r="P11" s="73">
        <f t="shared" si="3"/>
        <v>-794906.96972600603</v>
      </c>
      <c r="Q11" s="73">
        <f>P11/SUMIFS(FinParameters!$H$8:$H$39,FinParameters!$B$8:$B$39,Financials!$E11,FinParameters!$C$8:$C$39,Financials!$F11)</f>
        <v>-656947.90886446775</v>
      </c>
      <c r="R11" s="73">
        <f t="shared" si="15"/>
        <v>-17765981.349891312</v>
      </c>
      <c r="S11" s="12">
        <f t="shared" si="4"/>
        <v>-1.0468389302833443</v>
      </c>
      <c r="T11" s="114">
        <f t="shared" si="5"/>
        <v>3733222.8768259604</v>
      </c>
      <c r="U11" s="73">
        <f>T11/SUMIFS(FinParameters!$L$8:$L$39,FinParameters!$B$8:$B$39,Financials!$E11,FinParameters!$C$8:$C$39,Financials!$F11)</f>
        <v>3553335.2783590346</v>
      </c>
      <c r="V11" s="73">
        <f t="shared" si="6"/>
        <v>3553335.2783590346</v>
      </c>
      <c r="W11" s="12"/>
      <c r="X11" s="73">
        <f t="shared" si="7"/>
        <v>2938315.9070999548</v>
      </c>
      <c r="Y11" s="73">
        <f t="shared" si="8"/>
        <v>2896387.3694945667</v>
      </c>
      <c r="Z11" s="73">
        <f t="shared" si="8"/>
        <v>-14212646.071532277</v>
      </c>
      <c r="AA11" s="12">
        <f t="shared" si="9"/>
        <v>-0.83746295332622567</v>
      </c>
      <c r="AB11" s="114">
        <f t="shared" si="10"/>
        <v>7378144.2146676332</v>
      </c>
      <c r="AC11" s="73">
        <f>AB11/SUMIFS(FinParameters!$L$8:$L$39,FinParameters!$B$8:$B$39,Financials!$E11,FinParameters!$C$8:$C$39,Financials!$F11)</f>
        <v>7022623.8807068495</v>
      </c>
      <c r="AD11" s="73">
        <f t="shared" si="11"/>
        <v>7022623.8807068495</v>
      </c>
      <c r="AE11" s="12"/>
      <c r="AF11" s="73">
        <f t="shared" si="12"/>
        <v>10316460.121767588</v>
      </c>
      <c r="AG11" s="73">
        <f t="shared" si="13"/>
        <v>9919011.2502014153</v>
      </c>
      <c r="AH11" s="73">
        <f t="shared" si="13"/>
        <v>-7190022.1908254279</v>
      </c>
      <c r="AI11" s="12">
        <f t="shared" si="14"/>
        <v>-0.42366334798630445</v>
      </c>
      <c r="AL11" s="73">
        <f>Summary!G11</f>
        <v>3733222.8768259604</v>
      </c>
      <c r="AM11" s="73">
        <f>IF(D11&lt;&gt;"avg",SUMIFS(Summary!$H:$H,Summary!$C:$C,Financials!C11,Summary!$E:$E,Financials!E11,Summary!$D:$D,1-Financials!D11,Summary!$F:$F,Financials!F11),SUMIFS(Summary!$H:$H,Summary!$C:$C,Financials!C11,Summary!$E:$E,Financials!E11,Summary!$D:$D,"avg",Summary!$F:$F,Financials!F11))</f>
        <v>7378144.2146676332</v>
      </c>
      <c r="AN11" s="20">
        <f>Summary!I11</f>
        <v>1855093.030273994</v>
      </c>
      <c r="AP11" s="12">
        <v>1</v>
      </c>
      <c r="AU11" s="104"/>
      <c r="AX11" s="20"/>
      <c r="AY11" s="119"/>
      <c r="AZ11" s="120"/>
    </row>
    <row r="12" spans="1:52" x14ac:dyDescent="0.3">
      <c r="A12">
        <v>8</v>
      </c>
      <c r="B12" t="str">
        <f>Summary!B12</f>
        <v>MarinusPortland</v>
      </c>
      <c r="C12" t="str">
        <f>Summary!C12</f>
        <v>Wind</v>
      </c>
      <c r="D12" s="104" t="str">
        <f>Summary!D12</f>
        <v>avg</v>
      </c>
      <c r="E12" t="str">
        <f>Summary!E12</f>
        <v>Cal-22</v>
      </c>
      <c r="F12" t="str">
        <f>Summary!F12</f>
        <v>Wartsila dual fuel</v>
      </c>
      <c r="G12" s="73">
        <f>SUMIFS(AL$5:AL12,$F$5:$F12,$F12,$D$5:$D12,$D12)</f>
        <v>19013643.015240952</v>
      </c>
      <c r="H12" s="73">
        <f>SUMIFS(AM$5:AM12,$F$5:$F12,$F12,$D$5:$D12,$D12)</f>
        <v>-122596.3724619749</v>
      </c>
      <c r="I12" s="20">
        <f>SUMIFS(AN$5:AN12,$F$5:$F12,$F12,$D$5:$D12,$D12)</f>
        <v>5361150.893304239</v>
      </c>
      <c r="J12" s="73">
        <f t="shared" si="0"/>
        <v>5361150.893304239</v>
      </c>
      <c r="K12" s="73">
        <f t="shared" si="1"/>
        <v>24374793.908545192</v>
      </c>
      <c r="L12" s="73">
        <f t="shared" si="2"/>
        <v>24252197.536083218</v>
      </c>
      <c r="M12" s="73">
        <f>-SUMIFS(FinParameters!$E$8:$E$39,FinParameters!$B$8:$B$39,Financials!$E12,FinParameters!$C$8:$C$39,Financials!$F12)</f>
        <v>-2650000</v>
      </c>
      <c r="N12" s="73">
        <f>-SUMIFS(FinParameters!$F$8:$F$39,FinParameters!$B$8:$B$39,Financials!$E12,FinParameters!$C$8:$C$39,Financials!$F12)</f>
        <v>-74000000</v>
      </c>
      <c r="O12" s="73">
        <f>SUMIFS(FinParameters!$G$8:$G$39,FinParameters!$B$8:$B$39,Financials!$E12,FinParameters!$C$8:$C$39,Financials!$F12)</f>
        <v>57028925.619834699</v>
      </c>
      <c r="P12" s="73">
        <f t="shared" si="3"/>
        <v>2711150.893304239</v>
      </c>
      <c r="Q12" s="73">
        <f>P12/SUMIFS(FinParameters!$H$8:$H$39,FinParameters!$B$8:$B$39,Financials!$E12,FinParameters!$C$8:$C$39,Financials!$F12)</f>
        <v>2240620.5729787098</v>
      </c>
      <c r="R12" s="73">
        <f t="shared" si="15"/>
        <v>-14259923.486861058</v>
      </c>
      <c r="S12" s="12">
        <f t="shared" si="4"/>
        <v>-0.84024871775514332</v>
      </c>
      <c r="T12" s="114">
        <f t="shared" si="5"/>
        <v>19013643.015240952</v>
      </c>
      <c r="U12" s="73">
        <f>T12/SUMIFS(FinParameters!$L$8:$L$39,FinParameters!$B$8:$B$39,Financials!$E12,FinParameters!$C$8:$C$39,Financials!$F12)</f>
        <v>18097459.145975921</v>
      </c>
      <c r="V12" s="73">
        <f t="shared" si="6"/>
        <v>18097459.145975921</v>
      </c>
      <c r="W12" s="12"/>
      <c r="X12" s="73">
        <f t="shared" si="7"/>
        <v>21724793.908545192</v>
      </c>
      <c r="Y12" s="73">
        <f t="shared" si="8"/>
        <v>20338079.71895463</v>
      </c>
      <c r="Z12" s="73">
        <f t="shared" si="8"/>
        <v>3837535.6591148637</v>
      </c>
      <c r="AA12" s="12">
        <f t="shared" si="9"/>
        <v>0.22612214012802442</v>
      </c>
      <c r="AB12" s="114">
        <f t="shared" si="10"/>
        <v>-122596.3724619749</v>
      </c>
      <c r="AC12" s="73">
        <f>AB12/SUMIFS(FinParameters!$L$8:$L$39,FinParameters!$B$8:$B$39,Financials!$E12,FinParameters!$C$8:$C$39,Financials!$F12)</f>
        <v>-116688.9922303152</v>
      </c>
      <c r="AD12" s="73">
        <f t="shared" si="11"/>
        <v>-116688.9922303152</v>
      </c>
      <c r="AE12" s="12"/>
      <c r="AF12" s="73">
        <f t="shared" si="12"/>
        <v>21602197.536083218</v>
      </c>
      <c r="AG12" s="73">
        <f t="shared" si="13"/>
        <v>20221390.726724315</v>
      </c>
      <c r="AH12" s="73">
        <f t="shared" si="13"/>
        <v>3720846.6668845485</v>
      </c>
      <c r="AI12" s="12">
        <f t="shared" si="14"/>
        <v>0.2192463826116533</v>
      </c>
      <c r="AL12" s="73">
        <f>Summary!G12</f>
        <v>19013643.015240952</v>
      </c>
      <c r="AM12" s="73">
        <f>IF(D12&lt;&gt;"avg",SUMIFS(Summary!$H:$H,Summary!$C:$C,Financials!C12,Summary!$E:$E,Financials!E12,Summary!$D:$D,1-Financials!D12,Summary!$F:$F,Financials!F12),SUMIFS(Summary!$H:$H,Summary!$C:$C,Financials!C12,Summary!$E:$E,Financials!E12,Summary!$D:$D,"avg",Summary!$F:$F,Financials!F12))</f>
        <v>-122596.3724619749</v>
      </c>
      <c r="AN12" s="20">
        <f>Summary!I12</f>
        <v>5361150.893304239</v>
      </c>
      <c r="AP12" s="12">
        <v>1</v>
      </c>
      <c r="AU12" s="104"/>
      <c r="AX12" s="20"/>
      <c r="AY12" s="119"/>
    </row>
    <row r="13" spans="1:52" x14ac:dyDescent="0.3">
      <c r="A13">
        <v>9</v>
      </c>
      <c r="B13" t="str">
        <f>Summary!B13</f>
        <v>MarinusPortland</v>
      </c>
      <c r="C13" t="str">
        <f>Summary!C13</f>
        <v>Wind</v>
      </c>
      <c r="D13" s="104">
        <f>Summary!D13</f>
        <v>1</v>
      </c>
      <c r="E13" t="str">
        <f>Summary!E13</f>
        <v>Cal-23</v>
      </c>
      <c r="F13" t="str">
        <f>Summary!F13</f>
        <v>Wartsila dual fuel</v>
      </c>
      <c r="G13" s="73">
        <f>SUMIFS(AL$5:AL13,$F$5:$F13,$F13,$D$5:$D13,$D13)</f>
        <v>69665697.112767428</v>
      </c>
      <c r="H13" s="73">
        <f>SUMIFS(AM$5:AM13,$F$5:$F13,$F13,$D$5:$D13,$D13)</f>
        <v>-25062185.641453579</v>
      </c>
      <c r="I13" s="20">
        <f>SUMIFS(AN$5:AN13,$F$5:$F13,$F13,$D$5:$D13,$D13)</f>
        <v>25620299.335897982</v>
      </c>
      <c r="J13" s="73">
        <f t="shared" si="0"/>
        <v>25620299.335897982</v>
      </c>
      <c r="K13" s="73">
        <f t="shared" si="1"/>
        <v>95285996.44866541</v>
      </c>
      <c r="L13" s="73">
        <f t="shared" si="2"/>
        <v>70223810.807211831</v>
      </c>
      <c r="M13" s="73">
        <f>-SUMIFS(FinParameters!$E$8:$E$39,FinParameters!$B$8:$B$39,Financials!$E13,FinParameters!$C$8:$C$39,Financials!$F13)</f>
        <v>-4275000</v>
      </c>
      <c r="N13" s="73">
        <f>-SUMIFS(FinParameters!$F$8:$F$39,FinParameters!$B$8:$B$39,Financials!$E13,FinParameters!$C$8:$C$39,Financials!$F13)</f>
        <v>-74000000</v>
      </c>
      <c r="O13" s="73">
        <f>SUMIFS(FinParameters!$G$8:$G$39,FinParameters!$B$8:$B$39,Financials!$E13,FinParameters!$C$8:$C$39,Financials!$F13)</f>
        <v>48344975.582268953</v>
      </c>
      <c r="P13" s="73">
        <f t="shared" si="3"/>
        <v>21345299.335897982</v>
      </c>
      <c r="Q13" s="73">
        <f>P13/SUMIFS(FinParameters!$H$8:$H$39,FinParameters!$B$8:$B$39,Financials!$E13,FinParameters!$C$8:$C$39,Financials!$F13)</f>
        <v>16037039.320734767</v>
      </c>
      <c r="R13" s="73">
        <f t="shared" si="15"/>
        <v>-4309725.0818330646</v>
      </c>
      <c r="S13" s="12">
        <f t="shared" si="4"/>
        <v>-0.16798756499543493</v>
      </c>
      <c r="T13" s="114">
        <f t="shared" si="5"/>
        <v>69665697.112767428</v>
      </c>
      <c r="U13" s="73">
        <f>T13/SUMIFS(FinParameters!$L$8:$L$39,FinParameters!$B$8:$B$39,Financials!$E13,FinParameters!$C$8:$C$39,Financials!$F13)</f>
        <v>64691525.300229482</v>
      </c>
      <c r="V13" s="73">
        <f t="shared" si="6"/>
        <v>64691525.300229482</v>
      </c>
      <c r="W13" s="12"/>
      <c r="X13" s="73">
        <f t="shared" si="7"/>
        <v>91010996.44866541</v>
      </c>
      <c r="Y13" s="73">
        <f t="shared" si="8"/>
        <v>80728564.620964244</v>
      </c>
      <c r="Z13" s="73">
        <f t="shared" si="8"/>
        <v>60381800.218396418</v>
      </c>
      <c r="AA13" s="12">
        <f t="shared" si="9"/>
        <v>2.3536052523366351</v>
      </c>
      <c r="AB13" s="114">
        <f t="shared" si="10"/>
        <v>-25062185.641453579</v>
      </c>
      <c r="AC13" s="73">
        <f>AB13/SUMIFS(FinParameters!$L$8:$L$39,FinParameters!$B$8:$B$39,Financials!$E13,FinParameters!$C$8:$C$39,Financials!$F13)</f>
        <v>-23272730.823015179</v>
      </c>
      <c r="AD13" s="73">
        <f t="shared" si="11"/>
        <v>-23272730.823015179</v>
      </c>
      <c r="AE13" s="12"/>
      <c r="AF13" s="73">
        <f t="shared" si="12"/>
        <v>65948810.807211831</v>
      </c>
      <c r="AG13" s="73">
        <f t="shared" si="13"/>
        <v>57455833.797949061</v>
      </c>
      <c r="AH13" s="73">
        <f t="shared" si="13"/>
        <v>37109069.395381242</v>
      </c>
      <c r="AI13" s="12">
        <f t="shared" si="14"/>
        <v>1.4464640060811604</v>
      </c>
      <c r="AL13" s="73">
        <f>Summary!G13</f>
        <v>26744147.762844302</v>
      </c>
      <c r="AM13" s="73">
        <f>IF(D13&lt;&gt;"avg",SUMIFS(Summary!$H:$H,Summary!$C:$C,Financials!C13,Summary!$E:$E,Financials!E13,Summary!$D:$D,1-Financials!D13,Summary!$F:$F,Financials!F13),SUMIFS(Summary!$H:$H,Summary!$C:$C,Financials!C13,Summary!$E:$E,Financials!E13,Summary!$D:$D,"avg",Summary!$F:$F,Financials!F13))</f>
        <v>-15847278.123349112</v>
      </c>
      <c r="AN13" s="20">
        <f>Summary!I13</f>
        <v>13718036.891405039</v>
      </c>
      <c r="AP13" s="12">
        <v>1</v>
      </c>
      <c r="AU13" s="104"/>
      <c r="AX13" s="20"/>
      <c r="AY13" s="119"/>
      <c r="AZ13" s="120"/>
    </row>
    <row r="14" spans="1:52" x14ac:dyDescent="0.3">
      <c r="A14">
        <v>10</v>
      </c>
      <c r="B14" t="str">
        <f>Summary!B14</f>
        <v>MarinusPortland</v>
      </c>
      <c r="C14" t="str">
        <f>Summary!C14</f>
        <v>Wind</v>
      </c>
      <c r="D14" s="104">
        <f>Summary!D14</f>
        <v>0.95</v>
      </c>
      <c r="E14" t="str">
        <f>Summary!E14</f>
        <v>Cal-23</v>
      </c>
      <c r="F14" t="str">
        <f>Summary!F14</f>
        <v>Wartsila dual fuel</v>
      </c>
      <c r="G14" s="73">
        <f>SUMIFS(AL$5:AL14,$F$5:$F14,$F14,$D$5:$D14,$D14)</f>
        <v>45690275.090821877</v>
      </c>
      <c r="H14" s="73">
        <f>SUMIFS(AM$5:AM14,$F$5:$F14,$F14,$D$5:$D14,$D14)</f>
        <v>-9397431.2797149718</v>
      </c>
      <c r="I14" s="20">
        <f>SUMIFS(AN$5:AN14,$F$5:$F14,$F14,$D$5:$D14,$D14)</f>
        <v>17140404.54700537</v>
      </c>
      <c r="J14" s="73">
        <f t="shared" si="0"/>
        <v>17140404.54700537</v>
      </c>
      <c r="K14" s="73">
        <f t="shared" si="1"/>
        <v>62830679.637827247</v>
      </c>
      <c r="L14" s="73">
        <f t="shared" si="2"/>
        <v>53433248.358112276</v>
      </c>
      <c r="M14" s="73">
        <f>-SUMIFS(FinParameters!$E$8:$E$39,FinParameters!$B$8:$B$39,Financials!$E14,FinParameters!$C$8:$C$39,Financials!$F14)</f>
        <v>-4275000</v>
      </c>
      <c r="N14" s="73">
        <f>-SUMIFS(FinParameters!$F$8:$F$39,FinParameters!$B$8:$B$39,Financials!$E14,FinParameters!$C$8:$C$39,Financials!$F14)</f>
        <v>-74000000</v>
      </c>
      <c r="O14" s="73">
        <f>SUMIFS(FinParameters!$G$8:$G$39,FinParameters!$B$8:$B$39,Financials!$E14,FinParameters!$C$8:$C$39,Financials!$F14)</f>
        <v>48344975.582268953</v>
      </c>
      <c r="P14" s="73">
        <f t="shared" si="3"/>
        <v>12865404.54700537</v>
      </c>
      <c r="Q14" s="73">
        <f>P14/SUMIFS(FinParameters!$H$8:$H$39,FinParameters!$B$8:$B$39,Financials!$E14,FinParameters!$C$8:$C$39,Financials!$F14)</f>
        <v>9665968.8557515908</v>
      </c>
      <c r="R14" s="73">
        <f t="shared" si="15"/>
        <v>-12789619.870725676</v>
      </c>
      <c r="S14" s="12">
        <f t="shared" si="4"/>
        <v>-0.49852300518125181</v>
      </c>
      <c r="T14" s="114">
        <f t="shared" si="5"/>
        <v>45690275.090821877</v>
      </c>
      <c r="U14" s="73">
        <f>T14/SUMIFS(FinParameters!$L$8:$L$39,FinParameters!$B$8:$B$39,Financials!$E14,FinParameters!$C$8:$C$39,Financials!$F14)</f>
        <v>42427962.534098469</v>
      </c>
      <c r="V14" s="73">
        <f t="shared" si="6"/>
        <v>42427962.534098469</v>
      </c>
      <c r="W14" s="12"/>
      <c r="X14" s="73">
        <f t="shared" si="7"/>
        <v>58555679.637827247</v>
      </c>
      <c r="Y14" s="73">
        <f t="shared" si="8"/>
        <v>52093931.389850058</v>
      </c>
      <c r="Z14" s="73">
        <f t="shared" si="8"/>
        <v>29638342.663372792</v>
      </c>
      <c r="AA14" s="12">
        <f t="shared" si="9"/>
        <v>1.1552646444915773</v>
      </c>
      <c r="AB14" s="114">
        <f t="shared" si="10"/>
        <v>-9397431.2797149718</v>
      </c>
      <c r="AC14" s="73">
        <f>AB14/SUMIFS(FinParameters!$L$8:$L$39,FinParameters!$B$8:$B$39,Financials!$E14,FinParameters!$C$8:$C$39,Financials!$F14)</f>
        <v>-8726449.1505021434</v>
      </c>
      <c r="AD14" s="73">
        <f t="shared" si="11"/>
        <v>-8726449.1505021434</v>
      </c>
      <c r="AE14" s="12"/>
      <c r="AF14" s="73">
        <f t="shared" si="12"/>
        <v>49158248.358112276</v>
      </c>
      <c r="AG14" s="73">
        <f t="shared" si="13"/>
        <v>43367482.239347912</v>
      </c>
      <c r="AH14" s="73">
        <f t="shared" si="13"/>
        <v>20911893.512870647</v>
      </c>
      <c r="AI14" s="12">
        <f t="shared" si="14"/>
        <v>0.81511883100831262</v>
      </c>
      <c r="AL14" s="73">
        <f>Summary!G14</f>
        <v>15472973.955126081</v>
      </c>
      <c r="AM14" s="73">
        <f>IF(D14&lt;&gt;"avg",SUMIFS(Summary!$H:$H,Summary!$C:$C,Financials!C14,Summary!$E:$E,Financials!E14,Summary!$D:$D,1-Financials!D14,Summary!$F:$F,Financials!F14),SUMIFS(Summary!$H:$H,Summary!$C:$C,Financials!C14,Summary!$E:$E,Financials!E14,Summary!$D:$D,"avg",Summary!$F:$F,Financials!F14))</f>
        <v>-5472448.160202329</v>
      </c>
      <c r="AN14" s="20">
        <f>Summary!I14</f>
        <v>9266244.8349261656</v>
      </c>
      <c r="AP14" s="12">
        <v>1</v>
      </c>
      <c r="AU14" s="104"/>
      <c r="AX14" s="20"/>
      <c r="AY14" s="119"/>
      <c r="AZ14" s="120"/>
    </row>
    <row r="15" spans="1:52" x14ac:dyDescent="0.3">
      <c r="A15">
        <v>11</v>
      </c>
      <c r="B15" t="str">
        <f>Summary!B15</f>
        <v>MarinusPortland</v>
      </c>
      <c r="C15" t="str">
        <f>Summary!C15</f>
        <v>Wind</v>
      </c>
      <c r="D15" s="104">
        <f>Summary!D15</f>
        <v>0.75</v>
      </c>
      <c r="E15" t="str">
        <f>Summary!E15</f>
        <v>Cal-23</v>
      </c>
      <c r="F15" t="str">
        <f>Summary!F15</f>
        <v>Wartsila dual fuel</v>
      </c>
      <c r="G15" s="73">
        <f>SUMIFS(AL$5:AL15,$F$5:$F15,$F15,$D$5:$D15,$D15)</f>
        <v>32593020.240949724</v>
      </c>
      <c r="H15" s="73">
        <f>SUMIFS(AM$5:AM15,$F$5:$F15,$F15,$D$5:$D15,$D15)</f>
        <v>-3715715.8652383452</v>
      </c>
      <c r="I15" s="20">
        <f>SUMIFS(AN$5:AN15,$F$5:$F15,$F15,$D$5:$D15,$D15)</f>
        <v>13678208.099578891</v>
      </c>
      <c r="J15" s="73">
        <f t="shared" si="0"/>
        <v>13678208.099578891</v>
      </c>
      <c r="K15" s="73">
        <f t="shared" si="1"/>
        <v>46271228.340528615</v>
      </c>
      <c r="L15" s="73">
        <f t="shared" si="2"/>
        <v>42555512.475290269</v>
      </c>
      <c r="M15" s="73">
        <f>-SUMIFS(FinParameters!$E$8:$E$39,FinParameters!$B$8:$B$39,Financials!$E15,FinParameters!$C$8:$C$39,Financials!$F15)</f>
        <v>-4275000</v>
      </c>
      <c r="N15" s="73">
        <f>-SUMIFS(FinParameters!$F$8:$F$39,FinParameters!$B$8:$B$39,Financials!$E15,FinParameters!$C$8:$C$39,Financials!$F15)</f>
        <v>-74000000</v>
      </c>
      <c r="O15" s="73">
        <f>SUMIFS(FinParameters!$G$8:$G$39,FinParameters!$B$8:$B$39,Financials!$E15,FinParameters!$C$8:$C$39,Financials!$F15)</f>
        <v>48344975.582268953</v>
      </c>
      <c r="P15" s="73">
        <f t="shared" si="3"/>
        <v>9403208.0995788909</v>
      </c>
      <c r="Q15" s="73">
        <f>P15/SUMIFS(FinParameters!$H$8:$H$39,FinParameters!$B$8:$B$39,Financials!$E15,FinParameters!$C$8:$C$39,Financials!$F15)</f>
        <v>7064769.4211712154</v>
      </c>
      <c r="R15" s="73">
        <f t="shared" si="15"/>
        <v>-16251816.318152159</v>
      </c>
      <c r="S15" s="12">
        <f t="shared" si="4"/>
        <v>-0.63347498928591883</v>
      </c>
      <c r="T15" s="114">
        <f t="shared" si="5"/>
        <v>32593020.240949724</v>
      </c>
      <c r="U15" s="73">
        <f>T15/SUMIFS(FinParameters!$L$8:$L$39,FinParameters!$B$8:$B$39,Financials!$E15,FinParameters!$C$8:$C$39,Financials!$F15)</f>
        <v>30265859.395841364</v>
      </c>
      <c r="V15" s="73">
        <f t="shared" si="6"/>
        <v>30265859.395841364</v>
      </c>
      <c r="W15" s="12"/>
      <c r="X15" s="73">
        <f t="shared" si="7"/>
        <v>41996228.340528615</v>
      </c>
      <c r="Y15" s="73">
        <f t="shared" si="8"/>
        <v>37330628.817012578</v>
      </c>
      <c r="Z15" s="73">
        <f t="shared" si="8"/>
        <v>14014043.077689204</v>
      </c>
      <c r="AA15" s="12">
        <f t="shared" si="9"/>
        <v>0.54624945388879187</v>
      </c>
      <c r="AB15" s="114">
        <f t="shared" si="10"/>
        <v>-3715715.8652383452</v>
      </c>
      <c r="AC15" s="73">
        <f>AB15/SUMIFS(FinParameters!$L$8:$L$39,FinParameters!$B$8:$B$39,Financials!$E15,FinParameters!$C$8:$C$39,Financials!$F15)</f>
        <v>-3450411.563605492</v>
      </c>
      <c r="AD15" s="73">
        <f t="shared" si="11"/>
        <v>-3450411.563605492</v>
      </c>
      <c r="AE15" s="12"/>
      <c r="AF15" s="73">
        <f t="shared" si="12"/>
        <v>38280512.475290269</v>
      </c>
      <c r="AG15" s="73">
        <f t="shared" si="13"/>
        <v>33880217.253407083</v>
      </c>
      <c r="AH15" s="73">
        <f t="shared" si="13"/>
        <v>10563631.514083713</v>
      </c>
      <c r="AI15" s="12">
        <f t="shared" si="14"/>
        <v>0.41175682946467335</v>
      </c>
      <c r="AL15" s="73">
        <f>Summary!G15</f>
        <v>8973749.8142748699</v>
      </c>
      <c r="AM15" s="73">
        <f>IF(D15&lt;&gt;"avg",SUMIFS(Summary!$H:$H,Summary!$C:$C,Financials!C15,Summary!$E:$E,Financials!E15,Summary!$D:$D,1-Financials!D15,Summary!$F:$F,Financials!F15),SUMIFS(Summary!$H:$H,Summary!$C:$C,Financials!C15,Summary!$E:$E,Financials!E15,Summary!$D:$D,"avg",Summary!$F:$F,Financials!F15))</f>
        <v>-2124895.7829911434</v>
      </c>
      <c r="AN15" s="20">
        <f>Summary!I15</f>
        <v>7488924.9582065959</v>
      </c>
      <c r="AP15" s="12">
        <v>1</v>
      </c>
      <c r="AU15" s="104"/>
      <c r="AX15" s="20"/>
      <c r="AY15" s="119"/>
      <c r="AZ15" s="120"/>
    </row>
    <row r="16" spans="1:52" x14ac:dyDescent="0.3">
      <c r="A16">
        <v>12</v>
      </c>
      <c r="B16" t="str">
        <f>Summary!B16</f>
        <v>MarinusPortland</v>
      </c>
      <c r="C16" t="str">
        <f>Summary!C16</f>
        <v>Wind</v>
      </c>
      <c r="D16" s="104">
        <f>Summary!D16</f>
        <v>0.5</v>
      </c>
      <c r="E16" t="str">
        <f>Summary!E16</f>
        <v>Cal-23</v>
      </c>
      <c r="F16" t="str">
        <f>Summary!F16</f>
        <v>Wartsila dual fuel</v>
      </c>
      <c r="G16" s="73">
        <f>SUMIFS(AL$5:AL16,$F$5:$F16,$F16,$D$5:$D16,$D16)</f>
        <v>21681204.564310979</v>
      </c>
      <c r="H16" s="73">
        <f>SUMIFS(AM$5:AM16,$F$5:$F16,$F16,$D$5:$D16,$D16)</f>
        <v>481.73691650225555</v>
      </c>
      <c r="I16" s="20">
        <f>SUMIFS(AN$5:AN16,$F$5:$F16,$F16,$D$5:$D16,$D16)</f>
        <v>11632044.740267301</v>
      </c>
      <c r="J16" s="73">
        <f t="shared" si="0"/>
        <v>11632044.740267301</v>
      </c>
      <c r="K16" s="73">
        <f t="shared" si="1"/>
        <v>33313249.304578282</v>
      </c>
      <c r="L16" s="73">
        <f t="shared" si="2"/>
        <v>33313731.041494779</v>
      </c>
      <c r="M16" s="73">
        <f>-SUMIFS(FinParameters!$E$8:$E$39,FinParameters!$B$8:$B$39,Financials!$E16,FinParameters!$C$8:$C$39,Financials!$F16)</f>
        <v>-4275000</v>
      </c>
      <c r="N16" s="73">
        <f>-SUMIFS(FinParameters!$F$8:$F$39,FinParameters!$B$8:$B$39,Financials!$E16,FinParameters!$C$8:$C$39,Financials!$F16)</f>
        <v>-74000000</v>
      </c>
      <c r="O16" s="73">
        <f>SUMIFS(FinParameters!$G$8:$G$39,FinParameters!$B$8:$B$39,Financials!$E16,FinParameters!$C$8:$C$39,Financials!$F16)</f>
        <v>48344975.582268953</v>
      </c>
      <c r="P16" s="73">
        <f t="shared" si="3"/>
        <v>7357044.740267301</v>
      </c>
      <c r="Q16" s="73">
        <f>P16/SUMIFS(FinParameters!$H$8:$H$39,FinParameters!$B$8:$B$39,Financials!$E16,FinParameters!$C$8:$C$39,Financials!$F16)</f>
        <v>5527456.6042579254</v>
      </c>
      <c r="R16" s="73">
        <f t="shared" si="15"/>
        <v>-18297979.677463748</v>
      </c>
      <c r="S16" s="12">
        <f t="shared" si="4"/>
        <v>-0.71323181687628412</v>
      </c>
      <c r="T16" s="114">
        <f t="shared" si="5"/>
        <v>21681204.564310979</v>
      </c>
      <c r="U16" s="73">
        <f>T16/SUMIFS(FinParameters!$L$8:$L$39,FinParameters!$B$8:$B$39,Financials!$E16,FinParameters!$C$8:$C$39,Financials!$F16)</f>
        <v>20133153.786449745</v>
      </c>
      <c r="V16" s="73">
        <f t="shared" si="6"/>
        <v>20133153.786449745</v>
      </c>
      <c r="W16" s="12"/>
      <c r="X16" s="73">
        <f t="shared" si="7"/>
        <v>29038249.304578282</v>
      </c>
      <c r="Y16" s="73">
        <f t="shared" si="8"/>
        <v>25660610.390707672</v>
      </c>
      <c r="Z16" s="73">
        <f t="shared" si="8"/>
        <v>1835174.1089859977</v>
      </c>
      <c r="AA16" s="12">
        <f t="shared" si="9"/>
        <v>7.1532736788885984E-2</v>
      </c>
      <c r="AB16" s="114">
        <f t="shared" si="10"/>
        <v>481.73691650225555</v>
      </c>
      <c r="AC16" s="73">
        <f>AB16/SUMIFS(FinParameters!$L$8:$L$39,FinParameters!$B$8:$B$39,Financials!$E16,FinParameters!$C$8:$C$39,Financials!$F16)</f>
        <v>447.3406168822907</v>
      </c>
      <c r="AD16" s="73">
        <f t="shared" si="11"/>
        <v>447.3406168822907</v>
      </c>
      <c r="AE16" s="12"/>
      <c r="AF16" s="73">
        <f t="shared" si="12"/>
        <v>29038731.041494783</v>
      </c>
      <c r="AG16" s="73">
        <f t="shared" si="13"/>
        <v>25661057.731324553</v>
      </c>
      <c r="AH16" s="73">
        <f t="shared" si="13"/>
        <v>1835621.44960288</v>
      </c>
      <c r="AI16" s="12">
        <f t="shared" si="14"/>
        <v>7.1550173553302898E-2</v>
      </c>
      <c r="AL16" s="73">
        <f>Summary!G16</f>
        <v>3748075.5122986105</v>
      </c>
      <c r="AM16" s="73">
        <f>IF(D16&lt;&gt;"avg",SUMIFS(Summary!$H:$H,Summary!$C:$C,Financials!C16,Summary!$E:$E,Financials!E16,Summary!$D:$D,1-Financials!D16,Summary!$F:$F,Financials!F16),SUMIFS(Summary!$H:$H,Summary!$C:$C,Financials!C16,Summary!$E:$E,Financials!E16,Summary!$D:$D,"avg",Summary!$F:$F,Financials!F16))</f>
        <v>389.19601309524626</v>
      </c>
      <c r="AN16" s="20">
        <f>Summary!I16</f>
        <v>6459032.5193413571</v>
      </c>
      <c r="AP16" s="12">
        <v>1</v>
      </c>
      <c r="AU16" s="104"/>
      <c r="AX16" s="20"/>
      <c r="AY16" s="119"/>
      <c r="AZ16" s="120"/>
    </row>
    <row r="17" spans="1:52" x14ac:dyDescent="0.3">
      <c r="A17">
        <v>13</v>
      </c>
      <c r="B17" t="str">
        <f>Summary!B17</f>
        <v>MarinusPortland</v>
      </c>
      <c r="C17" t="str">
        <f>Summary!C17</f>
        <v>Wind</v>
      </c>
      <c r="D17" s="104">
        <f>Summary!D17</f>
        <v>0.25</v>
      </c>
      <c r="E17" t="str">
        <f>Summary!E17</f>
        <v>Cal-23</v>
      </c>
      <c r="F17" t="str">
        <f>Summary!F17</f>
        <v>Wartsila dual fuel</v>
      </c>
      <c r="G17" s="73">
        <f>SUMIFS(AL$5:AL17,$F$5:$F17,$F17,$D$5:$D17,$D17)</f>
        <v>15578949.358699121</v>
      </c>
      <c r="H17" s="73">
        <f>SUMIFS(AM$5:AM17,$F$5:$F17,$F17,$D$5:$D17,$D17)</f>
        <v>3370929.3160436135</v>
      </c>
      <c r="I17" s="20">
        <f>SUMIFS(AN$5:AN17,$F$5:$F17,$F17,$D$5:$D17,$D17)</f>
        <v>9940140.5063028522</v>
      </c>
      <c r="J17" s="73">
        <f t="shared" si="0"/>
        <v>9940140.5063028522</v>
      </c>
      <c r="K17" s="73">
        <f t="shared" si="1"/>
        <v>25519089.865001973</v>
      </c>
      <c r="L17" s="73">
        <f t="shared" si="2"/>
        <v>28890019.181045588</v>
      </c>
      <c r="M17" s="73">
        <f>-SUMIFS(FinParameters!$E$8:$E$39,FinParameters!$B$8:$B$39,Financials!$E17,FinParameters!$C$8:$C$39,Financials!$F17)</f>
        <v>-4275000</v>
      </c>
      <c r="N17" s="73">
        <f>-SUMIFS(FinParameters!$F$8:$F$39,FinParameters!$B$8:$B$39,Financials!$E17,FinParameters!$C$8:$C$39,Financials!$F17)</f>
        <v>-74000000</v>
      </c>
      <c r="O17" s="73">
        <f>SUMIFS(FinParameters!$G$8:$G$39,FinParameters!$B$8:$B$39,Financials!$E17,FinParameters!$C$8:$C$39,Financials!$F17)</f>
        <v>48344975.582268953</v>
      </c>
      <c r="P17" s="73">
        <f t="shared" si="3"/>
        <v>5665140.5063028522</v>
      </c>
      <c r="Q17" s="73">
        <f>P17/SUMIFS(FinParameters!$H$8:$H$39,FinParameters!$B$8:$B$39,Financials!$E17,FinParameters!$C$8:$C$39,Financials!$F17)</f>
        <v>4256303.9115723893</v>
      </c>
      <c r="R17" s="73">
        <f t="shared" si="15"/>
        <v>-19989883.911428198</v>
      </c>
      <c r="S17" s="12">
        <f t="shared" si="4"/>
        <v>-0.77918007739694528</v>
      </c>
      <c r="T17" s="114">
        <f t="shared" si="5"/>
        <v>15578949.358699121</v>
      </c>
      <c r="U17" s="73">
        <f>T17/SUMIFS(FinParameters!$L$8:$L$39,FinParameters!$B$8:$B$39,Financials!$E17,FinParameters!$C$8:$C$39,Financials!$F17)</f>
        <v>14466603.197236601</v>
      </c>
      <c r="V17" s="73">
        <f t="shared" si="6"/>
        <v>14466603.197236601</v>
      </c>
      <c r="W17" s="12"/>
      <c r="X17" s="73">
        <f t="shared" si="7"/>
        <v>21244089.865001973</v>
      </c>
      <c r="Y17" s="73">
        <f t="shared" si="8"/>
        <v>18722907.108808991</v>
      </c>
      <c r="Z17" s="73">
        <f t="shared" si="8"/>
        <v>-5523280.714191597</v>
      </c>
      <c r="AA17" s="12">
        <f t="shared" si="9"/>
        <v>-0.21529040956103213</v>
      </c>
      <c r="AB17" s="114">
        <f t="shared" si="10"/>
        <v>3370929.3160436135</v>
      </c>
      <c r="AC17" s="73">
        <f>AB17/SUMIFS(FinParameters!$L$8:$L$39,FinParameters!$B$8:$B$39,Financials!$E17,FinParameters!$C$8:$C$39,Financials!$F17)</f>
        <v>3130242.9771302114</v>
      </c>
      <c r="AD17" s="73">
        <f t="shared" si="11"/>
        <v>3130242.9771302114</v>
      </c>
      <c r="AE17" s="12"/>
      <c r="AF17" s="73">
        <f t="shared" si="12"/>
        <v>24615019.181045584</v>
      </c>
      <c r="AG17" s="73">
        <f t="shared" si="13"/>
        <v>21853150.085939202</v>
      </c>
      <c r="AH17" s="73">
        <f t="shared" si="13"/>
        <v>-2393037.7370613855</v>
      </c>
      <c r="AI17" s="12">
        <f t="shared" si="14"/>
        <v>-9.3277546655051197E-2</v>
      </c>
      <c r="AL17" s="73">
        <f>Summary!G17</f>
        <v>1602024.2522986692</v>
      </c>
      <c r="AM17" s="73">
        <f>IF(D17&lt;&gt;"avg",SUMIFS(Summary!$H:$H,Summary!$C:$C,Financials!C17,Summary!$E:$E,Financials!E17,Summary!$D:$D,1-Financials!D17,Summary!$F:$F,Financials!F17),SUMIFS(Summary!$H:$H,Summary!$C:$C,Financials!C17,Summary!$E:$E,Financials!E17,Summary!$D:$D,"avg",Summary!$F:$F,Financials!F17))</f>
        <v>1958943.5200518938</v>
      </c>
      <c r="AN17" s="20">
        <f>Summary!I17</f>
        <v>5540096.4428083496</v>
      </c>
      <c r="AP17" s="12">
        <v>1</v>
      </c>
      <c r="AU17" s="104"/>
      <c r="AX17" s="20"/>
      <c r="AY17" s="119"/>
      <c r="AZ17" s="120"/>
    </row>
    <row r="18" spans="1:52" x14ac:dyDescent="0.3">
      <c r="A18">
        <v>14</v>
      </c>
      <c r="B18" t="str">
        <f>Summary!B18</f>
        <v>MarinusPortland</v>
      </c>
      <c r="C18" t="str">
        <f>Summary!C18</f>
        <v>Wind</v>
      </c>
      <c r="D18" s="104">
        <f>Summary!D18</f>
        <v>0.05</v>
      </c>
      <c r="E18" t="str">
        <f>Summary!E18</f>
        <v>Cal-23</v>
      </c>
      <c r="F18" t="str">
        <f>Summary!F18</f>
        <v>Wartsila dual fuel</v>
      </c>
      <c r="G18" s="73">
        <f>SUMIFS(AL$5:AL18,$F$5:$F18,$F18,$D$5:$D18,$D18)</f>
        <v>8103503.5018378571</v>
      </c>
      <c r="H18" s="73">
        <f>SUMIFS(AM$5:AM18,$F$5:$F18,$F18,$D$5:$D18,$D18)</f>
        <v>7799317.7709221579</v>
      </c>
      <c r="I18" s="20">
        <f>SUMIFS(AN$5:AN18,$F$5:$F18,$F18,$D$5:$D18,$D18)</f>
        <v>7830743.9896997605</v>
      </c>
      <c r="J18" s="73">
        <f t="shared" si="0"/>
        <v>7830743.9896997605</v>
      </c>
      <c r="K18" s="73">
        <f t="shared" si="1"/>
        <v>15934247.491537618</v>
      </c>
      <c r="L18" s="73">
        <f t="shared" si="2"/>
        <v>23733565.262459777</v>
      </c>
      <c r="M18" s="73">
        <f>-SUMIFS(FinParameters!$E$8:$E$39,FinParameters!$B$8:$B$39,Financials!$E18,FinParameters!$C$8:$C$39,Financials!$F18)</f>
        <v>-4275000</v>
      </c>
      <c r="N18" s="73">
        <f>-SUMIFS(FinParameters!$F$8:$F$39,FinParameters!$B$8:$B$39,Financials!$E18,FinParameters!$C$8:$C$39,Financials!$F18)</f>
        <v>-74000000</v>
      </c>
      <c r="O18" s="73">
        <f>SUMIFS(FinParameters!$G$8:$G$39,FinParameters!$B$8:$B$39,Financials!$E18,FinParameters!$C$8:$C$39,Financials!$F18)</f>
        <v>48344975.582268953</v>
      </c>
      <c r="P18" s="73">
        <f t="shared" si="3"/>
        <v>3555743.9896997605</v>
      </c>
      <c r="Q18" s="73">
        <f>P18/SUMIFS(FinParameters!$H$8:$H$39,FinParameters!$B$8:$B$39,Financials!$E18,FinParameters!$C$8:$C$39,Financials!$F18)</f>
        <v>2671483.0876782564</v>
      </c>
      <c r="R18" s="73">
        <f t="shared" si="15"/>
        <v>-22099280.428031281</v>
      </c>
      <c r="S18" s="12">
        <f t="shared" si="4"/>
        <v>-0.86140165248713341</v>
      </c>
      <c r="T18" s="114">
        <f t="shared" si="5"/>
        <v>8103503.5018378571</v>
      </c>
      <c r="U18" s="73">
        <f>T18/SUMIFS(FinParameters!$L$8:$L$39,FinParameters!$B$8:$B$39,Financials!$E18,FinParameters!$C$8:$C$39,Financials!$F18)</f>
        <v>7524908.5781927556</v>
      </c>
      <c r="V18" s="73">
        <f t="shared" si="6"/>
        <v>7524908.5781927556</v>
      </c>
      <c r="W18" s="12"/>
      <c r="X18" s="73">
        <f t="shared" si="7"/>
        <v>11659247.491537618</v>
      </c>
      <c r="Y18" s="73">
        <f t="shared" si="8"/>
        <v>10196391.665871013</v>
      </c>
      <c r="Z18" s="73">
        <f t="shared" si="8"/>
        <v>-14574371.849838525</v>
      </c>
      <c r="AA18" s="12">
        <f t="shared" si="9"/>
        <v>-0.56809035191428969</v>
      </c>
      <c r="AB18" s="114">
        <f t="shared" si="10"/>
        <v>7799317.7709221579</v>
      </c>
      <c r="AC18" s="73">
        <f>AB18/SUMIFS(FinParameters!$L$8:$L$39,FinParameters!$B$8:$B$39,Financials!$E18,FinParameters!$C$8:$C$39,Financials!$F18)</f>
        <v>7242441.887654244</v>
      </c>
      <c r="AD18" s="73">
        <f t="shared" si="11"/>
        <v>7242441.887654244</v>
      </c>
      <c r="AE18" s="12"/>
      <c r="AF18" s="73">
        <f t="shared" si="12"/>
        <v>19458565.262459777</v>
      </c>
      <c r="AG18" s="73">
        <f t="shared" si="13"/>
        <v>17438833.553525258</v>
      </c>
      <c r="AH18" s="73">
        <f t="shared" si="13"/>
        <v>-7331929.9621842811</v>
      </c>
      <c r="AI18" s="12">
        <f t="shared" si="14"/>
        <v>-0.28578924123404609</v>
      </c>
      <c r="AL18" s="73">
        <f>Summary!G18</f>
        <v>-2226182.7781293415</v>
      </c>
      <c r="AM18" s="73">
        <f>IF(D18&lt;&gt;"avg",SUMIFS(Summary!$H:$H,Summary!$C:$C,Financials!C18,Summary!$E:$E,Financials!E18,Summary!$D:$D,1-Financials!D18,Summary!$F:$F,Financials!F18),SUMIFS(Summary!$H:$H,Summary!$C:$C,Financials!C18,Summary!$E:$E,Financials!E18,Summary!$D:$D,"avg",Summary!$F:$F,Financials!F18))</f>
        <v>4493800.4094558423</v>
      </c>
      <c r="AN18" s="20">
        <f>Summary!I18</f>
        <v>4378586.7097803121</v>
      </c>
      <c r="AP18" s="12">
        <v>1</v>
      </c>
      <c r="AU18" s="104"/>
      <c r="AX18" s="20"/>
      <c r="AY18" s="119"/>
      <c r="AZ18" s="120"/>
    </row>
    <row r="19" spans="1:52" x14ac:dyDescent="0.3">
      <c r="A19">
        <v>15</v>
      </c>
      <c r="B19" t="str">
        <f>Summary!B19</f>
        <v>MarinusPortland</v>
      </c>
      <c r="C19" t="str">
        <f>Summary!C19</f>
        <v>Wind</v>
      </c>
      <c r="D19" s="104">
        <f>Summary!D19</f>
        <v>0</v>
      </c>
      <c r="E19" t="str">
        <f>Summary!E19</f>
        <v>Cal-23</v>
      </c>
      <c r="F19" t="str">
        <f>Summary!F19</f>
        <v>Wartsila dual fuel</v>
      </c>
      <c r="G19" s="73">
        <f>SUMIFS(AL$5:AL19,$F$5:$F19,$F19,$D$5:$D19,$D19)</f>
        <v>-2676456.1285104537</v>
      </c>
      <c r="H19" s="73">
        <f>SUMIFS(AM$5:AM19,$F$5:$F19,$F19,$D$5:$D19,$D19)</f>
        <v>17405272.209456462</v>
      </c>
      <c r="I19" s="20">
        <f>SUMIFS(AN$5:AN19,$F$5:$F19,$F19,$D$5:$D19,$D19)</f>
        <v>4144381.9544936926</v>
      </c>
      <c r="J19" s="73">
        <f t="shared" si="0"/>
        <v>4144381.9544936926</v>
      </c>
      <c r="K19" s="73">
        <f t="shared" si="1"/>
        <v>1467925.8259832389</v>
      </c>
      <c r="L19" s="73">
        <f t="shared" si="2"/>
        <v>18873198.035439704</v>
      </c>
      <c r="M19" s="73">
        <f>-SUMIFS(FinParameters!$E$8:$E$39,FinParameters!$B$8:$B$39,Financials!$E19,FinParameters!$C$8:$C$39,Financials!$F19)</f>
        <v>-4275000</v>
      </c>
      <c r="N19" s="73">
        <f>-SUMIFS(FinParameters!$F$8:$F$39,FinParameters!$B$8:$B$39,Financials!$E19,FinParameters!$C$8:$C$39,Financials!$F19)</f>
        <v>-74000000</v>
      </c>
      <c r="O19" s="73">
        <f>SUMIFS(FinParameters!$G$8:$G$39,FinParameters!$B$8:$B$39,Financials!$E19,FinParameters!$C$8:$C$39,Financials!$F19)</f>
        <v>48344975.582268953</v>
      </c>
      <c r="P19" s="73">
        <f t="shared" si="3"/>
        <v>-130618.04550630739</v>
      </c>
      <c r="Q19" s="73">
        <f>P19/SUMIFS(FinParameters!$H$8:$H$39,FinParameters!$B$8:$B$39,Financials!$E19,FinParameters!$C$8:$C$39,Financials!$F19)</f>
        <v>-98135.270853724534</v>
      </c>
      <c r="R19" s="73">
        <f t="shared" si="15"/>
        <v>-25785642.46323736</v>
      </c>
      <c r="S19" s="12">
        <f t="shared" si="4"/>
        <v>-1.0050913241546571</v>
      </c>
      <c r="T19" s="114">
        <f t="shared" si="5"/>
        <v>-2676456.1285104537</v>
      </c>
      <c r="U19" s="73">
        <f>T19/SUMIFS(FinParameters!$L$8:$L$39,FinParameters!$B$8:$B$39,Financials!$E19,FinParameters!$C$8:$C$39,Financials!$F19)</f>
        <v>-2485355.5842873589</v>
      </c>
      <c r="V19" s="73">
        <f t="shared" si="6"/>
        <v>-2485355.5842873589</v>
      </c>
      <c r="W19" s="12"/>
      <c r="X19" s="73">
        <f t="shared" si="7"/>
        <v>-2807074.1740167611</v>
      </c>
      <c r="Y19" s="73">
        <f t="shared" si="8"/>
        <v>-2583490.8551410832</v>
      </c>
      <c r="Z19" s="73">
        <f t="shared" si="8"/>
        <v>-28270998.04752472</v>
      </c>
      <c r="AA19" s="12">
        <f t="shared" si="9"/>
        <v>-1.1019673022796146</v>
      </c>
      <c r="AB19" s="114">
        <f t="shared" si="10"/>
        <v>17405272.209456462</v>
      </c>
      <c r="AC19" s="73">
        <f>AB19/SUMIFS(FinParameters!$L$8:$L$39,FinParameters!$B$8:$B$39,Financials!$E19,FinParameters!$C$8:$C$39,Financials!$F19)</f>
        <v>16162525.520599145</v>
      </c>
      <c r="AD19" s="73">
        <f t="shared" si="11"/>
        <v>16162525.520599145</v>
      </c>
      <c r="AE19" s="12"/>
      <c r="AF19" s="73">
        <f t="shared" si="12"/>
        <v>14598198.035439702</v>
      </c>
      <c r="AG19" s="73">
        <f t="shared" si="13"/>
        <v>13579034.665458063</v>
      </c>
      <c r="AH19" s="73">
        <f t="shared" si="13"/>
        <v>-12108472.526925575</v>
      </c>
      <c r="AI19" s="12">
        <f t="shared" si="14"/>
        <v>-0.47197275394355126</v>
      </c>
      <c r="AL19" s="73">
        <f>Summary!G19</f>
        <v>-6409679.0053364141</v>
      </c>
      <c r="AM19" s="73">
        <f>IF(D19&lt;&gt;"avg",SUMIFS(Summary!$H:$H,Summary!$C:$C,Financials!C19,Summary!$E:$E,Financials!E19,Summary!$D:$D,1-Financials!D19,Summary!$F:$F,Financials!F19),SUMIFS(Summary!$H:$H,Summary!$C:$C,Financials!C19,Summary!$E:$E,Financials!E19,Summary!$D:$D,"avg",Summary!$F:$F,Financials!F19))</f>
        <v>10027127.994788829</v>
      </c>
      <c r="AN19" s="20">
        <f>Summary!I19</f>
        <v>2289288.9242196986</v>
      </c>
      <c r="AP19" s="12">
        <v>1</v>
      </c>
      <c r="AU19" s="104"/>
      <c r="AX19" s="20"/>
      <c r="AY19" s="119"/>
      <c r="AZ19" s="120"/>
    </row>
    <row r="20" spans="1:52" x14ac:dyDescent="0.3">
      <c r="A20">
        <v>16</v>
      </c>
      <c r="B20" t="str">
        <f>Summary!B20</f>
        <v>MarinusPortland</v>
      </c>
      <c r="C20" t="str">
        <f>Summary!C20</f>
        <v>Wind</v>
      </c>
      <c r="D20" s="104" t="str">
        <f>Summary!D20</f>
        <v>avg</v>
      </c>
      <c r="E20" t="str">
        <f>Summary!E20</f>
        <v>Cal-23</v>
      </c>
      <c r="F20" t="str">
        <f>Summary!F20</f>
        <v>Wartsila dual fuel</v>
      </c>
      <c r="G20" s="73">
        <f>SUMIFS(AL$5:AL20,$F$5:$F20,$F20,$D$5:$D20,$D20)</f>
        <v>24416497.176652879</v>
      </c>
      <c r="H20" s="73">
        <f>SUMIFS(AM$5:AM20,$F$5:$F20,$F20,$D$5:$D20,$D20)</f>
        <v>-297670.50282898149</v>
      </c>
      <c r="I20" s="20">
        <f>SUMIFS(AN$5:AN20,$F$5:$F20,$F20,$D$5:$D20,$D20)</f>
        <v>11933608.354256922</v>
      </c>
      <c r="J20" s="73">
        <f t="shared" si="0"/>
        <v>11933608.354256922</v>
      </c>
      <c r="K20" s="73">
        <f t="shared" si="1"/>
        <v>36350105.530909799</v>
      </c>
      <c r="L20" s="73">
        <f t="shared" si="2"/>
        <v>36052435.028080821</v>
      </c>
      <c r="M20" s="73">
        <f>-SUMIFS(FinParameters!$E$8:$E$39,FinParameters!$B$8:$B$39,Financials!$E20,FinParameters!$C$8:$C$39,Financials!$F20)</f>
        <v>-4275000</v>
      </c>
      <c r="N20" s="73">
        <f>-SUMIFS(FinParameters!$F$8:$F$39,FinParameters!$B$8:$B$39,Financials!$E20,FinParameters!$C$8:$C$39,Financials!$F20)</f>
        <v>-74000000</v>
      </c>
      <c r="O20" s="73">
        <f>SUMIFS(FinParameters!$G$8:$G$39,FinParameters!$B$8:$B$39,Financials!$E20,FinParameters!$C$8:$C$39,Financials!$F20)</f>
        <v>48344975.582268953</v>
      </c>
      <c r="P20" s="73">
        <f t="shared" si="3"/>
        <v>7658608.3542569224</v>
      </c>
      <c r="Q20" s="73">
        <f>P20/SUMIFS(FinParameters!$H$8:$H$39,FinParameters!$B$8:$B$39,Financials!$E20,FinParameters!$C$8:$C$39,Financials!$F20)</f>
        <v>5754025.8108616984</v>
      </c>
      <c r="R20" s="73">
        <f t="shared" si="15"/>
        <v>-17996416.063474126</v>
      </c>
      <c r="S20" s="12">
        <f t="shared" si="4"/>
        <v>-0.7014772533615754</v>
      </c>
      <c r="T20" s="114">
        <f t="shared" si="5"/>
        <v>24416497.176652879</v>
      </c>
      <c r="U20" s="73">
        <f>T20/SUMIFS(FinParameters!$L$8:$L$39,FinParameters!$B$8:$B$39,Financials!$E20,FinParameters!$C$8:$C$39,Financials!$F20)</f>
        <v>22673144.894963574</v>
      </c>
      <c r="V20" s="73">
        <f t="shared" si="6"/>
        <v>22673144.894963574</v>
      </c>
      <c r="W20" s="12"/>
      <c r="X20" s="73">
        <f t="shared" si="7"/>
        <v>32075105.530909799</v>
      </c>
      <c r="Y20" s="73">
        <f t="shared" si="8"/>
        <v>28427170.705825273</v>
      </c>
      <c r="Z20" s="73">
        <f t="shared" si="8"/>
        <v>4676728.8314894475</v>
      </c>
      <c r="AA20" s="12">
        <f t="shared" si="9"/>
        <v>0.18229290120095165</v>
      </c>
      <c r="AB20" s="114">
        <f t="shared" si="10"/>
        <v>-297670.50282898149</v>
      </c>
      <c r="AC20" s="73">
        <f>AB20/SUMIFS(FinParameters!$L$8:$L$39,FinParameters!$B$8:$B$39,Financials!$E20,FinParameters!$C$8:$C$39,Financials!$F20)</f>
        <v>-276416.65357517765</v>
      </c>
      <c r="AD20" s="73">
        <f t="shared" si="11"/>
        <v>-276416.65357517765</v>
      </c>
      <c r="AE20" s="12"/>
      <c r="AF20" s="73">
        <f t="shared" si="12"/>
        <v>31777435.028080817</v>
      </c>
      <c r="AG20" s="73">
        <f t="shared" si="13"/>
        <v>28150754.052250095</v>
      </c>
      <c r="AH20" s="73">
        <f t="shared" si="13"/>
        <v>4400312.1779142702</v>
      </c>
      <c r="AI20" s="12">
        <f t="shared" si="14"/>
        <v>0.17151853400198158</v>
      </c>
      <c r="AL20" s="73">
        <f>Summary!G20</f>
        <v>5402854.1614119262</v>
      </c>
      <c r="AM20" s="73">
        <f>IF(D20&lt;&gt;"avg",SUMIFS(Summary!$H:$H,Summary!$C:$C,Financials!C20,Summary!$E:$E,Financials!E20,Summary!$D:$D,1-Financials!D20,Summary!$F:$F,Financials!F20),SUMIFS(Summary!$H:$H,Summary!$C:$C,Financials!C20,Summary!$E:$E,Financials!E20,Summary!$D:$D,"avg",Summary!$F:$F,Financials!F20))</f>
        <v>-175074.13036700661</v>
      </c>
      <c r="AN20" s="20">
        <f>Summary!I20</f>
        <v>6572457.4609526834</v>
      </c>
      <c r="AP20" s="12">
        <v>1</v>
      </c>
      <c r="AU20" s="104"/>
      <c r="AX20" s="20"/>
      <c r="AY20" s="119"/>
    </row>
    <row r="21" spans="1:52" x14ac:dyDescent="0.3">
      <c r="A21">
        <v>17</v>
      </c>
      <c r="B21" t="str">
        <f>Summary!B21</f>
        <v>MarinusPortland</v>
      </c>
      <c r="C21" t="str">
        <f>Summary!C21</f>
        <v>Wind</v>
      </c>
      <c r="D21" s="104">
        <f>Summary!D21</f>
        <v>1</v>
      </c>
      <c r="E21" t="str">
        <f>Summary!E21</f>
        <v>Cal-24</v>
      </c>
      <c r="F21" t="str">
        <f>Summary!F21</f>
        <v>Wartsila dual fuel</v>
      </c>
      <c r="G21" s="73">
        <f>SUMIFS(AL$5:AL21,$F$5:$F21,$F21,$D$5:$D21,$D21)</f>
        <v>86006842.733915493</v>
      </c>
      <c r="H21" s="73">
        <f>SUMIFS(AM$5:AM21,$F$5:$F21,$F21,$D$5:$D21,$D21)</f>
        <v>-39336406.747550413</v>
      </c>
      <c r="I21" s="20">
        <f>SUMIFS(AN$5:AN21,$F$5:$F21,$F21,$D$5:$D21,$D21)</f>
        <v>37298667.408656694</v>
      </c>
      <c r="J21" s="73">
        <f t="shared" si="0"/>
        <v>37298667.408656694</v>
      </c>
      <c r="K21" s="73">
        <f t="shared" si="1"/>
        <v>123305510.14257219</v>
      </c>
      <c r="L21" s="73">
        <f t="shared" si="2"/>
        <v>83969103.395021766</v>
      </c>
      <c r="M21" s="73">
        <f>-SUMIFS(FinParameters!$E$8:$E$39,FinParameters!$B$8:$B$39,Financials!$E21,FinParameters!$C$8:$C$39,Financials!$F21)</f>
        <v>-5925625</v>
      </c>
      <c r="N21" s="73">
        <f>-SUMIFS(FinParameters!$F$8:$F$39,FinParameters!$B$8:$B$39,Financials!$E21,FinParameters!$C$8:$C$39,Financials!$F21)</f>
        <v>-74000000</v>
      </c>
      <c r="O21" s="73">
        <f>SUMIFS(FinParameters!$G$8:$G$39,FinParameters!$B$8:$B$39,Financials!$E21,FinParameters!$C$8:$C$39,Financials!$F21)</f>
        <v>40983354.300423451</v>
      </c>
      <c r="P21" s="73">
        <f t="shared" si="3"/>
        <v>31373042.408656694</v>
      </c>
      <c r="Q21" s="73">
        <f>P21/SUMIFS(FinParameters!$H$8:$H$39,FinParameters!$B$8:$B$39,Financials!$E21,FinParameters!$C$8:$C$39,Financials!$F21)</f>
        <v>21428210.100851499</v>
      </c>
      <c r="R21" s="73">
        <f t="shared" si="15"/>
        <v>-1643603.2909198552</v>
      </c>
      <c r="S21" s="12">
        <f t="shared" si="4"/>
        <v>-4.9781050015657254E-2</v>
      </c>
      <c r="T21" s="114">
        <f t="shared" si="5"/>
        <v>86006842.733915493</v>
      </c>
      <c r="U21" s="73">
        <f>T21/SUMIFS(FinParameters!$L$8:$L$39,FinParameters!$B$8:$B$39,Financials!$E21,FinParameters!$C$8:$C$39,Financials!$F21)</f>
        <v>77917954.631981865</v>
      </c>
      <c r="V21" s="73">
        <f t="shared" si="6"/>
        <v>77917954.631981865</v>
      </c>
      <c r="W21" s="12"/>
      <c r="X21" s="73">
        <f t="shared" si="7"/>
        <v>117379885.14257219</v>
      </c>
      <c r="Y21" s="73">
        <f t="shared" si="8"/>
        <v>99346164.732833356</v>
      </c>
      <c r="Z21" s="73">
        <f t="shared" si="8"/>
        <v>76274351.341062009</v>
      </c>
      <c r="AA21" s="12">
        <f t="shared" si="9"/>
        <v>2.3101786909274149</v>
      </c>
      <c r="AB21" s="114">
        <f t="shared" si="10"/>
        <v>-39336406.747550413</v>
      </c>
      <c r="AC21" s="73">
        <f>AB21/SUMIFS(FinParameters!$L$8:$L$39,FinParameters!$B$8:$B$39,Financials!$E21,FinParameters!$C$8:$C$39,Financials!$F21)</f>
        <v>-35636843.057048731</v>
      </c>
      <c r="AD21" s="73">
        <f t="shared" si="11"/>
        <v>-35636843.057048731</v>
      </c>
      <c r="AE21" s="12"/>
      <c r="AF21" s="73">
        <f t="shared" si="12"/>
        <v>78043478.395021781</v>
      </c>
      <c r="AG21" s="73">
        <f t="shared" si="13"/>
        <v>63709321.675784625</v>
      </c>
      <c r="AH21" s="73">
        <f t="shared" si="13"/>
        <v>40637508.284013279</v>
      </c>
      <c r="AI21" s="12">
        <f t="shared" si="14"/>
        <v>1.2308188013337307</v>
      </c>
      <c r="AL21" s="73">
        <f>Summary!G21</f>
        <v>16341145.621148063</v>
      </c>
      <c r="AM21" s="73">
        <f>IF(D21&lt;&gt;"avg",SUMIFS(Summary!$H:$H,Summary!$C:$C,Financials!C21,Summary!$E:$E,Financials!E21,Summary!$D:$D,1-Financials!D21,Summary!$F:$F,Financials!F21),SUMIFS(Summary!$H:$H,Summary!$C:$C,Financials!C21,Summary!$E:$E,Financials!E21,Summary!$D:$D,"avg",Summary!$F:$F,Financials!F21))</f>
        <v>-14274221.106096838</v>
      </c>
      <c r="AN21" s="20">
        <f>Summary!I21</f>
        <v>11678368.07275871</v>
      </c>
      <c r="AP21" s="12">
        <v>1</v>
      </c>
    </row>
    <row r="22" spans="1:52" x14ac:dyDescent="0.3">
      <c r="A22">
        <v>18</v>
      </c>
      <c r="B22" t="str">
        <f>Summary!B22</f>
        <v>MarinusPortland</v>
      </c>
      <c r="C22" t="str">
        <f>Summary!C22</f>
        <v>Wind</v>
      </c>
      <c r="D22" s="104">
        <f>Summary!D22</f>
        <v>0.95</v>
      </c>
      <c r="E22" t="str">
        <f>Summary!E22</f>
        <v>Cal-24</v>
      </c>
      <c r="F22" t="str">
        <f>Summary!F22</f>
        <v>Wartsila dual fuel</v>
      </c>
      <c r="G22" s="73">
        <f>SUMIFS(AL$5:AL22,$F$5:$F22,$F22,$D$5:$D22,$D22)</f>
        <v>51797046.002224758</v>
      </c>
      <c r="H22" s="73">
        <f>SUMIFS(AM$5:AM22,$F$5:$F22,$F22,$D$5:$D22,$D22)</f>
        <v>-15742893.344050366</v>
      </c>
      <c r="I22" s="20">
        <f>SUMIFS(AN$5:AN22,$F$5:$F22,$F22,$D$5:$D22,$D22)</f>
        <v>24582224.069984078</v>
      </c>
      <c r="J22" s="73">
        <f t="shared" si="0"/>
        <v>24582224.069984078</v>
      </c>
      <c r="K22" s="73">
        <f t="shared" si="1"/>
        <v>76379270.072208837</v>
      </c>
      <c r="L22" s="73">
        <f t="shared" si="2"/>
        <v>60636376.728158474</v>
      </c>
      <c r="M22" s="73">
        <f>-SUMIFS(FinParameters!$E$8:$E$39,FinParameters!$B$8:$B$39,Financials!$E22,FinParameters!$C$8:$C$39,Financials!$F22)</f>
        <v>-5925625</v>
      </c>
      <c r="N22" s="73">
        <f>-SUMIFS(FinParameters!$F$8:$F$39,FinParameters!$B$8:$B$39,Financials!$E22,FinParameters!$C$8:$C$39,Financials!$F22)</f>
        <v>-74000000</v>
      </c>
      <c r="O22" s="73">
        <f>SUMIFS(FinParameters!$G$8:$G$39,FinParameters!$B$8:$B$39,Financials!$E22,FinParameters!$C$8:$C$39,Financials!$F22)</f>
        <v>40983354.300423451</v>
      </c>
      <c r="P22" s="73">
        <f t="shared" si="3"/>
        <v>18656599.069984078</v>
      </c>
      <c r="Q22" s="73">
        <f>P22/SUMIFS(FinParameters!$H$8:$H$39,FinParameters!$B$8:$B$39,Financials!$E22,FinParameters!$C$8:$C$39,Financials!$F22)</f>
        <v>12742708.196150584</v>
      </c>
      <c r="R22" s="73">
        <f t="shared" si="15"/>
        <v>-14360046.629592471</v>
      </c>
      <c r="S22" s="12">
        <f t="shared" si="4"/>
        <v>-0.43493354110701332</v>
      </c>
      <c r="T22" s="114">
        <f t="shared" si="5"/>
        <v>51797046.002224758</v>
      </c>
      <c r="U22" s="73">
        <f>T22/SUMIFS(FinParameters!$L$8:$L$39,FinParameters!$B$8:$B$39,Financials!$E22,FinParameters!$C$8:$C$39,Financials!$F22)</f>
        <v>46925567.224438094</v>
      </c>
      <c r="V22" s="73">
        <f t="shared" si="6"/>
        <v>46925567.224438094</v>
      </c>
      <c r="W22" s="12"/>
      <c r="X22" s="73">
        <f t="shared" si="7"/>
        <v>70453645.072208837</v>
      </c>
      <c r="Y22" s="73">
        <f t="shared" si="8"/>
        <v>59668275.42058868</v>
      </c>
      <c r="Z22" s="73">
        <f t="shared" si="8"/>
        <v>32565520.594845623</v>
      </c>
      <c r="AA22" s="12">
        <f t="shared" si="9"/>
        <v>0.986336434390223</v>
      </c>
      <c r="AB22" s="114">
        <f t="shared" si="10"/>
        <v>-15742893.344050366</v>
      </c>
      <c r="AC22" s="73">
        <f>AB22/SUMIFS(FinParameters!$L$8:$L$39,FinParameters!$B$8:$B$39,Financials!$E22,FinParameters!$C$8:$C$39,Financials!$F22)</f>
        <v>-14262284.376056202</v>
      </c>
      <c r="AD22" s="73">
        <f t="shared" si="11"/>
        <v>-14262284.376056202</v>
      </c>
      <c r="AE22" s="12"/>
      <c r="AF22" s="73">
        <f t="shared" si="12"/>
        <v>54710751.728158474</v>
      </c>
      <c r="AG22" s="73">
        <f t="shared" si="13"/>
        <v>45405991.044532478</v>
      </c>
      <c r="AH22" s="73">
        <f t="shared" si="13"/>
        <v>18303236.218789421</v>
      </c>
      <c r="AI22" s="12">
        <f t="shared" si="14"/>
        <v>0.5543638922419114</v>
      </c>
      <c r="AL22" s="73">
        <f>Summary!G22</f>
        <v>6106770.9114028793</v>
      </c>
      <c r="AM22" s="73">
        <f>IF(D22&lt;&gt;"avg",SUMIFS(Summary!$H:$H,Summary!$C:$C,Financials!C22,Summary!$E:$E,Financials!E22,Summary!$D:$D,1-Financials!D22,Summary!$F:$F,Financials!F22),SUMIFS(Summary!$H:$H,Summary!$C:$C,Financials!C22,Summary!$E:$E,Financials!E22,Summary!$D:$D,"avg",Summary!$F:$F,Financials!F22))</f>
        <v>-6345462.0643353947</v>
      </c>
      <c r="AN22" s="20">
        <f>Summary!I22</f>
        <v>7441819.5229787091</v>
      </c>
      <c r="AP22" s="12">
        <v>1</v>
      </c>
    </row>
    <row r="23" spans="1:52" x14ac:dyDescent="0.3">
      <c r="A23">
        <v>19</v>
      </c>
      <c r="B23" t="str">
        <f>Summary!B23</f>
        <v>MarinusPortland</v>
      </c>
      <c r="C23" t="str">
        <f>Summary!C23</f>
        <v>Wind</v>
      </c>
      <c r="D23" s="104">
        <f>Summary!D23</f>
        <v>0.75</v>
      </c>
      <c r="E23" t="str">
        <f>Summary!E23</f>
        <v>Cal-24</v>
      </c>
      <c r="F23" t="str">
        <f>Summary!F23</f>
        <v>Wartsila dual fuel</v>
      </c>
      <c r="G23" s="73">
        <f>SUMIFS(AL$5:AL23,$F$5:$F23,$F23,$D$5:$D23,$D23)</f>
        <v>32266564.774680376</v>
      </c>
      <c r="H23" s="73">
        <f>SUMIFS(AM$5:AM23,$F$5:$F23,$F23,$D$5:$D23,$D23)</f>
        <v>-6247358.4010618636</v>
      </c>
      <c r="I23" s="20">
        <f>SUMIFS(AN$5:AN23,$F$5:$F23,$F23,$D$5:$D23,$D23)</f>
        <v>19428033.699352864</v>
      </c>
      <c r="J23" s="73">
        <f t="shared" si="0"/>
        <v>19428033.699352864</v>
      </c>
      <c r="K23" s="73">
        <f t="shared" si="1"/>
        <v>51694598.474033237</v>
      </c>
      <c r="L23" s="73">
        <f t="shared" si="2"/>
        <v>45447240.072971374</v>
      </c>
      <c r="M23" s="73">
        <f>-SUMIFS(FinParameters!$E$8:$E$39,FinParameters!$B$8:$B$39,Financials!$E23,FinParameters!$C$8:$C$39,Financials!$F23)</f>
        <v>-5925625</v>
      </c>
      <c r="N23" s="73">
        <f>-SUMIFS(FinParameters!$F$8:$F$39,FinParameters!$B$8:$B$39,Financials!$E23,FinParameters!$C$8:$C$39,Financials!$F23)</f>
        <v>-74000000</v>
      </c>
      <c r="O23" s="73">
        <f>SUMIFS(FinParameters!$G$8:$G$39,FinParameters!$B$8:$B$39,Financials!$E23,FinParameters!$C$8:$C$39,Financials!$F23)</f>
        <v>40983354.300423451</v>
      </c>
      <c r="P23" s="73">
        <f t="shared" si="3"/>
        <v>13502408.699352864</v>
      </c>
      <c r="Q23" s="73">
        <f>P23/SUMIFS(FinParameters!$H$8:$H$39,FinParameters!$B$8:$B$39,Financials!$E23,FinParameters!$C$8:$C$39,Financials!$F23)</f>
        <v>9222326.8214963861</v>
      </c>
      <c r="R23" s="73">
        <f t="shared" si="15"/>
        <v>-19514237.000223689</v>
      </c>
      <c r="S23" s="12">
        <f t="shared" si="4"/>
        <v>-0.59104238443198265</v>
      </c>
      <c r="T23" s="114">
        <f t="shared" si="5"/>
        <v>32266564.774680376</v>
      </c>
      <c r="U23" s="73">
        <f>T23/SUMIFS(FinParameters!$L$8:$L$39,FinParameters!$B$8:$B$39,Financials!$E23,FinParameters!$C$8:$C$39,Financials!$F23)</f>
        <v>29231915.163094748</v>
      </c>
      <c r="V23" s="73">
        <f t="shared" si="6"/>
        <v>29231915.163094748</v>
      </c>
      <c r="W23" s="12"/>
      <c r="X23" s="73">
        <f t="shared" si="7"/>
        <v>45768973.474033237</v>
      </c>
      <c r="Y23" s="73">
        <f t="shared" si="8"/>
        <v>38454241.984591134</v>
      </c>
      <c r="Z23" s="73">
        <f t="shared" si="8"/>
        <v>9717678.162871059</v>
      </c>
      <c r="AA23" s="12">
        <f t="shared" si="9"/>
        <v>0.29432663303515694</v>
      </c>
      <c r="AB23" s="114">
        <f t="shared" si="10"/>
        <v>-6247358.4010618636</v>
      </c>
      <c r="AC23" s="73">
        <f>AB23/SUMIFS(FinParameters!$L$8:$L$39,FinParameters!$B$8:$B$39,Financials!$E23,FinParameters!$C$8:$C$39,Financials!$F23)</f>
        <v>-5659798.3717371617</v>
      </c>
      <c r="AD23" s="73">
        <f t="shared" si="11"/>
        <v>-5659798.3717371617</v>
      </c>
      <c r="AE23" s="12"/>
      <c r="AF23" s="73">
        <f t="shared" si="12"/>
        <v>39521615.072971374</v>
      </c>
      <c r="AG23" s="73">
        <f t="shared" si="13"/>
        <v>32794443.612853974</v>
      </c>
      <c r="AH23" s="73">
        <f t="shared" si="13"/>
        <v>4057879.7911338974</v>
      </c>
      <c r="AI23" s="12">
        <f t="shared" si="14"/>
        <v>0.1229040596085126</v>
      </c>
      <c r="AL23" s="73">
        <f>Summary!G23</f>
        <v>-326455.46626934822</v>
      </c>
      <c r="AM23" s="73">
        <f>IF(D23&lt;&gt;"avg",SUMIFS(Summary!$H:$H,Summary!$C:$C,Financials!C23,Summary!$E:$E,Financials!E23,Summary!$D:$D,1-Financials!D23,Summary!$F:$F,Financials!F23),SUMIFS(Summary!$H:$H,Summary!$C:$C,Financials!C23,Summary!$E:$E,Financials!E23,Summary!$D:$D,"avg",Summary!$F:$F,Financials!F23))</f>
        <v>-2531642.5358235184</v>
      </c>
      <c r="AN23" s="20">
        <f>Summary!I23</f>
        <v>5749825.5997739742</v>
      </c>
      <c r="AP23" s="12">
        <v>1</v>
      </c>
    </row>
    <row r="24" spans="1:52" x14ac:dyDescent="0.3">
      <c r="A24">
        <v>20</v>
      </c>
      <c r="B24" t="str">
        <f>Summary!B24</f>
        <v>MarinusPortland</v>
      </c>
      <c r="C24" t="str">
        <f>Summary!C24</f>
        <v>Wind</v>
      </c>
      <c r="D24" s="104">
        <f>Summary!D24</f>
        <v>0.5</v>
      </c>
      <c r="E24" t="str">
        <f>Summary!E24</f>
        <v>Cal-24</v>
      </c>
      <c r="F24" t="str">
        <f>Summary!F24</f>
        <v>Wartsila dual fuel</v>
      </c>
      <c r="G24" s="73">
        <f>SUMIFS(AL$5:AL24,$F$5:$F24,$F24,$D$5:$D24,$D24)</f>
        <v>17250274.179693006</v>
      </c>
      <c r="H24" s="73">
        <f>SUMIFS(AM$5:AM24,$F$5:$F24,$F24,$D$5:$D24,$D24)</f>
        <v>-847.26187807799192</v>
      </c>
      <c r="I24" s="20">
        <f>SUMIFS(AN$5:AN24,$F$5:$F24,$F24,$D$5:$D24,$D24)</f>
        <v>16325682.038187124</v>
      </c>
      <c r="J24" s="73">
        <f t="shared" si="0"/>
        <v>16325682.038187124</v>
      </c>
      <c r="K24" s="73">
        <f t="shared" si="1"/>
        <v>33575956.21788013</v>
      </c>
      <c r="L24" s="73">
        <f t="shared" si="2"/>
        <v>33575108.956002057</v>
      </c>
      <c r="M24" s="73">
        <f>-SUMIFS(FinParameters!$E$8:$E$39,FinParameters!$B$8:$B$39,Financials!$E24,FinParameters!$C$8:$C$39,Financials!$F24)</f>
        <v>-5925625</v>
      </c>
      <c r="N24" s="73">
        <f>-SUMIFS(FinParameters!$F$8:$F$39,FinParameters!$B$8:$B$39,Financials!$E24,FinParameters!$C$8:$C$39,Financials!$F24)</f>
        <v>-74000000</v>
      </c>
      <c r="O24" s="73">
        <f>SUMIFS(FinParameters!$G$8:$G$39,FinParameters!$B$8:$B$39,Financials!$E24,FinParameters!$C$8:$C$39,Financials!$F24)</f>
        <v>40983354.300423451</v>
      </c>
      <c r="P24" s="73">
        <f t="shared" si="3"/>
        <v>10400057.038187124</v>
      </c>
      <c r="Q24" s="73">
        <f>P24/SUMIFS(FinParameters!$H$8:$H$39,FinParameters!$B$8:$B$39,Financials!$E24,FinParameters!$C$8:$C$39,Financials!$F24)</f>
        <v>7103378.8936460074</v>
      </c>
      <c r="R24" s="73">
        <f t="shared" si="15"/>
        <v>-22616588.661389425</v>
      </c>
      <c r="S24" s="12">
        <f t="shared" si="4"/>
        <v>-0.68500564434016664</v>
      </c>
      <c r="T24" s="114">
        <f t="shared" si="5"/>
        <v>17250274.179693006</v>
      </c>
      <c r="U24" s="73">
        <f>T24/SUMIFS(FinParameters!$L$8:$L$39,FinParameters!$B$8:$B$39,Financials!$E24,FinParameters!$C$8:$C$39,Financials!$F24)</f>
        <v>15627897.016065443</v>
      </c>
      <c r="V24" s="73">
        <f t="shared" si="6"/>
        <v>15627897.016065443</v>
      </c>
      <c r="W24" s="12"/>
      <c r="X24" s="73">
        <f t="shared" si="7"/>
        <v>27650331.21788013</v>
      </c>
      <c r="Y24" s="73">
        <f t="shared" si="8"/>
        <v>22731275.90971145</v>
      </c>
      <c r="Z24" s="73">
        <f t="shared" si="8"/>
        <v>-6988691.6453239825</v>
      </c>
      <c r="AA24" s="12">
        <f t="shared" si="9"/>
        <v>-0.21167176426446055</v>
      </c>
      <c r="AB24" s="114">
        <f t="shared" si="10"/>
        <v>-847.26187807799192</v>
      </c>
      <c r="AC24" s="73">
        <f>AB24/SUMIFS(FinParameters!$L$8:$L$39,FinParameters!$B$8:$B$39,Financials!$E24,FinParameters!$C$8:$C$39,Financials!$F24)</f>
        <v>-767.57744475900824</v>
      </c>
      <c r="AD24" s="73">
        <f t="shared" si="11"/>
        <v>-767.57744475900824</v>
      </c>
      <c r="AE24" s="12"/>
      <c r="AF24" s="73">
        <f t="shared" si="12"/>
        <v>27649483.956002053</v>
      </c>
      <c r="AG24" s="73">
        <f t="shared" si="13"/>
        <v>22730508.332266692</v>
      </c>
      <c r="AH24" s="73">
        <f t="shared" si="13"/>
        <v>-6989459.2227687417</v>
      </c>
      <c r="AI24" s="12">
        <f t="shared" si="14"/>
        <v>-0.21169501246028707</v>
      </c>
      <c r="AL24" s="73">
        <f>Summary!G24</f>
        <v>-4430930.384617975</v>
      </c>
      <c r="AM24" s="73">
        <f>IF(D24&lt;&gt;"avg",SUMIFS(Summary!$H:$H,Summary!$C:$C,Financials!C24,Summary!$E:$E,Financials!E24,Summary!$D:$D,1-Financials!D24,Summary!$F:$F,Financials!F24),SUMIFS(Summary!$H:$H,Summary!$C:$C,Financials!C24,Summary!$E:$E,Financials!E24,Summary!$D:$D,"avg",Summary!$F:$F,Financials!F24))</f>
        <v>-1328.9987945802475</v>
      </c>
      <c r="AN24" s="20">
        <f>Summary!I24</f>
        <v>4693637.2979198219</v>
      </c>
      <c r="AP24" s="12">
        <v>1</v>
      </c>
    </row>
    <row r="25" spans="1:52" x14ac:dyDescent="0.3">
      <c r="A25">
        <v>21</v>
      </c>
      <c r="B25" t="str">
        <f>Summary!B25</f>
        <v>MarinusPortland</v>
      </c>
      <c r="C25" t="str">
        <f>Summary!C25</f>
        <v>Wind</v>
      </c>
      <c r="D25" s="104">
        <f>Summary!D25</f>
        <v>0.25</v>
      </c>
      <c r="E25" t="str">
        <f>Summary!E25</f>
        <v>Cal-24</v>
      </c>
      <c r="F25" t="str">
        <f>Summary!F25</f>
        <v>Wartsila dual fuel</v>
      </c>
      <c r="G25" s="73">
        <f>SUMIFS(AL$5:AL25,$F$5:$F25,$F25,$D$5:$D25,$D25)</f>
        <v>8356275.7185376519</v>
      </c>
      <c r="H25" s="73">
        <f>SUMIFS(AM$5:AM25,$F$5:$F25,$F25,$D$5:$D25,$D25)</f>
        <v>5860148.7622348657</v>
      </c>
      <c r="I25" s="20">
        <f>SUMIFS(AN$5:AN25,$F$5:$F25,$F25,$D$5:$D25,$D25)</f>
        <v>13717796.631092163</v>
      </c>
      <c r="J25" s="73">
        <f t="shared" si="0"/>
        <v>13717796.631092163</v>
      </c>
      <c r="K25" s="73">
        <f t="shared" si="1"/>
        <v>22074072.349629816</v>
      </c>
      <c r="L25" s="73">
        <f t="shared" si="2"/>
        <v>27934221.111864679</v>
      </c>
      <c r="M25" s="73">
        <f>-SUMIFS(FinParameters!$E$8:$E$39,FinParameters!$B$8:$B$39,Financials!$E25,FinParameters!$C$8:$C$39,Financials!$F25)</f>
        <v>-5925625</v>
      </c>
      <c r="N25" s="73">
        <f>-SUMIFS(FinParameters!$F$8:$F$39,FinParameters!$B$8:$B$39,Financials!$E25,FinParameters!$C$8:$C$39,Financials!$F25)</f>
        <v>-74000000</v>
      </c>
      <c r="O25" s="73">
        <f>SUMIFS(FinParameters!$G$8:$G$39,FinParameters!$B$8:$B$39,Financials!$E25,FinParameters!$C$8:$C$39,Financials!$F25)</f>
        <v>40983354.300423451</v>
      </c>
      <c r="P25" s="73">
        <f t="shared" si="3"/>
        <v>7792171.6310921628</v>
      </c>
      <c r="Q25" s="73">
        <f>P25/SUMIFS(FinParameters!$H$8:$H$39,FinParameters!$B$8:$B$39,Financials!$E25,FinParameters!$C$8:$C$39,Financials!$F25)</f>
        <v>5322158.0705499351</v>
      </c>
      <c r="R25" s="73">
        <f t="shared" si="15"/>
        <v>-25224474.068484388</v>
      </c>
      <c r="S25" s="12">
        <f t="shared" si="4"/>
        <v>-0.76399263262554562</v>
      </c>
      <c r="T25" s="114">
        <f t="shared" si="5"/>
        <v>8356275.7185376519</v>
      </c>
      <c r="U25" s="73">
        <f>T25/SUMIFS(FinParameters!$L$8:$L$39,FinParameters!$B$8:$B$39,Financials!$E25,FinParameters!$C$8:$C$39,Financials!$F25)</f>
        <v>7570373.3753337217</v>
      </c>
      <c r="V25" s="73">
        <f t="shared" si="6"/>
        <v>7570373.3753337217</v>
      </c>
      <c r="W25" s="12"/>
      <c r="X25" s="73">
        <f t="shared" si="7"/>
        <v>16148447.349629816</v>
      </c>
      <c r="Y25" s="73">
        <f t="shared" si="8"/>
        <v>12892531.445883658</v>
      </c>
      <c r="Z25" s="73">
        <f t="shared" si="8"/>
        <v>-17654100.693150666</v>
      </c>
      <c r="AA25" s="12">
        <f t="shared" si="9"/>
        <v>-0.53470303597124902</v>
      </c>
      <c r="AB25" s="114">
        <f t="shared" si="10"/>
        <v>5860148.7622348657</v>
      </c>
      <c r="AC25" s="73">
        <f>AB25/SUMIFS(FinParameters!$L$8:$L$39,FinParameters!$B$8:$B$39,Financials!$E25,FinParameters!$C$8:$C$39,Financials!$F25)</f>
        <v>5309005.5497691631</v>
      </c>
      <c r="AD25" s="73">
        <f t="shared" si="11"/>
        <v>5309005.5497691631</v>
      </c>
      <c r="AE25" s="12"/>
      <c r="AF25" s="73">
        <f t="shared" si="12"/>
        <v>22008596.111864682</v>
      </c>
      <c r="AG25" s="73">
        <f t="shared" si="13"/>
        <v>18201536.995652821</v>
      </c>
      <c r="AH25" s="73">
        <f t="shared" si="13"/>
        <v>-12345095.143381502</v>
      </c>
      <c r="AI25" s="12">
        <f t="shared" si="14"/>
        <v>-0.37390518878602597</v>
      </c>
      <c r="AL25" s="73">
        <f>Summary!G25</f>
        <v>-7222673.6401614686</v>
      </c>
      <c r="AM25" s="73">
        <f>IF(D25&lt;&gt;"avg",SUMIFS(Summary!$H:$H,Summary!$C:$C,Financials!C25,Summary!$E:$E,Financials!E25,Summary!$D:$D,1-Financials!D25,Summary!$F:$F,Financials!F25),SUMIFS(Summary!$H:$H,Summary!$C:$C,Financials!C25,Summary!$E:$E,Financials!E25,Summary!$D:$D,"avg",Summary!$F:$F,Financials!F25))</f>
        <v>2489219.4461912522</v>
      </c>
      <c r="AN25" s="20">
        <f>Summary!I25</f>
        <v>3777656.1247893106</v>
      </c>
      <c r="AP25" s="12">
        <v>1</v>
      </c>
    </row>
    <row r="26" spans="1:52" x14ac:dyDescent="0.3">
      <c r="A26">
        <v>22</v>
      </c>
      <c r="B26" t="str">
        <f>Summary!B26</f>
        <v>MarinusPortland</v>
      </c>
      <c r="C26" t="str">
        <f>Summary!C26</f>
        <v>Wind</v>
      </c>
      <c r="D26" s="104">
        <f>Summary!D26</f>
        <v>0.05</v>
      </c>
      <c r="E26" t="str">
        <f>Summary!E26</f>
        <v>Cal-24</v>
      </c>
      <c r="F26" t="str">
        <f>Summary!F26</f>
        <v>Wartsila dual fuel</v>
      </c>
      <c r="G26" s="73">
        <f>SUMIFS(AL$5:AL26,$F$5:$F26,$F26,$D$5:$D26,$D26)</f>
        <v>-2693441.7415489927</v>
      </c>
      <c r="H26" s="73">
        <f>SUMIFS(AM$5:AM26,$F$5:$F26,$F26,$D$5:$D26,$D26)</f>
        <v>13687546.828722453</v>
      </c>
      <c r="I26" s="20">
        <f>SUMIFS(AN$5:AN26,$F$5:$F26,$F26,$D$5:$D26,$D26)</f>
        <v>10496224.140746772</v>
      </c>
      <c r="J26" s="73">
        <f t="shared" si="0"/>
        <v>10496224.140746772</v>
      </c>
      <c r="K26" s="73">
        <f t="shared" si="1"/>
        <v>7802782.3991977796</v>
      </c>
      <c r="L26" s="73">
        <f t="shared" si="2"/>
        <v>21490329.227920234</v>
      </c>
      <c r="M26" s="73">
        <f>-SUMIFS(FinParameters!$E$8:$E$39,FinParameters!$B$8:$B$39,Financials!$E26,FinParameters!$C$8:$C$39,Financials!$F26)</f>
        <v>-5925625</v>
      </c>
      <c r="N26" s="73">
        <f>-SUMIFS(FinParameters!$F$8:$F$39,FinParameters!$B$8:$B$39,Financials!$E26,FinParameters!$C$8:$C$39,Financials!$F26)</f>
        <v>-74000000</v>
      </c>
      <c r="O26" s="73">
        <f>SUMIFS(FinParameters!$G$8:$G$39,FinParameters!$B$8:$B$39,Financials!$E26,FinParameters!$C$8:$C$39,Financials!$F26)</f>
        <v>40983354.300423451</v>
      </c>
      <c r="P26" s="73">
        <f t="shared" si="3"/>
        <v>4570599.1407467723</v>
      </c>
      <c r="Q26" s="73">
        <f>P26/SUMIFS(FinParameters!$H$8:$H$39,FinParameters!$B$8:$B$39,Financials!$E26,FinParameters!$C$8:$C$39,Financials!$F26)</f>
        <v>3121780.7122100745</v>
      </c>
      <c r="R26" s="73">
        <f t="shared" si="15"/>
        <v>-28446046.558829777</v>
      </c>
      <c r="S26" s="12">
        <f t="shared" si="4"/>
        <v>-0.86156682352485636</v>
      </c>
      <c r="T26" s="114">
        <f t="shared" si="5"/>
        <v>-2693441.7415489927</v>
      </c>
      <c r="U26" s="73">
        <f>T26/SUMIFS(FinParameters!$L$8:$L$39,FinParameters!$B$8:$B$39,Financials!$E26,FinParameters!$C$8:$C$39,Financials!$F26)</f>
        <v>-2440125.2824868849</v>
      </c>
      <c r="V26" s="73">
        <f t="shared" si="6"/>
        <v>-2440125.2824868849</v>
      </c>
      <c r="W26" s="12"/>
      <c r="X26" s="73">
        <f t="shared" si="7"/>
        <v>1877157.3991977796</v>
      </c>
      <c r="Y26" s="73">
        <f t="shared" si="8"/>
        <v>681655.42972318968</v>
      </c>
      <c r="Z26" s="73">
        <f t="shared" si="8"/>
        <v>-30886171.841316663</v>
      </c>
      <c r="AA26" s="12">
        <f t="shared" si="9"/>
        <v>-0.93547273464284075</v>
      </c>
      <c r="AB26" s="114">
        <f t="shared" si="10"/>
        <v>13687546.828722453</v>
      </c>
      <c r="AC26" s="73">
        <f>AB26/SUMIFS(FinParameters!$L$8:$L$39,FinParameters!$B$8:$B$39,Financials!$E26,FinParameters!$C$8:$C$39,Financials!$F26)</f>
        <v>12400241.875207948</v>
      </c>
      <c r="AD26" s="73">
        <f t="shared" si="11"/>
        <v>12400241.875207948</v>
      </c>
      <c r="AE26" s="12"/>
      <c r="AF26" s="73">
        <f t="shared" si="12"/>
        <v>15564704.227920232</v>
      </c>
      <c r="AG26" s="73">
        <f t="shared" si="13"/>
        <v>13081897.304931138</v>
      </c>
      <c r="AH26" s="73">
        <f t="shared" si="13"/>
        <v>-18485929.966108717</v>
      </c>
      <c r="AI26" s="12">
        <f t="shared" si="14"/>
        <v>-0.55989727528092914</v>
      </c>
      <c r="AL26" s="73">
        <f>Summary!G26</f>
        <v>-10796945.24338685</v>
      </c>
      <c r="AM26" s="73">
        <f>IF(D26&lt;&gt;"avg",SUMIFS(Summary!$H:$H,Summary!$C:$C,Financials!C26,Summary!$E:$E,Financials!E26,Summary!$D:$D,1-Financials!D26,Summary!$F:$F,Financials!F26),SUMIFS(Summary!$H:$H,Summary!$C:$C,Financials!C26,Summary!$E:$E,Financials!E26,Summary!$D:$D,"avg",Summary!$F:$F,Financials!F26))</f>
        <v>5888229.0578002948</v>
      </c>
      <c r="AN26" s="20">
        <f>Summary!I26</f>
        <v>2665480.1510470123</v>
      </c>
      <c r="AP26" s="12">
        <v>1</v>
      </c>
    </row>
    <row r="27" spans="1:52" x14ac:dyDescent="0.3">
      <c r="A27">
        <v>23</v>
      </c>
      <c r="B27" t="str">
        <f>Summary!B27</f>
        <v>MarinusPortland</v>
      </c>
      <c r="C27" t="str">
        <f>Summary!C27</f>
        <v>Wind</v>
      </c>
      <c r="D27" s="104">
        <f>Summary!D27</f>
        <v>0</v>
      </c>
      <c r="E27" t="str">
        <f>Summary!E27</f>
        <v>Cal-24</v>
      </c>
      <c r="F27" t="str">
        <f>Summary!F27</f>
        <v>Wartsila dual fuel</v>
      </c>
      <c r="G27" s="73">
        <f>SUMIFS(AL$5:AL27,$F$5:$F27,$F27,$D$5:$D27,$D27)</f>
        <v>-19110612.624901958</v>
      </c>
      <c r="H27" s="73">
        <f>SUMIFS(AM$5:AM27,$F$5:$F27,$F27,$D$5:$D27,$D27)</f>
        <v>29330056.225025401</v>
      </c>
      <c r="I27" s="20">
        <f>SUMIFS(AN$5:AN27,$F$5:$F27,$F27,$D$5:$D27,$D27)</f>
        <v>5362355.9491443988</v>
      </c>
      <c r="J27" s="73">
        <f t="shared" si="0"/>
        <v>5362355.9491443988</v>
      </c>
      <c r="K27" s="73">
        <f t="shared" si="1"/>
        <v>-13748256.675757559</v>
      </c>
      <c r="L27" s="73">
        <f t="shared" si="2"/>
        <v>15581799.549267842</v>
      </c>
      <c r="M27" s="73">
        <f>-SUMIFS(FinParameters!$E$8:$E$39,FinParameters!$B$8:$B$39,Financials!$E27,FinParameters!$C$8:$C$39,Financials!$F27)</f>
        <v>-5925625</v>
      </c>
      <c r="N27" s="73">
        <f>-SUMIFS(FinParameters!$F$8:$F$39,FinParameters!$B$8:$B$39,Financials!$E27,FinParameters!$C$8:$C$39,Financials!$F27)</f>
        <v>-74000000</v>
      </c>
      <c r="O27" s="73">
        <f>SUMIFS(FinParameters!$G$8:$G$39,FinParameters!$B$8:$B$39,Financials!$E27,FinParameters!$C$8:$C$39,Financials!$F27)</f>
        <v>40983354.300423451</v>
      </c>
      <c r="P27" s="73">
        <f t="shared" si="3"/>
        <v>-563269.05085560121</v>
      </c>
      <c r="Q27" s="73">
        <f>P27/SUMIFS(FinParameters!$H$8:$H$39,FinParameters!$B$8:$B$39,Financials!$E27,FinParameters!$C$8:$C$39,Financials!$F27)</f>
        <v>-384720.34072508774</v>
      </c>
      <c r="R27" s="73">
        <f t="shared" si="15"/>
        <v>-33579914.750432156</v>
      </c>
      <c r="S27" s="12">
        <f t="shared" si="4"/>
        <v>-1.0170601537170334</v>
      </c>
      <c r="T27" s="114">
        <f t="shared" si="5"/>
        <v>-19110612.624901958</v>
      </c>
      <c r="U27" s="73">
        <f>T27/SUMIFS(FinParameters!$L$8:$L$39,FinParameters!$B$8:$B$39,Financials!$E27,FinParameters!$C$8:$C$39,Financials!$F27)</f>
        <v>-17313271.830048267</v>
      </c>
      <c r="V27" s="73">
        <f t="shared" si="6"/>
        <v>-17313271.830048267</v>
      </c>
      <c r="W27" s="12"/>
      <c r="X27" s="73">
        <f t="shared" si="7"/>
        <v>-19673881.675757557</v>
      </c>
      <c r="Y27" s="73">
        <f t="shared" si="8"/>
        <v>-17697992.170773353</v>
      </c>
      <c r="Z27" s="73">
        <f t="shared" si="8"/>
        <v>-50893186.580480427</v>
      </c>
      <c r="AA27" s="12">
        <f t="shared" si="9"/>
        <v>-1.5414402493689161</v>
      </c>
      <c r="AB27" s="114">
        <f t="shared" si="10"/>
        <v>29330056.225025401</v>
      </c>
      <c r="AC27" s="73">
        <f>AB27/SUMIFS(FinParameters!$L$8:$L$39,FinParameters!$B$8:$B$39,Financials!$E27,FinParameters!$C$8:$C$39,Financials!$F27)</f>
        <v>26571583.349074829</v>
      </c>
      <c r="AD27" s="73">
        <f t="shared" si="11"/>
        <v>26571583.349074829</v>
      </c>
      <c r="AE27" s="12"/>
      <c r="AF27" s="73">
        <f t="shared" si="12"/>
        <v>9656174.5492678434</v>
      </c>
      <c r="AG27" s="73">
        <f t="shared" si="13"/>
        <v>8873591.1783014759</v>
      </c>
      <c r="AH27" s="73">
        <f t="shared" si="13"/>
        <v>-24321603.231405597</v>
      </c>
      <c r="AI27" s="12">
        <f t="shared" si="14"/>
        <v>-0.73664670399020971</v>
      </c>
      <c r="AL27" s="73">
        <f>Summary!G27</f>
        <v>-16434156.496391505</v>
      </c>
      <c r="AM27" s="73">
        <f>IF(D27&lt;&gt;"avg",SUMIFS(Summary!$H:$H,Summary!$C:$C,Financials!C27,Summary!$E:$E,Financials!E27,Summary!$D:$D,1-Financials!D27,Summary!$F:$F,Financials!F27),SUMIFS(Summary!$H:$H,Summary!$C:$C,Financials!C27,Summary!$E:$E,Financials!E27,Summary!$D:$D,"avg",Summary!$F:$F,Financials!F27))</f>
        <v>11924784.01556894</v>
      </c>
      <c r="AN27" s="20">
        <f>Summary!I27</f>
        <v>1217973.9946507066</v>
      </c>
      <c r="AP27" s="12">
        <v>1</v>
      </c>
    </row>
    <row r="28" spans="1:52" x14ac:dyDescent="0.3">
      <c r="A28">
        <v>24</v>
      </c>
      <c r="B28" t="str">
        <f>Summary!B28</f>
        <v>MarinusPortland</v>
      </c>
      <c r="C28" t="str">
        <f>Summary!C28</f>
        <v>Wind</v>
      </c>
      <c r="D28" s="104" t="str">
        <f>Summary!D28</f>
        <v>avg</v>
      </c>
      <c r="E28" t="str">
        <f>Summary!E28</f>
        <v>Cal-24</v>
      </c>
      <c r="F28" t="str">
        <f>Summary!F28</f>
        <v>Wartsila dual fuel</v>
      </c>
      <c r="G28" s="73">
        <f>SUMIFS(AL$5:AL28,$F$5:$F28,$F28,$D$5:$D28,$D28)</f>
        <v>20864265.046559762</v>
      </c>
      <c r="H28" s="73">
        <f>SUMIFS(AM$5:AM28,$F$5:$F28,$F28,$D$5:$D28,$D28)</f>
        <v>-386192.93970963685</v>
      </c>
      <c r="I28" s="20">
        <f>SUMIFS(AN$5:AN28,$F$5:$F28,$F28,$D$5:$D28,$D28)</f>
        <v>16725596.292226061</v>
      </c>
      <c r="J28" s="73">
        <f t="shared" si="0"/>
        <v>16725596.292226061</v>
      </c>
      <c r="K28" s="73">
        <f t="shared" si="1"/>
        <v>37589861.338785827</v>
      </c>
      <c r="L28" s="73">
        <f t="shared" si="2"/>
        <v>37203668.399076186</v>
      </c>
      <c r="M28" s="73">
        <f>-SUMIFS(FinParameters!$E$8:$E$39,FinParameters!$B$8:$B$39,Financials!$E28,FinParameters!$C$8:$C$39,Financials!$F28)</f>
        <v>-5925625</v>
      </c>
      <c r="N28" s="73">
        <f>-SUMIFS(FinParameters!$F$8:$F$39,FinParameters!$B$8:$B$39,Financials!$E28,FinParameters!$C$8:$C$39,Financials!$F28)</f>
        <v>-74000000</v>
      </c>
      <c r="O28" s="73">
        <f>SUMIFS(FinParameters!$G$8:$G$39,FinParameters!$B$8:$B$39,Financials!$E28,FinParameters!$C$8:$C$39,Financials!$F28)</f>
        <v>40983354.300423451</v>
      </c>
      <c r="P28" s="73">
        <f t="shared" si="3"/>
        <v>10799971.292226061</v>
      </c>
      <c r="Q28" s="73">
        <f>P28/SUMIFS(FinParameters!$H$8:$H$39,FinParameters!$B$8:$B$39,Financials!$E28,FinParameters!$C$8:$C$39,Financials!$F28)</f>
        <v>7376525.7101468863</v>
      </c>
      <c r="R28" s="73">
        <f t="shared" si="15"/>
        <v>-22216674.407350488</v>
      </c>
      <c r="S28" s="12">
        <f t="shared" si="4"/>
        <v>-0.67289314031181025</v>
      </c>
      <c r="T28" s="114">
        <f t="shared" si="5"/>
        <v>20864265.046559762</v>
      </c>
      <c r="U28" s="73">
        <f>T28/SUMIFS(FinParameters!$L$8:$L$39,FinParameters!$B$8:$B$39,Financials!$E28,FinParameters!$C$8:$C$39,Financials!$F28)</f>
        <v>18901994.372203808</v>
      </c>
      <c r="V28" s="73">
        <f t="shared" si="6"/>
        <v>18901994.372203808</v>
      </c>
      <c r="W28" s="12"/>
      <c r="X28" s="73">
        <f t="shared" si="7"/>
        <v>31664236.338785827</v>
      </c>
      <c r="Y28" s="73">
        <f t="shared" si="8"/>
        <v>26278520.082350694</v>
      </c>
      <c r="Z28" s="73">
        <f t="shared" si="8"/>
        <v>-3314680.0351466797</v>
      </c>
      <c r="AA28" s="12">
        <f t="shared" si="9"/>
        <v>-0.10039420919094734</v>
      </c>
      <c r="AB28" s="114">
        <f t="shared" si="10"/>
        <v>-386192.93970963685</v>
      </c>
      <c r="AC28" s="73">
        <f>AB28/SUMIFS(FinParameters!$L$8:$L$39,FinParameters!$B$8:$B$39,Financials!$E28,FinParameters!$C$8:$C$39,Financials!$F28)</f>
        <v>-349871.74274705839</v>
      </c>
      <c r="AD28" s="73">
        <f t="shared" si="11"/>
        <v>-349871.74274705839</v>
      </c>
      <c r="AE28" s="12"/>
      <c r="AF28" s="73">
        <f t="shared" si="12"/>
        <v>31278043.39907619</v>
      </c>
      <c r="AG28" s="73">
        <f t="shared" si="13"/>
        <v>25928648.339603636</v>
      </c>
      <c r="AH28" s="73">
        <f t="shared" si="13"/>
        <v>-3664551.7778937379</v>
      </c>
      <c r="AI28" s="12">
        <f t="shared" si="14"/>
        <v>-0.11099103801270573</v>
      </c>
      <c r="AL28" s="73">
        <f>Summary!G28</f>
        <v>-3552232.1300931172</v>
      </c>
      <c r="AM28" s="73">
        <f>IF(D28&lt;&gt;"avg",SUMIFS(Summary!$H:$H,Summary!$C:$C,Financials!C28,Summary!$E:$E,Financials!E28,Summary!$D:$D,1-Financials!D28,Summary!$F:$F,Financials!F28),SUMIFS(Summary!$H:$H,Summary!$C:$C,Financials!C28,Summary!$E:$E,Financials!E28,Summary!$D:$D,"avg",Summary!$F:$F,Financials!F28))</f>
        <v>-88522.436880655383</v>
      </c>
      <c r="AN28" s="20">
        <f>Summary!I28</f>
        <v>4791987.9379691379</v>
      </c>
      <c r="AP28" s="12">
        <v>1</v>
      </c>
    </row>
    <row r="29" spans="1:52" x14ac:dyDescent="0.3">
      <c r="A29">
        <v>25</v>
      </c>
      <c r="B29" t="str">
        <f>Summary!B29</f>
        <v>MarinusPortland</v>
      </c>
      <c r="C29" t="str">
        <f>Summary!C29</f>
        <v>Wind</v>
      </c>
      <c r="D29" s="104">
        <f>Summary!D29</f>
        <v>1</v>
      </c>
      <c r="E29" t="str">
        <f>Summary!E29</f>
        <v>Cal-25</v>
      </c>
      <c r="F29" t="str">
        <f>Summary!F29</f>
        <v>Wartsila dual fuel</v>
      </c>
      <c r="G29" s="73">
        <f>SUMIFS(AL$5:AL29,$F$5:$F29,$F29,$D$5:$D29,$D29)</f>
        <v>100015233.62717754</v>
      </c>
      <c r="H29" s="73">
        <f>SUMIFS(AM$5:AM29,$F$5:$F29,$F29,$D$5:$D29,$D29)</f>
        <v>-54398693.05164589</v>
      </c>
      <c r="I29" s="20">
        <f>SUMIFS(AN$5:AN29,$F$5:$F29,$F29,$D$5:$D29,$D29)</f>
        <v>48020648.519935302</v>
      </c>
      <c r="J29" s="73">
        <f t="shared" si="0"/>
        <v>48020648.519935302</v>
      </c>
      <c r="K29" s="73">
        <f t="shared" si="1"/>
        <v>148035882.14711285</v>
      </c>
      <c r="L29" s="73">
        <f t="shared" si="2"/>
        <v>93637189.095466942</v>
      </c>
      <c r="M29" s="73">
        <f>-SUMIFS(FinParameters!$E$8:$E$39,FinParameters!$B$8:$B$39,Financials!$E29,FinParameters!$C$8:$C$39,Financials!$F29)</f>
        <v>-7602515.625</v>
      </c>
      <c r="N29" s="73">
        <f>-SUMIFS(FinParameters!$F$8:$F$39,FinParameters!$B$8:$B$39,Financials!$E29,FinParameters!$C$8:$C$39,Financials!$F29)</f>
        <v>-74000000</v>
      </c>
      <c r="O29" s="73">
        <f>SUMIFS(FinParameters!$G$8:$G$39,FinParameters!$B$8:$B$39,Financials!$E29,FinParameters!$C$8:$C$39,Financials!$F29)</f>
        <v>34742707.168313518</v>
      </c>
      <c r="P29" s="73">
        <f t="shared" si="3"/>
        <v>40418132.894935302</v>
      </c>
      <c r="Q29" s="73">
        <f>P29/SUMIFS(FinParameters!$H$8:$H$39,FinParameters!$B$8:$B$39,Financials!$E29,FinParameters!$C$8:$C$39,Financials!$F29)</f>
        <v>25096480.552703977</v>
      </c>
      <c r="R29" s="73">
        <f t="shared" si="15"/>
        <v>1160840.0632488206</v>
      </c>
      <c r="S29" s="12">
        <f t="shared" si="4"/>
        <v>2.9570048760770632E-2</v>
      </c>
      <c r="T29" s="114">
        <f t="shared" si="5"/>
        <v>100015233.62717754</v>
      </c>
      <c r="U29" s="73">
        <f>T29/SUMIFS(FinParameters!$L$8:$L$39,FinParameters!$B$8:$B$39,Financials!$E29,FinParameters!$C$8:$C$39,Financials!$F29)</f>
        <v>88398893.067648426</v>
      </c>
      <c r="V29" s="73">
        <f t="shared" si="6"/>
        <v>88398893.067648426</v>
      </c>
      <c r="W29" s="12"/>
      <c r="X29" s="73">
        <f t="shared" si="7"/>
        <v>140433366.52211285</v>
      </c>
      <c r="Y29" s="73">
        <f t="shared" si="8"/>
        <v>113495373.6203524</v>
      </c>
      <c r="Z29" s="73">
        <f t="shared" si="8"/>
        <v>89559733.130897254</v>
      </c>
      <c r="AA29" s="12">
        <f t="shared" si="9"/>
        <v>2.2813527543755949</v>
      </c>
      <c r="AB29" s="114">
        <f t="shared" si="10"/>
        <v>-54398693.05164589</v>
      </c>
      <c r="AC29" s="73">
        <f>AB29/SUMIFS(FinParameters!$L$8:$L$39,FinParameters!$B$8:$B$39,Financials!$E29,FinParameters!$C$8:$C$39,Financials!$F29)</f>
        <v>-48080518.094051272</v>
      </c>
      <c r="AD29" s="73">
        <f t="shared" si="11"/>
        <v>-48080518.094051272</v>
      </c>
      <c r="AE29" s="12"/>
      <c r="AF29" s="73">
        <f t="shared" si="12"/>
        <v>86034673.470466956</v>
      </c>
      <c r="AG29" s="73">
        <f t="shared" si="13"/>
        <v>65414855.526301131</v>
      </c>
      <c r="AH29" s="73">
        <f t="shared" si="13"/>
        <v>41479215.036845982</v>
      </c>
      <c r="AI29" s="12">
        <f t="shared" si="14"/>
        <v>1.0565989665840145</v>
      </c>
      <c r="AL29" s="73">
        <f>Summary!G29</f>
        <v>14008390.89326204</v>
      </c>
      <c r="AM29" s="73">
        <f>IF(D29&lt;&gt;"avg",SUMIFS(Summary!$H:$H,Summary!$C:$C,Financials!C29,Summary!$E:$E,Financials!E29,Summary!$D:$D,1-Financials!D29,Summary!$F:$F,Financials!F29),SUMIFS(Summary!$H:$H,Summary!$C:$C,Financials!C29,Summary!$E:$E,Financials!E29,Summary!$D:$D,"avg",Summary!$F:$F,Financials!F29))</f>
        <v>-15062286.304095477</v>
      </c>
      <c r="AN29" s="20">
        <f>Summary!I29</f>
        <v>10721981.111278608</v>
      </c>
      <c r="AP29" s="12">
        <v>1</v>
      </c>
    </row>
    <row r="30" spans="1:52" x14ac:dyDescent="0.3">
      <c r="A30">
        <v>26</v>
      </c>
      <c r="B30" t="str">
        <f>Summary!B30</f>
        <v>MarinusPortland</v>
      </c>
      <c r="C30" t="str">
        <f>Summary!C30</f>
        <v>Wind</v>
      </c>
      <c r="D30" s="104">
        <f>Summary!D30</f>
        <v>0.95</v>
      </c>
      <c r="E30" t="str">
        <f>Summary!E30</f>
        <v>Cal-25</v>
      </c>
      <c r="F30" t="str">
        <f>Summary!F30</f>
        <v>Wartsila dual fuel</v>
      </c>
      <c r="G30" s="73">
        <f>SUMIFS(AL$5:AL30,$F$5:$F30,$F30,$D$5:$D30,$D30)</f>
        <v>56888597.124111243</v>
      </c>
      <c r="H30" s="73">
        <f>SUMIFS(AM$5:AM30,$F$5:$F30,$F30,$D$5:$D30,$D30)</f>
        <v>-21342531.06492047</v>
      </c>
      <c r="I30" s="20">
        <f>SUMIFS(AN$5:AN30,$F$5:$F30,$F30,$D$5:$D30,$D30)</f>
        <v>32701833.603979595</v>
      </c>
      <c r="J30" s="73">
        <f t="shared" si="0"/>
        <v>32701833.603979595</v>
      </c>
      <c r="K30" s="73">
        <f t="shared" si="1"/>
        <v>89590430.728090838</v>
      </c>
      <c r="L30" s="73">
        <f t="shared" si="2"/>
        <v>68247899.663170367</v>
      </c>
      <c r="M30" s="73">
        <f>-SUMIFS(FinParameters!$E$8:$E$39,FinParameters!$B$8:$B$39,Financials!$E30,FinParameters!$C$8:$C$39,Financials!$F30)</f>
        <v>-7602515.625</v>
      </c>
      <c r="N30" s="73">
        <f>-SUMIFS(FinParameters!$F$8:$F$39,FinParameters!$B$8:$B$39,Financials!$E30,FinParameters!$C$8:$C$39,Financials!$F30)</f>
        <v>-74000000</v>
      </c>
      <c r="O30" s="73">
        <f>SUMIFS(FinParameters!$G$8:$G$39,FinParameters!$B$8:$B$39,Financials!$E30,FinParameters!$C$8:$C$39,Financials!$F30)</f>
        <v>34742707.168313518</v>
      </c>
      <c r="P30" s="73">
        <f t="shared" si="3"/>
        <v>25099317.978979595</v>
      </c>
      <c r="Q30" s="73">
        <f>P30/SUMIFS(FinParameters!$H$8:$H$39,FinParameters!$B$8:$B$39,Financials!$E30,FinParameters!$C$8:$C$39,Financials!$F30)</f>
        <v>15584701.727390444</v>
      </c>
      <c r="R30" s="73">
        <f t="shared" si="15"/>
        <v>-14157974.852706887</v>
      </c>
      <c r="S30" s="12">
        <f t="shared" si="4"/>
        <v>-0.36064572545560991</v>
      </c>
      <c r="T30" s="114">
        <f t="shared" si="5"/>
        <v>56888597.124111243</v>
      </c>
      <c r="U30" s="73">
        <f>T30/SUMIFS(FinParameters!$L$8:$L$39,FinParameters!$B$8:$B$39,Financials!$E30,FinParameters!$C$8:$C$39,Financials!$F30)</f>
        <v>50281230.484236173</v>
      </c>
      <c r="V30" s="73">
        <f t="shared" si="6"/>
        <v>50281230.484236173</v>
      </c>
      <c r="W30" s="12"/>
      <c r="X30" s="73">
        <f t="shared" si="7"/>
        <v>81987915.103090838</v>
      </c>
      <c r="Y30" s="73">
        <f t="shared" si="8"/>
        <v>65865932.211626619</v>
      </c>
      <c r="Z30" s="73">
        <f t="shared" si="8"/>
        <v>36123255.631529287</v>
      </c>
      <c r="AA30" s="12">
        <f t="shared" si="9"/>
        <v>0.92016675185438257</v>
      </c>
      <c r="AB30" s="114">
        <f t="shared" si="10"/>
        <v>-21342531.06492047</v>
      </c>
      <c r="AC30" s="73">
        <f>AB30/SUMIFS(FinParameters!$L$8:$L$39,FinParameters!$B$8:$B$39,Financials!$E30,FinParameters!$C$8:$C$39,Financials!$F30)</f>
        <v>-18863687.590169273</v>
      </c>
      <c r="AD30" s="73">
        <f t="shared" si="11"/>
        <v>-18863687.590169273</v>
      </c>
      <c r="AE30" s="12"/>
      <c r="AF30" s="73">
        <f t="shared" si="12"/>
        <v>60645384.038170367</v>
      </c>
      <c r="AG30" s="73">
        <f t="shared" si="13"/>
        <v>47002244.621457346</v>
      </c>
      <c r="AH30" s="73">
        <f t="shared" si="13"/>
        <v>17259568.041360013</v>
      </c>
      <c r="AI30" s="12">
        <f t="shared" si="14"/>
        <v>0.43965252813940781</v>
      </c>
      <c r="AL30" s="73">
        <f>Summary!G30</f>
        <v>5091551.1218864843</v>
      </c>
      <c r="AM30" s="73">
        <f>IF(D30&lt;&gt;"avg",SUMIFS(Summary!$H:$H,Summary!$C:$C,Financials!C30,Summary!$E:$E,Financials!E30,Summary!$D:$D,1-Financials!D30,Summary!$F:$F,Financials!F30),SUMIFS(Summary!$H:$H,Summary!$C:$C,Financials!C30,Summary!$E:$E,Financials!E30,Summary!$D:$D,"avg",Summary!$F:$F,Financials!F30))</f>
        <v>-5599637.7208701055</v>
      </c>
      <c r="AN30" s="20">
        <f>Summary!I30</f>
        <v>8119609.5339955157</v>
      </c>
      <c r="AP30" s="12">
        <v>1</v>
      </c>
    </row>
    <row r="31" spans="1:52" x14ac:dyDescent="0.3">
      <c r="A31">
        <v>27</v>
      </c>
      <c r="B31" t="str">
        <f>Summary!B31</f>
        <v>MarinusPortland</v>
      </c>
      <c r="C31" t="str">
        <f>Summary!C31</f>
        <v>Wind</v>
      </c>
      <c r="D31" s="104">
        <f>Summary!D31</f>
        <v>0.75</v>
      </c>
      <c r="E31" t="str">
        <f>Summary!E31</f>
        <v>Cal-25</v>
      </c>
      <c r="F31" t="str">
        <f>Summary!F31</f>
        <v>Wartsila dual fuel</v>
      </c>
      <c r="G31" s="73">
        <f>SUMIFS(AL$5:AL31,$F$5:$F31,$F31,$D$5:$D31,$D31)</f>
        <v>31430957.758346163</v>
      </c>
      <c r="H31" s="73">
        <f>SUMIFS(AM$5:AM31,$F$5:$F31,$F31,$D$5:$D31,$D31)</f>
        <v>-8359351.0570553048</v>
      </c>
      <c r="I31" s="20">
        <f>SUMIFS(AN$5:AN31,$F$5:$F31,$F31,$D$5:$D31,$D31)</f>
        <v>25637046.285436377</v>
      </c>
      <c r="J31" s="73">
        <f t="shared" si="0"/>
        <v>25637046.285436377</v>
      </c>
      <c r="K31" s="73">
        <f t="shared" si="1"/>
        <v>57068004.04378254</v>
      </c>
      <c r="L31" s="73">
        <f t="shared" si="2"/>
        <v>48708652.986727238</v>
      </c>
      <c r="M31" s="73">
        <f>-SUMIFS(FinParameters!$E$8:$E$39,FinParameters!$B$8:$B$39,Financials!$E31,FinParameters!$C$8:$C$39,Financials!$F31)</f>
        <v>-7602515.625</v>
      </c>
      <c r="N31" s="73">
        <f>-SUMIFS(FinParameters!$F$8:$F$39,FinParameters!$B$8:$B$39,Financials!$E31,FinParameters!$C$8:$C$39,Financials!$F31)</f>
        <v>-74000000</v>
      </c>
      <c r="O31" s="73">
        <f>SUMIFS(FinParameters!$G$8:$G$39,FinParameters!$B$8:$B$39,Financials!$E31,FinParameters!$C$8:$C$39,Financials!$F31)</f>
        <v>34742707.168313518</v>
      </c>
      <c r="P31" s="73">
        <f t="shared" si="3"/>
        <v>18034530.660436377</v>
      </c>
      <c r="Q31" s="73">
        <f>P31/SUMIFS(FinParameters!$H$8:$H$39,FinParameters!$B$8:$B$39,Financials!$E31,FinParameters!$C$8:$C$39,Financials!$F31)</f>
        <v>11198024.638429049</v>
      </c>
      <c r="R31" s="73">
        <f t="shared" si="15"/>
        <v>-21222762.171250105</v>
      </c>
      <c r="S31" s="12">
        <f t="shared" si="4"/>
        <v>-0.54060686920622747</v>
      </c>
      <c r="T31" s="114">
        <f t="shared" si="5"/>
        <v>31430957.758346163</v>
      </c>
      <c r="U31" s="73">
        <f>T31/SUMIFS(FinParameters!$L$8:$L$39,FinParameters!$B$8:$B$39,Financials!$E31,FinParameters!$C$8:$C$39,Financials!$F31)</f>
        <v>27780386.778387874</v>
      </c>
      <c r="V31" s="73">
        <f t="shared" si="6"/>
        <v>27780386.778387874</v>
      </c>
      <c r="W31" s="12"/>
      <c r="X31" s="73">
        <f t="shared" si="7"/>
        <v>49465488.41878254</v>
      </c>
      <c r="Y31" s="73">
        <f t="shared" si="8"/>
        <v>38978411.41681692</v>
      </c>
      <c r="Z31" s="73">
        <f t="shared" si="8"/>
        <v>6557624.6071377695</v>
      </c>
      <c r="AA31" s="12">
        <f t="shared" si="9"/>
        <v>0.16704220118420365</v>
      </c>
      <c r="AB31" s="114">
        <f t="shared" si="10"/>
        <v>-8359351.0570553048</v>
      </c>
      <c r="AC31" s="73">
        <f>AB31/SUMIFS(FinParameters!$L$8:$L$39,FinParameters!$B$8:$B$39,Financials!$E31,FinParameters!$C$8:$C$39,Financials!$F31)</f>
        <v>-7388448.2734114807</v>
      </c>
      <c r="AD31" s="73">
        <f t="shared" si="11"/>
        <v>-7388448.2734114807</v>
      </c>
      <c r="AE31" s="12"/>
      <c r="AF31" s="73">
        <f t="shared" si="12"/>
        <v>41106137.361727238</v>
      </c>
      <c r="AG31" s="73">
        <f t="shared" si="13"/>
        <v>31589963.143405437</v>
      </c>
      <c r="AH31" s="73">
        <f t="shared" si="13"/>
        <v>-830823.66627371125</v>
      </c>
      <c r="AI31" s="12">
        <f t="shared" si="14"/>
        <v>-2.1163549657787734E-2</v>
      </c>
      <c r="AL31" s="73">
        <f>Summary!G31</f>
        <v>-835607.01633421273</v>
      </c>
      <c r="AM31" s="73">
        <f>IF(D31&lt;&gt;"avg",SUMIFS(Summary!$H:$H,Summary!$C:$C,Financials!C31,Summary!$E:$E,Financials!E31,Summary!$D:$D,1-Financials!D31,Summary!$F:$F,Financials!F31),SUMIFS(Summary!$H:$H,Summary!$C:$C,Financials!C31,Summary!$E:$E,Financials!E31,Summary!$D:$D,"avg",Summary!$F:$F,Financials!F31))</f>
        <v>-2111992.6559934411</v>
      </c>
      <c r="AN31" s="20">
        <f>Summary!I31</f>
        <v>6209012.5860835128</v>
      </c>
      <c r="AP31" s="12">
        <v>1</v>
      </c>
    </row>
    <row r="32" spans="1:52" x14ac:dyDescent="0.3">
      <c r="A32">
        <v>28</v>
      </c>
      <c r="B32" t="str">
        <f>Summary!B32</f>
        <v>MarinusPortland</v>
      </c>
      <c r="C32" t="str">
        <f>Summary!C32</f>
        <v>Wind</v>
      </c>
      <c r="D32" s="104">
        <f>Summary!D32</f>
        <v>0.5</v>
      </c>
      <c r="E32" t="str">
        <f>Summary!E32</f>
        <v>Cal-25</v>
      </c>
      <c r="F32" t="str">
        <f>Summary!F32</f>
        <v>Wartsila dual fuel</v>
      </c>
      <c r="G32" s="73">
        <f>SUMIFS(AL$5:AL32,$F$5:$F32,$F32,$D$5:$D32,$D32)</f>
        <v>13215365.732183944</v>
      </c>
      <c r="H32" s="73">
        <f>SUMIFS(AM$5:AM32,$F$5:$F32,$F32,$D$5:$D32,$D32)</f>
        <v>99924.737820358234</v>
      </c>
      <c r="I32" s="20">
        <f>SUMIFS(AN$5:AN32,$F$5:$F32,$F32,$D$5:$D32,$D32)</f>
        <v>21597419.655231483</v>
      </c>
      <c r="J32" s="73">
        <f t="shared" si="0"/>
        <v>21597419.655231483</v>
      </c>
      <c r="K32" s="73">
        <f t="shared" si="1"/>
        <v>34812785.387415424</v>
      </c>
      <c r="L32" s="73">
        <f t="shared" si="2"/>
        <v>34912710.125235789</v>
      </c>
      <c r="M32" s="73">
        <f>-SUMIFS(FinParameters!$E$8:$E$39,FinParameters!$B$8:$B$39,Financials!$E32,FinParameters!$C$8:$C$39,Financials!$F32)</f>
        <v>-7602515.625</v>
      </c>
      <c r="N32" s="73">
        <f>-SUMIFS(FinParameters!$F$8:$F$39,FinParameters!$B$8:$B$39,Financials!$E32,FinParameters!$C$8:$C$39,Financials!$F32)</f>
        <v>-74000000</v>
      </c>
      <c r="O32" s="73">
        <f>SUMIFS(FinParameters!$G$8:$G$39,FinParameters!$B$8:$B$39,Financials!$E32,FinParameters!$C$8:$C$39,Financials!$F32)</f>
        <v>34742707.168313518</v>
      </c>
      <c r="P32" s="73">
        <f t="shared" si="3"/>
        <v>13994904.030231483</v>
      </c>
      <c r="Q32" s="73">
        <f>P32/SUMIFS(FinParameters!$H$8:$H$39,FinParameters!$B$8:$B$39,Financials!$E32,FinParameters!$C$8:$C$39,Financials!$F32)</f>
        <v>8689734.326537231</v>
      </c>
      <c r="R32" s="73">
        <f t="shared" si="15"/>
        <v>-25262388.801454999</v>
      </c>
      <c r="S32" s="12">
        <f t="shared" si="4"/>
        <v>-0.64350817336707666</v>
      </c>
      <c r="T32" s="114">
        <f t="shared" si="5"/>
        <v>13215365.732183944</v>
      </c>
      <c r="U32" s="73">
        <f>T32/SUMIFS(FinParameters!$L$8:$L$39,FinParameters!$B$8:$B$39,Financials!$E32,FinParameters!$C$8:$C$39,Financials!$F32)</f>
        <v>11680457.664718665</v>
      </c>
      <c r="V32" s="73">
        <f t="shared" si="6"/>
        <v>11680457.664718665</v>
      </c>
      <c r="W32" s="12"/>
      <c r="X32" s="73">
        <f t="shared" si="7"/>
        <v>27210269.762415424</v>
      </c>
      <c r="Y32" s="73">
        <f t="shared" si="8"/>
        <v>20370191.991255894</v>
      </c>
      <c r="Z32" s="73">
        <f t="shared" si="8"/>
        <v>-13581931.136736333</v>
      </c>
      <c r="AA32" s="12">
        <f t="shared" si="9"/>
        <v>-0.34597217885013437</v>
      </c>
      <c r="AB32" s="114">
        <f t="shared" si="10"/>
        <v>99924.737820358234</v>
      </c>
      <c r="AC32" s="73">
        <f>AB32/SUMIFS(FinParameters!$L$8:$L$39,FinParameters!$B$8:$B$39,Financials!$E32,FinParameters!$C$8:$C$39,Financials!$F32)</f>
        <v>88318.907960780503</v>
      </c>
      <c r="AD32" s="73">
        <f t="shared" si="11"/>
        <v>88318.907960780503</v>
      </c>
      <c r="AE32" s="12"/>
      <c r="AF32" s="73">
        <f t="shared" si="12"/>
        <v>27310194.500235781</v>
      </c>
      <c r="AG32" s="73">
        <f t="shared" si="13"/>
        <v>20458510.899216674</v>
      </c>
      <c r="AH32" s="73">
        <f t="shared" si="13"/>
        <v>-13493612.228775553</v>
      </c>
      <c r="AI32" s="12">
        <f t="shared" si="14"/>
        <v>-0.34372243360306798</v>
      </c>
      <c r="AL32" s="73">
        <f>Summary!G32</f>
        <v>-4034908.4475090615</v>
      </c>
      <c r="AM32" s="73">
        <f>IF(D32&lt;&gt;"avg",SUMIFS(Summary!$H:$H,Summary!$C:$C,Financials!C32,Summary!$E:$E,Financials!E32,Summary!$D:$D,1-Financials!D32,Summary!$F:$F,Financials!F32),SUMIFS(Summary!$H:$H,Summary!$C:$C,Financials!C32,Summary!$E:$E,Financials!E32,Summary!$D:$D,"avg",Summary!$F:$F,Financials!F32))</f>
        <v>100771.99969843622</v>
      </c>
      <c r="AN32" s="20">
        <f>Summary!I32</f>
        <v>5271737.6170443585</v>
      </c>
      <c r="AP32" s="12">
        <v>1</v>
      </c>
    </row>
    <row r="33" spans="1:42" x14ac:dyDescent="0.3">
      <c r="A33">
        <v>29</v>
      </c>
      <c r="B33" t="str">
        <f>Summary!B33</f>
        <v>MarinusPortland</v>
      </c>
      <c r="C33" t="str">
        <f>Summary!C33</f>
        <v>Wind</v>
      </c>
      <c r="D33" s="104">
        <f>Summary!D33</f>
        <v>0.25</v>
      </c>
      <c r="E33" t="str">
        <f>Summary!E33</f>
        <v>Cal-25</v>
      </c>
      <c r="F33" t="str">
        <f>Summary!F33</f>
        <v>Wartsila dual fuel</v>
      </c>
      <c r="G33" s="73">
        <f>SUMIFS(AL$5:AL33,$F$5:$F33,$F33,$D$5:$D33,$D33)</f>
        <v>2089356.8301538285</v>
      </c>
      <c r="H33" s="73">
        <f>SUMIFS(AM$5:AM33,$F$5:$F33,$F33,$D$5:$D33,$D33)</f>
        <v>8047990.1390332934</v>
      </c>
      <c r="I33" s="20">
        <f>SUMIFS(AN$5:AN33,$F$5:$F33,$F33,$D$5:$D33,$D33)</f>
        <v>18189720.216291081</v>
      </c>
      <c r="J33" s="73">
        <f t="shared" si="0"/>
        <v>18189720.216291081</v>
      </c>
      <c r="K33" s="73">
        <f t="shared" si="1"/>
        <v>20279077.046444908</v>
      </c>
      <c r="L33" s="73">
        <f t="shared" si="2"/>
        <v>28327067.185478203</v>
      </c>
      <c r="M33" s="73">
        <f>-SUMIFS(FinParameters!$E$8:$E$39,FinParameters!$B$8:$B$39,Financials!$E33,FinParameters!$C$8:$C$39,Financials!$F33)</f>
        <v>-7602515.625</v>
      </c>
      <c r="N33" s="73">
        <f>-SUMIFS(FinParameters!$F$8:$F$39,FinParameters!$B$8:$B$39,Financials!$E33,FinParameters!$C$8:$C$39,Financials!$F33)</f>
        <v>-74000000</v>
      </c>
      <c r="O33" s="73">
        <f>SUMIFS(FinParameters!$G$8:$G$39,FinParameters!$B$8:$B$39,Financials!$E33,FinParameters!$C$8:$C$39,Financials!$F33)</f>
        <v>34742707.168313518</v>
      </c>
      <c r="P33" s="73">
        <f t="shared" si="3"/>
        <v>10587204.591291081</v>
      </c>
      <c r="Q33" s="73">
        <f>P33/SUMIFS(FinParameters!$H$8:$H$39,FinParameters!$B$8:$B$39,Financials!$E33,FinParameters!$C$8:$C$39,Financials!$F33)</f>
        <v>6573821.0823224168</v>
      </c>
      <c r="R33" s="73">
        <f t="shared" si="15"/>
        <v>-28670088.240395397</v>
      </c>
      <c r="S33" s="12">
        <f t="shared" si="4"/>
        <v>-0.73031241260870561</v>
      </c>
      <c r="T33" s="114">
        <f t="shared" si="5"/>
        <v>2089356.8301538285</v>
      </c>
      <c r="U33" s="73">
        <f>T33/SUMIFS(FinParameters!$L$8:$L$39,FinParameters!$B$8:$B$39,Financials!$E33,FinParameters!$C$8:$C$39,Financials!$F33)</f>
        <v>1846686.9926776912</v>
      </c>
      <c r="V33" s="73">
        <f t="shared" si="6"/>
        <v>1846686.9926776912</v>
      </c>
      <c r="W33" s="12"/>
      <c r="X33" s="73">
        <f t="shared" si="7"/>
        <v>12676561.421444908</v>
      </c>
      <c r="Y33" s="73">
        <f t="shared" si="8"/>
        <v>8420508.0750001073</v>
      </c>
      <c r="Z33" s="73">
        <f t="shared" si="8"/>
        <v>-26823401.247717705</v>
      </c>
      <c r="AA33" s="12">
        <f t="shared" si="9"/>
        <v>-0.6832718028398338</v>
      </c>
      <c r="AB33" s="114">
        <f t="shared" si="10"/>
        <v>8047990.1390332934</v>
      </c>
      <c r="AC33" s="73">
        <f>AB33/SUMIFS(FinParameters!$L$8:$L$39,FinParameters!$B$8:$B$39,Financials!$E33,FinParameters!$C$8:$C$39,Financials!$F33)</f>
        <v>7113250.591023691</v>
      </c>
      <c r="AD33" s="73">
        <f t="shared" si="11"/>
        <v>7113250.591023691</v>
      </c>
      <c r="AE33" s="12"/>
      <c r="AF33" s="73">
        <f t="shared" si="12"/>
        <v>20724551.560478203</v>
      </c>
      <c r="AG33" s="73">
        <f t="shared" si="13"/>
        <v>15533758.666023798</v>
      </c>
      <c r="AH33" s="73">
        <f t="shared" si="13"/>
        <v>-19710150.656694014</v>
      </c>
      <c r="AI33" s="12">
        <f t="shared" si="14"/>
        <v>-0.50207615540888717</v>
      </c>
      <c r="AL33" s="73">
        <f>Summary!G33</f>
        <v>-6266918.8883838234</v>
      </c>
      <c r="AM33" s="73">
        <f>IF(D33&lt;&gt;"avg",SUMIFS(Summary!$H:$H,Summary!$C:$C,Financials!C33,Summary!$E:$E,Financials!E33,Summary!$D:$D,1-Financials!D33,Summary!$F:$F,Financials!F33),SUMIFS(Summary!$H:$H,Summary!$C:$C,Financials!C33,Summary!$E:$E,Financials!E33,Summary!$D:$D,"avg",Summary!$F:$F,Financials!F33))</f>
        <v>2187841.3767984277</v>
      </c>
      <c r="AN33" s="20">
        <f>Summary!I33</f>
        <v>4471923.5851989174</v>
      </c>
      <c r="AP33" s="12">
        <v>1</v>
      </c>
    </row>
    <row r="34" spans="1:42" x14ac:dyDescent="0.3">
      <c r="A34">
        <v>30</v>
      </c>
      <c r="B34" t="str">
        <f>Summary!B34</f>
        <v>MarinusPortland</v>
      </c>
      <c r="C34" t="str">
        <f>Summary!C34</f>
        <v>Wind</v>
      </c>
      <c r="D34" s="104">
        <f>Summary!D34</f>
        <v>0.05</v>
      </c>
      <c r="E34" t="str">
        <f>Summary!E34</f>
        <v>Cal-25</v>
      </c>
      <c r="F34" t="str">
        <f>Summary!F34</f>
        <v>Wartsila dual fuel</v>
      </c>
      <c r="G34" s="73">
        <f>SUMIFS(AL$5:AL34,$F$5:$F34,$F34,$D$5:$D34,$D34)</f>
        <v>-12406456.277600959</v>
      </c>
      <c r="H34" s="73">
        <f>SUMIFS(AM$5:AM34,$F$5:$F34,$F34,$D$5:$D34,$D34)</f>
        <v>18750737.407785438</v>
      </c>
      <c r="I34" s="20">
        <f>SUMIFS(AN$5:AN34,$F$5:$F34,$F34,$D$5:$D34,$D34)</f>
        <v>13903798.660656881</v>
      </c>
      <c r="J34" s="73">
        <f t="shared" si="0"/>
        <v>13903798.660656881</v>
      </c>
      <c r="K34" s="73">
        <f t="shared" si="1"/>
        <v>1497342.3830559216</v>
      </c>
      <c r="L34" s="73">
        <f t="shared" si="2"/>
        <v>20248079.79084136</v>
      </c>
      <c r="M34" s="73">
        <f>-SUMIFS(FinParameters!$E$8:$E$39,FinParameters!$B$8:$B$39,Financials!$E34,FinParameters!$C$8:$C$39,Financials!$F34)</f>
        <v>-7602515.625</v>
      </c>
      <c r="N34" s="73">
        <f>-SUMIFS(FinParameters!$F$8:$F$39,FinParameters!$B$8:$B$39,Financials!$E34,FinParameters!$C$8:$C$39,Financials!$F34)</f>
        <v>-74000000</v>
      </c>
      <c r="O34" s="73">
        <f>SUMIFS(FinParameters!$G$8:$G$39,FinParameters!$B$8:$B$39,Financials!$E34,FinParameters!$C$8:$C$39,Financials!$F34)</f>
        <v>34742707.168313518</v>
      </c>
      <c r="P34" s="73">
        <f t="shared" si="3"/>
        <v>6301283.0356568806</v>
      </c>
      <c r="Q34" s="73">
        <f>P34/SUMIFS(FinParameters!$H$8:$H$39,FinParameters!$B$8:$B$39,Financials!$E34,FinParameters!$C$8:$C$39,Financials!$F34)</f>
        <v>3912600.9994702782</v>
      </c>
      <c r="R34" s="73">
        <f t="shared" si="15"/>
        <v>-32956009.796029598</v>
      </c>
      <c r="S34" s="12">
        <f t="shared" si="4"/>
        <v>-0.83948758100378207</v>
      </c>
      <c r="T34" s="114">
        <f t="shared" si="5"/>
        <v>-12406456.277600959</v>
      </c>
      <c r="U34" s="73">
        <f>T34/SUMIFS(FinParameters!$L$8:$L$39,FinParameters!$B$8:$B$39,Financials!$E34,FinParameters!$C$8:$C$39,Financials!$F34)</f>
        <v>-10965499.574997617</v>
      </c>
      <c r="V34" s="73">
        <f t="shared" si="6"/>
        <v>-10965499.574997617</v>
      </c>
      <c r="W34" s="12"/>
      <c r="X34" s="73">
        <f t="shared" si="7"/>
        <v>-6105173.2419440784</v>
      </c>
      <c r="Y34" s="73">
        <f t="shared" si="8"/>
        <v>-7052898.5755273383</v>
      </c>
      <c r="Z34" s="73">
        <f t="shared" si="8"/>
        <v>-43921509.371027216</v>
      </c>
      <c r="AA34" s="12">
        <f t="shared" si="9"/>
        <v>-1.1188114666831031</v>
      </c>
      <c r="AB34" s="114">
        <f t="shared" si="10"/>
        <v>18750737.407785438</v>
      </c>
      <c r="AC34" s="73">
        <f>AB34/SUMIFS(FinParameters!$L$8:$L$39,FinParameters!$B$8:$B$39,Financials!$E34,FinParameters!$C$8:$C$39,Financials!$F34)</f>
        <v>16572919.653711323</v>
      </c>
      <c r="AD34" s="73">
        <f t="shared" si="11"/>
        <v>16572919.653711323</v>
      </c>
      <c r="AE34" s="12"/>
      <c r="AF34" s="73">
        <f t="shared" si="12"/>
        <v>12645564.16584136</v>
      </c>
      <c r="AG34" s="73">
        <f t="shared" si="13"/>
        <v>9520021.0781839844</v>
      </c>
      <c r="AH34" s="73">
        <f t="shared" si="13"/>
        <v>-27348589.717315894</v>
      </c>
      <c r="AI34" s="12">
        <f t="shared" si="14"/>
        <v>-0.69664991507619978</v>
      </c>
      <c r="AL34" s="73">
        <f>Summary!G34</f>
        <v>-9713014.5360519662</v>
      </c>
      <c r="AM34" s="73">
        <f>IF(D34&lt;&gt;"avg",SUMIFS(Summary!$H:$H,Summary!$C:$C,Financials!C34,Summary!$E:$E,Financials!E34,Summary!$D:$D,1-Financials!D34,Summary!$F:$F,Financials!F34),SUMIFS(Summary!$H:$H,Summary!$C:$C,Financials!C34,Summary!$E:$E,Financials!E34,Summary!$D:$D,"avg",Summary!$F:$F,Financials!F34))</f>
        <v>5063190.5790629871</v>
      </c>
      <c r="AN34" s="20">
        <f>Summary!I34</f>
        <v>3407574.5199101092</v>
      </c>
      <c r="AP34" s="12">
        <v>1</v>
      </c>
    </row>
    <row r="35" spans="1:42" x14ac:dyDescent="0.3">
      <c r="A35">
        <v>31</v>
      </c>
      <c r="B35" t="str">
        <f>Summary!B35</f>
        <v>MarinusPortland</v>
      </c>
      <c r="C35" t="str">
        <f>Summary!C35</f>
        <v>Wind</v>
      </c>
      <c r="D35" s="104">
        <f>Summary!D35</f>
        <v>0</v>
      </c>
      <c r="E35" t="str">
        <f>Summary!E35</f>
        <v>Cal-25</v>
      </c>
      <c r="F35" t="str">
        <f>Summary!F35</f>
        <v>Wartsila dual fuel</v>
      </c>
      <c r="G35" s="73">
        <f>SUMIFS(AL$5:AL35,$F$5:$F35,$F35,$D$5:$D35,$D35)</f>
        <v>-33229835.638182536</v>
      </c>
      <c r="H35" s="73">
        <f>SUMIFS(AM$5:AM35,$F$5:$F35,$F35,$D$5:$D35,$D35)</f>
        <v>39425327.702741206</v>
      </c>
      <c r="I35" s="20">
        <f>SUMIFS(AN$5:AN35,$F$5:$F35,$F35,$D$5:$D35,$D35)</f>
        <v>7154859.5078220908</v>
      </c>
      <c r="J35" s="73">
        <f t="shared" si="0"/>
        <v>7154859.5078220908</v>
      </c>
      <c r="K35" s="73">
        <f t="shared" si="1"/>
        <v>-26074976.130360447</v>
      </c>
      <c r="L35" s="73">
        <f t="shared" si="2"/>
        <v>13350351.572380761</v>
      </c>
      <c r="M35" s="73">
        <f>-SUMIFS(FinParameters!$E$8:$E$39,FinParameters!$B$8:$B$39,Financials!$E35,FinParameters!$C$8:$C$39,Financials!$F35)</f>
        <v>-7602515.625</v>
      </c>
      <c r="N35" s="73">
        <f>-SUMIFS(FinParameters!$F$8:$F$39,FinParameters!$B$8:$B$39,Financials!$E35,FinParameters!$C$8:$C$39,Financials!$F35)</f>
        <v>-74000000</v>
      </c>
      <c r="O35" s="73">
        <f>SUMIFS(FinParameters!$G$8:$G$39,FinParameters!$B$8:$B$39,Financials!$E35,FinParameters!$C$8:$C$39,Financials!$F35)</f>
        <v>34742707.168313518</v>
      </c>
      <c r="P35" s="73">
        <f t="shared" si="3"/>
        <v>-447656.11717790924</v>
      </c>
      <c r="Q35" s="73">
        <f>P35/SUMIFS(FinParameters!$H$8:$H$39,FinParameters!$B$8:$B$39,Financials!$E35,FinParameters!$C$8:$C$39,Financials!$F35)</f>
        <v>-277959.22855363146</v>
      </c>
      <c r="R35" s="73">
        <f t="shared" si="15"/>
        <v>-39704948.948864385</v>
      </c>
      <c r="S35" s="12">
        <f t="shared" si="4"/>
        <v>-1.0114031326382389</v>
      </c>
      <c r="T35" s="114">
        <f t="shared" si="5"/>
        <v>-33229835.638182536</v>
      </c>
      <c r="U35" s="73">
        <f>T35/SUMIFS(FinParameters!$L$8:$L$39,FinParameters!$B$8:$B$39,Financials!$E35,FinParameters!$C$8:$C$39,Financials!$F35)</f>
        <v>-29370332.70536717</v>
      </c>
      <c r="V35" s="73">
        <f t="shared" si="6"/>
        <v>-29370332.70536717</v>
      </c>
      <c r="W35" s="12"/>
      <c r="X35" s="73">
        <f t="shared" si="7"/>
        <v>-33677491.755360447</v>
      </c>
      <c r="Y35" s="73">
        <f t="shared" si="8"/>
        <v>-29648291.933920801</v>
      </c>
      <c r="Z35" s="73">
        <f t="shared" si="8"/>
        <v>-69075281.654231548</v>
      </c>
      <c r="AA35" s="12">
        <f t="shared" si="9"/>
        <v>-1.7595528543037362</v>
      </c>
      <c r="AB35" s="114">
        <f t="shared" si="10"/>
        <v>39425327.702741206</v>
      </c>
      <c r="AC35" s="73">
        <f>AB35/SUMIFS(FinParameters!$L$8:$L$39,FinParameters!$B$8:$B$39,Financials!$E35,FinParameters!$C$8:$C$39,Financials!$F35)</f>
        <v>34846244.930478089</v>
      </c>
      <c r="AD35" s="73">
        <f t="shared" si="11"/>
        <v>34846244.930478089</v>
      </c>
      <c r="AE35" s="12"/>
      <c r="AF35" s="73">
        <f t="shared" si="12"/>
        <v>5747835.9473807588</v>
      </c>
      <c r="AG35" s="73">
        <f t="shared" si="13"/>
        <v>5197952.9965572879</v>
      </c>
      <c r="AH35" s="73">
        <f t="shared" si="13"/>
        <v>-34229036.72375346</v>
      </c>
      <c r="AI35" s="12">
        <f t="shared" si="14"/>
        <v>-0.87191536284757587</v>
      </c>
      <c r="AL35" s="73">
        <f>Summary!G35</f>
        <v>-14119223.01328058</v>
      </c>
      <c r="AM35" s="73">
        <f>IF(D35&lt;&gt;"avg",SUMIFS(Summary!$H:$H,Summary!$C:$C,Financials!C35,Summary!$E:$E,Financials!E35,Summary!$D:$D,1-Financials!D35,Summary!$F:$F,Financials!F35),SUMIFS(Summary!$H:$H,Summary!$C:$C,Financials!C35,Summary!$E:$E,Financials!E35,Summary!$D:$D,"avg",Summary!$F:$F,Financials!F35))</f>
        <v>10095271.477715801</v>
      </c>
      <c r="AN35" s="20">
        <f>Summary!I35</f>
        <v>1792503.5586776915</v>
      </c>
      <c r="AP35" s="12">
        <v>1</v>
      </c>
    </row>
    <row r="36" spans="1:42" x14ac:dyDescent="0.3">
      <c r="A36">
        <v>32</v>
      </c>
      <c r="B36" t="str">
        <f>Summary!B36</f>
        <v>MarinusPortland</v>
      </c>
      <c r="C36" t="str">
        <f>Summary!C36</f>
        <v>Wind</v>
      </c>
      <c r="D36" s="104" t="str">
        <f>Summary!D36</f>
        <v>avg</v>
      </c>
      <c r="E36" t="str">
        <f>Summary!E36</f>
        <v>Cal-25</v>
      </c>
      <c r="F36" t="str">
        <f>Summary!F36</f>
        <v>Wartsila dual fuel</v>
      </c>
      <c r="G36" s="73">
        <f>SUMIFS(AL$5:AL36,$F$5:$F36,$F36,$D$5:$D36,$D36)</f>
        <v>17516252.321527679</v>
      </c>
      <c r="H36" s="73">
        <f>SUMIFS(AM$5:AM36,$F$5:$F36,$F36,$D$5:$D36,$D36)</f>
        <v>-427275.70463168743</v>
      </c>
      <c r="I36" s="20">
        <f>SUMIFS(AN$5:AN36,$F$5:$F36,$F36,$D$5:$D36,$D36)</f>
        <v>22139021.390887469</v>
      </c>
      <c r="J36" s="73">
        <f t="shared" si="0"/>
        <v>22139021.390887469</v>
      </c>
      <c r="K36" s="73">
        <f t="shared" si="1"/>
        <v>39655273.712415144</v>
      </c>
      <c r="L36" s="73">
        <f t="shared" si="2"/>
        <v>39227998.007783458</v>
      </c>
      <c r="M36" s="73">
        <f>-SUMIFS(FinParameters!$E$8:$E$39,FinParameters!$B$8:$B$39,Financials!$E36,FinParameters!$C$8:$C$39,Financials!$F36)</f>
        <v>-7602515.625</v>
      </c>
      <c r="N36" s="73">
        <f>-SUMIFS(FinParameters!$F$8:$F$39,FinParameters!$B$8:$B$39,Financials!$E36,FinParameters!$C$8:$C$39,Financials!$F36)</f>
        <v>-74000000</v>
      </c>
      <c r="O36" s="73">
        <f>SUMIFS(FinParameters!$G$8:$G$39,FinParameters!$B$8:$B$39,Financials!$E36,FinParameters!$C$8:$C$39,Financials!$F36)</f>
        <v>34742707.168313518</v>
      </c>
      <c r="P36" s="73">
        <f t="shared" si="3"/>
        <v>14536505.765887469</v>
      </c>
      <c r="Q36" s="73">
        <f>P36/SUMIFS(FinParameters!$H$8:$H$39,FinParameters!$B$8:$B$39,Financials!$E36,FinParameters!$C$8:$C$39,Financials!$F36)</f>
        <v>9026026.3928118814</v>
      </c>
      <c r="R36" s="73">
        <f t="shared" si="15"/>
        <v>-24720787.065799013</v>
      </c>
      <c r="S36" s="12">
        <f t="shared" si="4"/>
        <v>-0.62971196643100302</v>
      </c>
      <c r="T36" s="114">
        <f t="shared" si="5"/>
        <v>17516252.321527679</v>
      </c>
      <c r="U36" s="73">
        <f>T36/SUMIFS(FinParameters!$L$8:$L$39,FinParameters!$B$8:$B$39,Financials!$E36,FinParameters!$C$8:$C$39,Financials!$F36)</f>
        <v>15481814.717232397</v>
      </c>
      <c r="V36" s="73">
        <f t="shared" si="6"/>
        <v>15481814.717232397</v>
      </c>
      <c r="W36" s="12"/>
      <c r="X36" s="73">
        <f t="shared" si="7"/>
        <v>32052758.087415144</v>
      </c>
      <c r="Y36" s="73">
        <f t="shared" si="8"/>
        <v>24507841.110044278</v>
      </c>
      <c r="Z36" s="73">
        <f t="shared" si="8"/>
        <v>-9238972.348566616</v>
      </c>
      <c r="AA36" s="12">
        <f t="shared" si="9"/>
        <v>-0.23534410251308488</v>
      </c>
      <c r="AB36" s="114">
        <f t="shared" si="10"/>
        <v>-427275.70463168743</v>
      </c>
      <c r="AC36" s="73">
        <f>AB36/SUMIFS(FinParameters!$L$8:$L$39,FinParameters!$B$8:$B$39,Financials!$E36,FinParameters!$C$8:$C$39,Financials!$F36)</f>
        <v>-377649.4635300946</v>
      </c>
      <c r="AD36" s="73">
        <f t="shared" si="11"/>
        <v>-377649.4635300946</v>
      </c>
      <c r="AE36" s="12"/>
      <c r="AF36" s="73">
        <f t="shared" si="12"/>
        <v>31625482.382783458</v>
      </c>
      <c r="AG36" s="73">
        <f t="shared" si="13"/>
        <v>24130191.646514185</v>
      </c>
      <c r="AH36" s="73">
        <f t="shared" si="13"/>
        <v>-9616621.8120967112</v>
      </c>
      <c r="AI36" s="12">
        <f t="shared" si="14"/>
        <v>-0.24496395748243407</v>
      </c>
      <c r="AL36" s="73">
        <f>Summary!G36</f>
        <v>-3348012.7250320832</v>
      </c>
      <c r="AM36" s="73">
        <f>IF(D36&lt;&gt;"avg",SUMIFS(Summary!$H:$H,Summary!$C:$C,Financials!C36,Summary!$E:$E,Financials!E36,Summary!$D:$D,1-Financials!D36,Summary!$F:$F,Financials!F36),SUMIFS(Summary!$H:$H,Summary!$C:$C,Financials!C36,Summary!$E:$E,Financials!E36,Summary!$D:$D,"avg",Summary!$F:$F,Financials!F36))</f>
        <v>-41082.764922050592</v>
      </c>
      <c r="AN36" s="20">
        <f>Summary!I36</f>
        <v>5413425.0986614069</v>
      </c>
      <c r="AP36" s="12">
        <v>1</v>
      </c>
    </row>
    <row r="37" spans="1:42" x14ac:dyDescent="0.3">
      <c r="A37">
        <v>33</v>
      </c>
      <c r="B37" t="str">
        <f>Summary!B37</f>
        <v>MarinusPortland</v>
      </c>
      <c r="C37" t="str">
        <f>Summary!C37</f>
        <v>Wind</v>
      </c>
      <c r="D37" s="104">
        <f>Summary!D37</f>
        <v>1</v>
      </c>
      <c r="E37" t="str">
        <f>Summary!E37</f>
        <v>Cal-26</v>
      </c>
      <c r="F37" t="str">
        <f>Summary!F37</f>
        <v>Wartsila dual fuel</v>
      </c>
      <c r="G37" s="73">
        <f>SUMIFS(AL$5:AL37,$F$5:$F37,$F37,$D$5:$D37,$D37)</f>
        <v>117875730.65825087</v>
      </c>
      <c r="H37" s="73">
        <f>SUMIFS(AM$5:AM37,$F$5:$F37,$F37,$D$5:$D37,$D37)</f>
        <v>-69084955.624866441</v>
      </c>
      <c r="I37" s="20">
        <f>SUMIFS(AN$5:AN37,$F$5:$F37,$F37,$D$5:$D37,$D37)</f>
        <v>60437066.015026107</v>
      </c>
      <c r="J37" s="73">
        <f t="shared" si="0"/>
        <v>60437066.015026107</v>
      </c>
      <c r="K37" s="73">
        <f t="shared" si="1"/>
        <v>178312796.67327696</v>
      </c>
      <c r="L37" s="73">
        <f t="shared" si="2"/>
        <v>109227841.04841053</v>
      </c>
      <c r="M37" s="73">
        <f>-SUMIFS(FinParameters!$E$8:$E$39,FinParameters!$B$8:$B$39,Financials!$E37,FinParameters!$C$8:$C$39,Financials!$F37)</f>
        <v>-9306328.515625</v>
      </c>
      <c r="N37" s="73">
        <f>-SUMIFS(FinParameters!$F$8:$F$39,FinParameters!$B$8:$B$39,Financials!$E37,FinParameters!$C$8:$C$39,Financials!$F37)</f>
        <v>-74000000</v>
      </c>
      <c r="O37" s="73">
        <f>SUMIFS(FinParameters!$G$8:$G$39,FinParameters!$B$8:$B$39,Financials!$E37,FinParameters!$C$8:$C$39,Financials!$F37)</f>
        <v>29452340.394956678</v>
      </c>
      <c r="P37" s="73">
        <f t="shared" si="3"/>
        <v>51130737.499401107</v>
      </c>
      <c r="Q37" s="73">
        <f>P37/SUMIFS(FinParameters!$H$8:$H$39,FinParameters!$B$8:$B$39,Financials!$E37,FinParameters!$C$8:$C$39,Financials!$F37)</f>
        <v>28861968.342834979</v>
      </c>
      <c r="R37" s="73">
        <f t="shared" si="15"/>
        <v>6583077.8943577856</v>
      </c>
      <c r="S37" s="12">
        <f t="shared" si="4"/>
        <v>0.147776066188952</v>
      </c>
      <c r="T37" s="114">
        <f t="shared" si="5"/>
        <v>117875730.65825087</v>
      </c>
      <c r="U37" s="73">
        <f>T37/SUMIFS(FinParameters!$L$8:$L$39,FinParameters!$B$8:$B$39,Financials!$E37,FinParameters!$C$8:$C$39,Financials!$F37)</f>
        <v>101643873.1194143</v>
      </c>
      <c r="V37" s="73">
        <f t="shared" si="6"/>
        <v>101643873.1194143</v>
      </c>
      <c r="W37" s="12"/>
      <c r="X37" s="73">
        <f t="shared" si="7"/>
        <v>169006468.15765196</v>
      </c>
      <c r="Y37" s="73">
        <f t="shared" si="8"/>
        <v>130505841.46224928</v>
      </c>
      <c r="Z37" s="73">
        <f t="shared" si="8"/>
        <v>108226951.01377209</v>
      </c>
      <c r="AA37" s="12">
        <f t="shared" si="9"/>
        <v>2.429464352859505</v>
      </c>
      <c r="AB37" s="114">
        <f t="shared" si="10"/>
        <v>-69084955.624866441</v>
      </c>
      <c r="AC37" s="73">
        <f>AB37/SUMIFS(FinParameters!$L$8:$L$39,FinParameters!$B$8:$B$39,Financials!$E37,FinParameters!$C$8:$C$39,Financials!$F37)</f>
        <v>-59571740.720342867</v>
      </c>
      <c r="AD37" s="73">
        <f t="shared" si="11"/>
        <v>-59571740.720342867</v>
      </c>
      <c r="AE37" s="12"/>
      <c r="AF37" s="73">
        <f t="shared" si="12"/>
        <v>99921512.53278552</v>
      </c>
      <c r="AG37" s="73">
        <f t="shared" si="13"/>
        <v>70934100.741906404</v>
      </c>
      <c r="AH37" s="73">
        <f t="shared" si="13"/>
        <v>48655210.293429218</v>
      </c>
      <c r="AI37" s="12">
        <f t="shared" si="14"/>
        <v>1.0922057572676809</v>
      </c>
      <c r="AL37" s="73">
        <f>Summary!G37</f>
        <v>17860497.031073336</v>
      </c>
      <c r="AM37" s="73">
        <f>IF(D37&lt;&gt;"avg",SUMIFS(Summary!$H:$H,Summary!$C:$C,Financials!C37,Summary!$E:$E,Financials!E37,Summary!$D:$D,1-Financials!D37,Summary!$F:$F,Financials!F37),SUMIFS(Summary!$H:$H,Summary!$C:$C,Financials!C37,Summary!$E:$E,Financials!E37,Summary!$D:$D,"avg",Summary!$F:$F,Financials!F37))</f>
        <v>-14686262.573220557</v>
      </c>
      <c r="AN37" s="20">
        <f>Summary!I37</f>
        <v>12416417.495090801</v>
      </c>
      <c r="AP37" s="12">
        <v>1</v>
      </c>
    </row>
    <row r="38" spans="1:42" x14ac:dyDescent="0.3">
      <c r="A38">
        <v>34</v>
      </c>
      <c r="B38" t="str">
        <f>Summary!B38</f>
        <v>MarinusPortland</v>
      </c>
      <c r="C38" t="str">
        <f>Summary!C38</f>
        <v>Wind</v>
      </c>
      <c r="D38" s="104">
        <f>Summary!D38</f>
        <v>0.95</v>
      </c>
      <c r="E38" t="str">
        <f>Summary!E38</f>
        <v>Cal-26</v>
      </c>
      <c r="F38" t="str">
        <f>Summary!F38</f>
        <v>Wartsila dual fuel</v>
      </c>
      <c r="G38" s="73">
        <f>SUMIFS(AL$5:AL38,$F$5:$F38,$F38,$D$5:$D38,$D38)</f>
        <v>63305882.897459783</v>
      </c>
      <c r="H38" s="73">
        <f>SUMIFS(AM$5:AM38,$F$5:$F38,$F38,$D$5:$D38,$D38)</f>
        <v>-27613385.159945764</v>
      </c>
      <c r="I38" s="20">
        <f>SUMIFS(AN$5:AN38,$F$5:$F38,$F38,$D$5:$D38,$D38)</f>
        <v>41131181.44645004</v>
      </c>
      <c r="J38" s="73">
        <f t="shared" si="0"/>
        <v>41131181.44645004</v>
      </c>
      <c r="K38" s="73">
        <f t="shared" si="1"/>
        <v>104437064.34390983</v>
      </c>
      <c r="L38" s="73">
        <f t="shared" si="2"/>
        <v>76823679.183964059</v>
      </c>
      <c r="M38" s="73">
        <f>-SUMIFS(FinParameters!$E$8:$E$39,FinParameters!$B$8:$B$39,Financials!$E38,FinParameters!$C$8:$C$39,Financials!$F38)</f>
        <v>-9306328.515625</v>
      </c>
      <c r="N38" s="73">
        <f>-SUMIFS(FinParameters!$F$8:$F$39,FinParameters!$B$8:$B$39,Financials!$E38,FinParameters!$C$8:$C$39,Financials!$F38)</f>
        <v>-74000000</v>
      </c>
      <c r="O38" s="73">
        <f>SUMIFS(FinParameters!$G$8:$G$39,FinParameters!$B$8:$B$39,Financials!$E38,FinParameters!$C$8:$C$39,Financials!$F38)</f>
        <v>29452340.394956678</v>
      </c>
      <c r="P38" s="73">
        <f t="shared" si="3"/>
        <v>31824852.93082504</v>
      </c>
      <c r="Q38" s="73">
        <f>P38/SUMIFS(FinParameters!$H$8:$H$39,FinParameters!$B$8:$B$39,Financials!$E38,FinParameters!$C$8:$C$39,Financials!$F38)</f>
        <v>17964299.807246275</v>
      </c>
      <c r="R38" s="73">
        <f t="shared" si="15"/>
        <v>-12722806.674218282</v>
      </c>
      <c r="S38" s="12">
        <f t="shared" si="4"/>
        <v>-0.28559988980381606</v>
      </c>
      <c r="T38" s="114">
        <f t="shared" si="5"/>
        <v>63305882.897459783</v>
      </c>
      <c r="U38" s="73">
        <f>T38/SUMIFS(FinParameters!$L$8:$L$39,FinParameters!$B$8:$B$39,Financials!$E38,FinParameters!$C$8:$C$39,Financials!$F38)</f>
        <v>54588464.419342279</v>
      </c>
      <c r="V38" s="73">
        <f t="shared" si="6"/>
        <v>54588464.419342279</v>
      </c>
      <c r="W38" s="12"/>
      <c r="X38" s="73">
        <f t="shared" si="7"/>
        <v>95130735.82828483</v>
      </c>
      <c r="Y38" s="73">
        <f t="shared" si="8"/>
        <v>72552764.226588547</v>
      </c>
      <c r="Z38" s="73">
        <f t="shared" si="8"/>
        <v>41865657.745123997</v>
      </c>
      <c r="AA38" s="12">
        <f t="shared" si="9"/>
        <v>0.93979477522056643</v>
      </c>
      <c r="AB38" s="114">
        <f t="shared" si="10"/>
        <v>-27613385.159945764</v>
      </c>
      <c r="AC38" s="73">
        <f>AB38/SUMIFS(FinParameters!$L$8:$L$39,FinParameters!$B$8:$B$39,Financials!$E38,FinParameters!$C$8:$C$39,Financials!$F38)</f>
        <v>-23810935.481981538</v>
      </c>
      <c r="AD38" s="73">
        <f t="shared" si="11"/>
        <v>-23810935.481981538</v>
      </c>
      <c r="AE38" s="12"/>
      <c r="AF38" s="73">
        <f t="shared" si="12"/>
        <v>67517350.668339074</v>
      </c>
      <c r="AG38" s="73">
        <f t="shared" si="13"/>
        <v>48741828.744607009</v>
      </c>
      <c r="AH38" s="73">
        <f t="shared" si="13"/>
        <v>18054722.263142459</v>
      </c>
      <c r="AI38" s="12">
        <f t="shared" si="14"/>
        <v>0.40529002922295948</v>
      </c>
      <c r="AL38" s="73">
        <f>Summary!G38</f>
        <v>6417285.7733485429</v>
      </c>
      <c r="AM38" s="73">
        <f>IF(D38&lt;&gt;"avg",SUMIFS(Summary!$H:$H,Summary!$C:$C,Financials!C38,Summary!$E:$E,Financials!E38,Summary!$D:$D,1-Financials!D38,Summary!$F:$F,Financials!F38),SUMIFS(Summary!$H:$H,Summary!$C:$C,Financials!C38,Summary!$E:$E,Financials!E38,Summary!$D:$D,"avg",Summary!$F:$F,Financials!F38))</f>
        <v>-6270854.0950252926</v>
      </c>
      <c r="AN38" s="20">
        <f>Summary!I38</f>
        <v>8429347.8424704447</v>
      </c>
      <c r="AP38" s="12">
        <v>1</v>
      </c>
    </row>
    <row r="39" spans="1:42" x14ac:dyDescent="0.3">
      <c r="A39">
        <v>35</v>
      </c>
      <c r="B39" t="str">
        <f>Summary!B39</f>
        <v>MarinusPortland</v>
      </c>
      <c r="C39" t="str">
        <f>Summary!C39</f>
        <v>Wind</v>
      </c>
      <c r="D39" s="104">
        <f>Summary!D39</f>
        <v>0.75</v>
      </c>
      <c r="E39" t="str">
        <f>Summary!E39</f>
        <v>Cal-26</v>
      </c>
      <c r="F39" t="str">
        <f>Summary!F39</f>
        <v>Wartsila dual fuel</v>
      </c>
      <c r="G39" s="73">
        <f>SUMIFS(AL$5:AL39,$F$5:$F39,$F39,$D$5:$D39,$D39)</f>
        <v>32571611.90247304</v>
      </c>
      <c r="H39" s="73">
        <f>SUMIFS(AM$5:AM39,$F$5:$F39,$F39,$D$5:$D39,$D39)</f>
        <v>-10777845.394917397</v>
      </c>
      <c r="I39" s="20">
        <f>SUMIFS(AN$5:AN39,$F$5:$F39,$F39,$D$5:$D39,$D39)</f>
        <v>32453678.277775995</v>
      </c>
      <c r="J39" s="73">
        <f t="shared" si="0"/>
        <v>32453678.277775995</v>
      </c>
      <c r="K39" s="73">
        <f t="shared" si="1"/>
        <v>65025290.180249035</v>
      </c>
      <c r="L39" s="73">
        <f t="shared" si="2"/>
        <v>54247444.785331637</v>
      </c>
      <c r="M39" s="73">
        <f>-SUMIFS(FinParameters!$E$8:$E$39,FinParameters!$B$8:$B$39,Financials!$E39,FinParameters!$C$8:$C$39,Financials!$F39)</f>
        <v>-9306328.515625</v>
      </c>
      <c r="N39" s="73">
        <f>-SUMIFS(FinParameters!$F$8:$F$39,FinParameters!$B$8:$B$39,Financials!$E39,FinParameters!$C$8:$C$39,Financials!$F39)</f>
        <v>-74000000</v>
      </c>
      <c r="O39" s="73">
        <f>SUMIFS(FinParameters!$G$8:$G$39,FinParameters!$B$8:$B$39,Financials!$E39,FinParameters!$C$8:$C$39,Financials!$F39)</f>
        <v>29452340.394956678</v>
      </c>
      <c r="P39" s="73">
        <f t="shared" si="3"/>
        <v>23147349.762150995</v>
      </c>
      <c r="Q39" s="73">
        <f>P39/SUMIFS(FinParameters!$H$8:$H$39,FinParameters!$B$8:$B$39,Financials!$E39,FinParameters!$C$8:$C$39,Financials!$F39)</f>
        <v>13066075.490570735</v>
      </c>
      <c r="R39" s="73">
        <f t="shared" si="15"/>
        <v>-21400309.842892326</v>
      </c>
      <c r="S39" s="12">
        <f t="shared" si="4"/>
        <v>-0.4803913389081737</v>
      </c>
      <c r="T39" s="114">
        <f t="shared" si="5"/>
        <v>32571611.90247304</v>
      </c>
      <c r="U39" s="73">
        <f>T39/SUMIFS(FinParameters!$L$8:$L$39,FinParameters!$B$8:$B$39,Financials!$E39,FinParameters!$C$8:$C$39,Financials!$F39)</f>
        <v>28086398.862784371</v>
      </c>
      <c r="V39" s="73">
        <f t="shared" si="6"/>
        <v>28086398.862784371</v>
      </c>
      <c r="W39" s="12"/>
      <c r="X39" s="73">
        <f t="shared" si="7"/>
        <v>55718961.664624035</v>
      </c>
      <c r="Y39" s="73">
        <f t="shared" si="8"/>
        <v>41152474.35335511</v>
      </c>
      <c r="Z39" s="73">
        <f t="shared" si="8"/>
        <v>6686089.0198920444</v>
      </c>
      <c r="AA39" s="12">
        <f t="shared" si="9"/>
        <v>0.15008844637789007</v>
      </c>
      <c r="AB39" s="114">
        <f t="shared" si="10"/>
        <v>-10777845.394917397</v>
      </c>
      <c r="AC39" s="73">
        <f>AB39/SUMIFS(FinParameters!$L$8:$L$39,FinParameters!$B$8:$B$39,Financials!$E39,FinParameters!$C$8:$C$39,Financials!$F39)</f>
        <v>-9293702.3058441281</v>
      </c>
      <c r="AD39" s="73">
        <f t="shared" si="11"/>
        <v>-9293702.3058441281</v>
      </c>
      <c r="AE39" s="12"/>
      <c r="AF39" s="73">
        <f t="shared" si="12"/>
        <v>44941116.269706637</v>
      </c>
      <c r="AG39" s="73">
        <f t="shared" si="13"/>
        <v>31858772.047510982</v>
      </c>
      <c r="AH39" s="73">
        <f t="shared" si="13"/>
        <v>-2607613.2859520838</v>
      </c>
      <c r="AI39" s="12">
        <f t="shared" si="14"/>
        <v>-5.8535359861124354E-2</v>
      </c>
      <c r="AL39" s="73">
        <f>Summary!G39</f>
        <v>1140654.1441268765</v>
      </c>
      <c r="AM39" s="73">
        <f>IF(D39&lt;&gt;"avg",SUMIFS(Summary!$H:$H,Summary!$C:$C,Financials!C39,Summary!$E:$E,Financials!E39,Summary!$D:$D,1-Financials!D39,Summary!$F:$F,Financials!F39),SUMIFS(Summary!$H:$H,Summary!$C:$C,Financials!C39,Summary!$E:$E,Financials!E39,Summary!$D:$D,"avg",Summary!$F:$F,Financials!F39))</f>
        <v>-2418494.3378620916</v>
      </c>
      <c r="AN39" s="20">
        <f>Summary!I39</f>
        <v>6816631.9923396185</v>
      </c>
      <c r="AP39" s="12">
        <v>1</v>
      </c>
    </row>
    <row r="40" spans="1:42" x14ac:dyDescent="0.3">
      <c r="A40">
        <v>36</v>
      </c>
      <c r="B40" t="str">
        <f>Summary!B40</f>
        <v>MarinusPortland</v>
      </c>
      <c r="C40" t="str">
        <f>Summary!C40</f>
        <v>Wind</v>
      </c>
      <c r="D40" s="104">
        <f>Summary!D40</f>
        <v>0.5</v>
      </c>
      <c r="E40" t="str">
        <f>Summary!E40</f>
        <v>Cal-26</v>
      </c>
      <c r="F40" t="str">
        <f>Summary!F40</f>
        <v>Wartsila dual fuel</v>
      </c>
      <c r="G40" s="73">
        <f>SUMIFS(AL$5:AL40,$F$5:$F40,$F40,$D$5:$D40,$D40)</f>
        <v>11019531.325863644</v>
      </c>
      <c r="H40" s="73">
        <f>SUMIFS(AM$5:AM40,$F$5:$F40,$F40,$D$5:$D40,$D40)</f>
        <v>113028.67737666286</v>
      </c>
      <c r="I40" s="20">
        <f>SUMIFS(AN$5:AN40,$F$5:$F40,$F40,$D$5:$D40,$D40)</f>
        <v>27399853.506456025</v>
      </c>
      <c r="J40" s="73">
        <f t="shared" si="0"/>
        <v>27399853.506456025</v>
      </c>
      <c r="K40" s="73">
        <f t="shared" si="1"/>
        <v>38419384.832319669</v>
      </c>
      <c r="L40" s="73">
        <f t="shared" si="2"/>
        <v>38532413.509696335</v>
      </c>
      <c r="M40" s="73">
        <f>-SUMIFS(FinParameters!$E$8:$E$39,FinParameters!$B$8:$B$39,Financials!$E40,FinParameters!$C$8:$C$39,Financials!$F40)</f>
        <v>-9306328.515625</v>
      </c>
      <c r="N40" s="73">
        <f>-SUMIFS(FinParameters!$F$8:$F$39,FinParameters!$B$8:$B$39,Financials!$E40,FinParameters!$C$8:$C$39,Financials!$F40)</f>
        <v>-74000000</v>
      </c>
      <c r="O40" s="73">
        <f>SUMIFS(FinParameters!$G$8:$G$39,FinParameters!$B$8:$B$39,Financials!$E40,FinParameters!$C$8:$C$39,Financials!$F40)</f>
        <v>29452340.394956678</v>
      </c>
      <c r="P40" s="73">
        <f t="shared" si="3"/>
        <v>18093524.990831025</v>
      </c>
      <c r="Q40" s="73">
        <f>P40/SUMIFS(FinParameters!$H$8:$H$39,FinParameters!$B$8:$B$39,Financials!$E40,FinParameters!$C$8:$C$39,Financials!$F40)</f>
        <v>10213323.16010062</v>
      </c>
      <c r="R40" s="73">
        <f t="shared" si="15"/>
        <v>-26454134.614212297</v>
      </c>
      <c r="S40" s="12">
        <f t="shared" si="4"/>
        <v>-0.59383893225262452</v>
      </c>
      <c r="T40" s="114">
        <f t="shared" si="5"/>
        <v>11019531.325863644</v>
      </c>
      <c r="U40" s="73">
        <f>T40/SUMIFS(FinParameters!$L$8:$L$39,FinParameters!$B$8:$B$39,Financials!$E40,FinParameters!$C$8:$C$39,Financials!$F40)</f>
        <v>9502107.3266458251</v>
      </c>
      <c r="V40" s="73">
        <f t="shared" si="6"/>
        <v>9502107.3266458251</v>
      </c>
      <c r="W40" s="12"/>
      <c r="X40" s="73">
        <f t="shared" si="7"/>
        <v>29113056.316694669</v>
      </c>
      <c r="Y40" s="73">
        <f t="shared" si="8"/>
        <v>19715430.486746445</v>
      </c>
      <c r="Z40" s="73">
        <f t="shared" si="8"/>
        <v>-16952027.287566472</v>
      </c>
      <c r="AA40" s="12">
        <f t="shared" si="9"/>
        <v>-0.38053687753435428</v>
      </c>
      <c r="AB40" s="114">
        <f t="shared" si="10"/>
        <v>113028.67737666286</v>
      </c>
      <c r="AC40" s="73">
        <f>AB40/SUMIFS(FinParameters!$L$8:$L$39,FinParameters!$B$8:$B$39,Financials!$E40,FinParameters!$C$8:$C$39,Financials!$F40)</f>
        <v>97464.274265557382</v>
      </c>
      <c r="AD40" s="73">
        <f t="shared" si="11"/>
        <v>97464.274265557382</v>
      </c>
      <c r="AE40" s="12"/>
      <c r="AF40" s="73">
        <f t="shared" si="12"/>
        <v>29226084.994071331</v>
      </c>
      <c r="AG40" s="73">
        <f t="shared" si="13"/>
        <v>19812894.761012003</v>
      </c>
      <c r="AH40" s="73">
        <f t="shared" si="13"/>
        <v>-16854563.013300914</v>
      </c>
      <c r="AI40" s="12">
        <f t="shared" si="14"/>
        <v>-0.37834901233268781</v>
      </c>
      <c r="AL40" s="73">
        <f>Summary!G40</f>
        <v>-2195834.406320299</v>
      </c>
      <c r="AM40" s="73">
        <f>IF(D40&lt;&gt;"avg",SUMIFS(Summary!$H:$H,Summary!$C:$C,Financials!C40,Summary!$E:$E,Financials!E40,Summary!$D:$D,1-Financials!D40,Summary!$F:$F,Financials!F40),SUMIFS(Summary!$H:$H,Summary!$C:$C,Financials!C40,Summary!$E:$E,Financials!E40,Summary!$D:$D,"avg",Summary!$F:$F,Financials!F40))</f>
        <v>13103.939556304624</v>
      </c>
      <c r="AN40" s="20">
        <f>Summary!I40</f>
        <v>5802433.8512245435</v>
      </c>
      <c r="AP40" s="12">
        <v>1</v>
      </c>
    </row>
    <row r="41" spans="1:42" x14ac:dyDescent="0.3">
      <c r="A41">
        <v>37</v>
      </c>
      <c r="B41" t="str">
        <f>Summary!B41</f>
        <v>MarinusPortland</v>
      </c>
      <c r="C41" t="str">
        <f>Summary!C41</f>
        <v>Wind</v>
      </c>
      <c r="D41" s="104">
        <f>Summary!D41</f>
        <v>0.25</v>
      </c>
      <c r="E41" t="str">
        <f>Summary!E41</f>
        <v>Cal-26</v>
      </c>
      <c r="F41" t="str">
        <f>Summary!F41</f>
        <v>Wartsila dual fuel</v>
      </c>
      <c r="G41" s="73">
        <f>SUMIFS(AL$5:AL41,$F$5:$F41,$F41,$D$5:$D41,$D41)</f>
        <v>-2911459.2181817982</v>
      </c>
      <c r="H41" s="73">
        <f>SUMIFS(AM$5:AM41,$F$5:$F41,$F41,$D$5:$D41,$D41)</f>
        <v>10379051.718798913</v>
      </c>
      <c r="I41" s="20">
        <f>SUMIFS(AN$5:AN41,$F$5:$F41,$F41,$D$5:$D41,$D41)</f>
        <v>23144781.645152371</v>
      </c>
      <c r="J41" s="73">
        <f t="shared" si="0"/>
        <v>23144781.645152371</v>
      </c>
      <c r="K41" s="73">
        <f t="shared" si="1"/>
        <v>20233322.426970571</v>
      </c>
      <c r="L41" s="73">
        <f t="shared" si="2"/>
        <v>30612374.145769484</v>
      </c>
      <c r="M41" s="73">
        <f>-SUMIFS(FinParameters!$E$8:$E$39,FinParameters!$B$8:$B$39,Financials!$E41,FinParameters!$C$8:$C$39,Financials!$F41)</f>
        <v>-9306328.515625</v>
      </c>
      <c r="N41" s="73">
        <f>-SUMIFS(FinParameters!$F$8:$F$39,FinParameters!$B$8:$B$39,Financials!$E41,FinParameters!$C$8:$C$39,Financials!$F41)</f>
        <v>-74000000</v>
      </c>
      <c r="O41" s="73">
        <f>SUMIFS(FinParameters!$G$8:$G$39,FinParameters!$B$8:$B$39,Financials!$E41,FinParameters!$C$8:$C$39,Financials!$F41)</f>
        <v>29452340.394956678</v>
      </c>
      <c r="P41" s="73">
        <f t="shared" si="3"/>
        <v>13838453.129527371</v>
      </c>
      <c r="Q41" s="73">
        <f>P41/SUMIFS(FinParameters!$H$8:$H$39,FinParameters!$B$8:$B$39,Financials!$E41,FinParameters!$C$8:$C$39,Financials!$F41)</f>
        <v>7811446.023889306</v>
      </c>
      <c r="R41" s="73">
        <f t="shared" si="15"/>
        <v>-30709206.475515947</v>
      </c>
      <c r="S41" s="12">
        <f t="shared" si="4"/>
        <v>-0.68935622539504415</v>
      </c>
      <c r="T41" s="114">
        <f t="shared" si="5"/>
        <v>-2911459.2181817982</v>
      </c>
      <c r="U41" s="73">
        <f>T41/SUMIFS(FinParameters!$L$8:$L$39,FinParameters!$B$8:$B$39,Financials!$E41,FinParameters!$C$8:$C$39,Financials!$F41)</f>
        <v>-2510542.1592099858</v>
      </c>
      <c r="V41" s="73">
        <f t="shared" si="6"/>
        <v>-2510542.1592099858</v>
      </c>
      <c r="W41" s="12"/>
      <c r="X41" s="73">
        <f t="shared" si="7"/>
        <v>10926993.911345571</v>
      </c>
      <c r="Y41" s="73">
        <f t="shared" si="8"/>
        <v>5300903.8646793198</v>
      </c>
      <c r="Z41" s="73">
        <f t="shared" si="8"/>
        <v>-33219748.634725932</v>
      </c>
      <c r="AA41" s="12">
        <f t="shared" si="9"/>
        <v>-0.7457125453783674</v>
      </c>
      <c r="AB41" s="114">
        <f t="shared" si="10"/>
        <v>10379051.718798913</v>
      </c>
      <c r="AC41" s="73">
        <f>AB41/SUMIFS(FinParameters!$L$8:$L$39,FinParameters!$B$8:$B$39,Financials!$E41,FinParameters!$C$8:$C$39,Financials!$F41)</f>
        <v>8949823.7687622923</v>
      </c>
      <c r="AD41" s="73">
        <f t="shared" si="11"/>
        <v>8949823.7687622923</v>
      </c>
      <c r="AE41" s="12"/>
      <c r="AF41" s="73">
        <f t="shared" si="12"/>
        <v>21306045.630144484</v>
      </c>
      <c r="AG41" s="73">
        <f t="shared" si="13"/>
        <v>14250727.633441612</v>
      </c>
      <c r="AH41" s="73">
        <f t="shared" si="13"/>
        <v>-24269924.865963638</v>
      </c>
      <c r="AI41" s="12">
        <f t="shared" si="14"/>
        <v>-0.54480807928271036</v>
      </c>
      <c r="AL41" s="73">
        <f>Summary!G41</f>
        <v>-5000816.0483356267</v>
      </c>
      <c r="AM41" s="73">
        <f>IF(D41&lt;&gt;"avg",SUMIFS(Summary!$H:$H,Summary!$C:$C,Financials!C41,Summary!$E:$E,Financials!E41,Summary!$D:$D,1-Financials!D41,Summary!$F:$F,Financials!F41),SUMIFS(Summary!$H:$H,Summary!$C:$C,Financials!C41,Summary!$E:$E,Financials!E41,Summary!$D:$D,"avg",Summary!$F:$F,Financials!F41))</f>
        <v>2331061.5797656192</v>
      </c>
      <c r="AN41" s="20">
        <f>Summary!I41</f>
        <v>4955061.4288612911</v>
      </c>
      <c r="AP41" s="12">
        <v>1</v>
      </c>
    </row>
    <row r="42" spans="1:42" x14ac:dyDescent="0.3">
      <c r="A42">
        <v>38</v>
      </c>
      <c r="B42" t="str">
        <f>Summary!B42</f>
        <v>MarinusPortland</v>
      </c>
      <c r="C42" t="str">
        <f>Summary!C42</f>
        <v>Wind</v>
      </c>
      <c r="D42" s="104">
        <f>Summary!D42</f>
        <v>0.05</v>
      </c>
      <c r="E42" t="str">
        <f>Summary!E42</f>
        <v>Cal-26</v>
      </c>
      <c r="F42" t="str">
        <f>Summary!F42</f>
        <v>Wartsila dual fuel</v>
      </c>
      <c r="G42" s="73">
        <f>SUMIFS(AL$5:AL42,$F$5:$F42,$F42,$D$5:$D42,$D42)</f>
        <v>-19302813.333822329</v>
      </c>
      <c r="H42" s="73">
        <f>SUMIFS(AM$5:AM42,$F$5:$F42,$F42,$D$5:$D42,$D42)</f>
        <v>24337615.001779113</v>
      </c>
      <c r="I42" s="20">
        <f>SUMIFS(AN$5:AN42,$F$5:$F42,$F42,$D$5:$D42,$D42)</f>
        <v>17731094.303334795</v>
      </c>
      <c r="J42" s="73">
        <f t="shared" si="0"/>
        <v>17731094.303334795</v>
      </c>
      <c r="K42" s="73">
        <f t="shared" si="1"/>
        <v>-1571719.0304875337</v>
      </c>
      <c r="L42" s="73">
        <f t="shared" si="2"/>
        <v>22765895.971291579</v>
      </c>
      <c r="M42" s="73">
        <f>-SUMIFS(FinParameters!$E$8:$E$39,FinParameters!$B$8:$B$39,Financials!$E42,FinParameters!$C$8:$C$39,Financials!$F42)</f>
        <v>-9306328.515625</v>
      </c>
      <c r="N42" s="73">
        <f>-SUMIFS(FinParameters!$F$8:$F$39,FinParameters!$B$8:$B$39,Financials!$E42,FinParameters!$C$8:$C$39,Financials!$F42)</f>
        <v>-74000000</v>
      </c>
      <c r="O42" s="73">
        <f>SUMIFS(FinParameters!$G$8:$G$39,FinParameters!$B$8:$B$39,Financials!$E42,FinParameters!$C$8:$C$39,Financials!$F42)</f>
        <v>29452340.394956678</v>
      </c>
      <c r="P42" s="73">
        <f t="shared" si="3"/>
        <v>8424765.7877097949</v>
      </c>
      <c r="Q42" s="73">
        <f>P42/SUMIFS(FinParameters!$H$8:$H$39,FinParameters!$B$8:$B$39,Financials!$E42,FinParameters!$C$8:$C$39,Financials!$F42)</f>
        <v>4755560.6539711533</v>
      </c>
      <c r="R42" s="73">
        <f t="shared" si="15"/>
        <v>-36122893.817333527</v>
      </c>
      <c r="S42" s="12">
        <f t="shared" si="4"/>
        <v>-0.81088196636134813</v>
      </c>
      <c r="T42" s="114">
        <f t="shared" si="5"/>
        <v>-19302813.333822329</v>
      </c>
      <c r="U42" s="73">
        <f>T42/SUMIFS(FinParameters!$L$8:$L$39,FinParameters!$B$8:$B$39,Financials!$E42,FinParameters!$C$8:$C$39,Financials!$F42)</f>
        <v>-16644755.441975635</v>
      </c>
      <c r="V42" s="73">
        <f t="shared" si="6"/>
        <v>-16644755.441975635</v>
      </c>
      <c r="W42" s="12"/>
      <c r="X42" s="73">
        <f t="shared" si="7"/>
        <v>-10878047.546112534</v>
      </c>
      <c r="Y42" s="73">
        <f t="shared" si="8"/>
        <v>-11889194.78800448</v>
      </c>
      <c r="Z42" s="73">
        <f t="shared" si="8"/>
        <v>-52767649.259309158</v>
      </c>
      <c r="AA42" s="12">
        <f t="shared" si="9"/>
        <v>-1.1845212459452132</v>
      </c>
      <c r="AB42" s="114">
        <f t="shared" si="10"/>
        <v>24337615.001779113</v>
      </c>
      <c r="AC42" s="73">
        <f>AB42/SUMIFS(FinParameters!$L$8:$L$39,FinParameters!$B$8:$B$39,Financials!$E42,FinParameters!$C$8:$C$39,Financials!$F42)</f>
        <v>20986249.140987489</v>
      </c>
      <c r="AD42" s="73">
        <f t="shared" si="11"/>
        <v>20986249.140987489</v>
      </c>
      <c r="AE42" s="12"/>
      <c r="AF42" s="73">
        <f t="shared" si="12"/>
        <v>13459567.455666579</v>
      </c>
      <c r="AG42" s="73">
        <f t="shared" si="13"/>
        <v>9097054.3529830091</v>
      </c>
      <c r="AH42" s="73">
        <f t="shared" si="13"/>
        <v>-31781400.118321668</v>
      </c>
      <c r="AI42" s="12">
        <f t="shared" si="14"/>
        <v>-0.71342468717983198</v>
      </c>
      <c r="AL42" s="73">
        <f>Summary!G42</f>
        <v>-6896357.0562213697</v>
      </c>
      <c r="AM42" s="73">
        <f>IF(D42&lt;&gt;"avg",SUMIFS(Summary!$H:$H,Summary!$C:$C,Financials!C42,Summary!$E:$E,Financials!E42,Summary!$D:$D,1-Financials!D42,Summary!$F:$F,Financials!F42),SUMIFS(Summary!$H:$H,Summary!$C:$C,Financials!C42,Summary!$E:$E,Financials!E42,Summary!$D:$D,"avg",Summary!$F:$F,Financials!F42))</f>
        <v>5586877.5939936759</v>
      </c>
      <c r="AN42" s="20">
        <f>Summary!I42</f>
        <v>3827295.6426779125</v>
      </c>
      <c r="AP42" s="12">
        <v>1</v>
      </c>
    </row>
    <row r="43" spans="1:42" x14ac:dyDescent="0.3">
      <c r="A43">
        <v>39</v>
      </c>
      <c r="B43" t="str">
        <f>Summary!B43</f>
        <v>MarinusPortland</v>
      </c>
      <c r="C43" t="str">
        <f>Summary!C43</f>
        <v>Wind</v>
      </c>
      <c r="D43" s="104">
        <f>Summary!D43</f>
        <v>0</v>
      </c>
      <c r="E43" t="str">
        <f>Summary!E43</f>
        <v>Cal-26</v>
      </c>
      <c r="F43" t="str">
        <f>Summary!F43</f>
        <v>Wartsila dual fuel</v>
      </c>
      <c r="G43" s="73">
        <f>SUMIFS(AL$5:AL43,$F$5:$F43,$F43,$D$5:$D43,$D43)</f>
        <v>-46426468.740560837</v>
      </c>
      <c r="H43" s="73">
        <f>SUMIFS(AM$5:AM43,$F$5:$F43,$F43,$D$5:$D43,$D43)</f>
        <v>52146703.963886999</v>
      </c>
      <c r="I43" s="20">
        <f>SUMIFS(AN$5:AN43,$F$5:$F43,$F43,$D$5:$D43,$D43)</f>
        <v>8703038.1649371684</v>
      </c>
      <c r="J43" s="73">
        <f t="shared" si="0"/>
        <v>8703038.1649371684</v>
      </c>
      <c r="K43" s="73">
        <f t="shared" si="1"/>
        <v>-37723430.575623669</v>
      </c>
      <c r="L43" s="73">
        <f t="shared" si="2"/>
        <v>14423273.38826333</v>
      </c>
      <c r="M43" s="73">
        <f>-SUMIFS(FinParameters!$E$8:$E$39,FinParameters!$B$8:$B$39,Financials!$E43,FinParameters!$C$8:$C$39,Financials!$F43)</f>
        <v>-9306328.515625</v>
      </c>
      <c r="N43" s="73">
        <f>-SUMIFS(FinParameters!$F$8:$F$39,FinParameters!$B$8:$B$39,Financials!$E43,FinParameters!$C$8:$C$39,Financials!$F43)</f>
        <v>-74000000</v>
      </c>
      <c r="O43" s="73">
        <f>SUMIFS(FinParameters!$G$8:$G$39,FinParameters!$B$8:$B$39,Financials!$E43,FinParameters!$C$8:$C$39,Financials!$F43)</f>
        <v>29452340.394956678</v>
      </c>
      <c r="P43" s="73">
        <f t="shared" si="3"/>
        <v>-603290.35068783164</v>
      </c>
      <c r="Q43" s="73">
        <f>P43/SUMIFS(FinParameters!$H$8:$H$39,FinParameters!$B$8:$B$39,Financials!$E43,FinParameters!$C$8:$C$39,Financials!$F43)</f>
        <v>-340541.67521628173</v>
      </c>
      <c r="R43" s="73">
        <f t="shared" si="15"/>
        <v>-45150949.955731153</v>
      </c>
      <c r="S43" s="12">
        <f t="shared" si="4"/>
        <v>-1.0135425823945987</v>
      </c>
      <c r="T43" s="114">
        <f t="shared" si="5"/>
        <v>-46426468.740560837</v>
      </c>
      <c r="U43" s="73">
        <f>T43/SUMIFS(FinParameters!$L$8:$L$39,FinParameters!$B$8:$B$39,Financials!$E43,FinParameters!$C$8:$C$39,Financials!$F43)</f>
        <v>-40033398.492598943</v>
      </c>
      <c r="V43" s="73">
        <f t="shared" si="6"/>
        <v>-40033398.492598943</v>
      </c>
      <c r="W43" s="12"/>
      <c r="X43" s="73">
        <f t="shared" si="7"/>
        <v>-47029759.091248669</v>
      </c>
      <c r="Y43" s="73">
        <f t="shared" si="8"/>
        <v>-40373940.167815223</v>
      </c>
      <c r="Z43" s="73">
        <f t="shared" si="8"/>
        <v>-85184348.448330104</v>
      </c>
      <c r="AA43" s="12">
        <f t="shared" si="9"/>
        <v>-1.9122070430538674</v>
      </c>
      <c r="AB43" s="114">
        <f t="shared" si="10"/>
        <v>52146703.963886999</v>
      </c>
      <c r="AC43" s="73">
        <f>AB43/SUMIFS(FinParameters!$L$8:$L$39,FinParameters!$B$8:$B$39,Financials!$E43,FinParameters!$C$8:$C$39,Financials!$F43)</f>
        <v>44965939.398229979</v>
      </c>
      <c r="AD43" s="73">
        <f t="shared" si="11"/>
        <v>44965939.398229979</v>
      </c>
      <c r="AE43" s="12"/>
      <c r="AF43" s="73">
        <f t="shared" si="12"/>
        <v>5116944.8726383299</v>
      </c>
      <c r="AG43" s="73">
        <f t="shared" si="13"/>
        <v>4591999.2304147556</v>
      </c>
      <c r="AH43" s="73">
        <f t="shared" si="13"/>
        <v>-40218409.050100125</v>
      </c>
      <c r="AI43" s="12">
        <f t="shared" si="14"/>
        <v>-0.90281755330524538</v>
      </c>
      <c r="AL43" s="73">
        <f>Summary!G43</f>
        <v>-13196633.102378299</v>
      </c>
      <c r="AM43" s="73">
        <f>IF(D43&lt;&gt;"avg",SUMIFS(Summary!$H:$H,Summary!$C:$C,Financials!C43,Summary!$E:$E,Financials!E43,Summary!$D:$D,1-Financials!D43,Summary!$F:$F,Financials!F43),SUMIFS(Summary!$H:$H,Summary!$C:$C,Financials!C43,Summary!$E:$E,Financials!E43,Summary!$D:$D,"avg",Summary!$F:$F,Financials!F43))</f>
        <v>12721376.261145793</v>
      </c>
      <c r="AN43" s="20">
        <f>Summary!I43</f>
        <v>1548178.6571150774</v>
      </c>
      <c r="AP43" s="12">
        <v>1</v>
      </c>
    </row>
    <row r="44" spans="1:42" x14ac:dyDescent="0.3">
      <c r="A44">
        <v>40</v>
      </c>
      <c r="B44" t="str">
        <f>Summary!B44</f>
        <v>MarinusPortland</v>
      </c>
      <c r="C44" t="str">
        <f>Summary!C44</f>
        <v>Wind</v>
      </c>
      <c r="D44" s="104" t="str">
        <f>Summary!D44</f>
        <v>avg</v>
      </c>
      <c r="E44" t="str">
        <f>Summary!E44</f>
        <v>Cal-26</v>
      </c>
      <c r="F44" t="str">
        <f>Summary!F44</f>
        <v>Wartsila dual fuel</v>
      </c>
      <c r="G44" s="73">
        <f>SUMIFS(AL$5:AL44,$F$5:$F44,$F44,$D$5:$D44,$D44)</f>
        <v>15913171.209961403</v>
      </c>
      <c r="H44" s="73">
        <f>SUMIFS(AM$5:AM44,$F$5:$F44,$F44,$D$5:$D44,$D44)</f>
        <v>-546555.81587736239</v>
      </c>
      <c r="I44" s="20">
        <f>SUMIFS(AN$5:AN44,$F$5:$F44,$F44,$D$5:$D44,$D44)</f>
        <v>28055554.060980894</v>
      </c>
      <c r="J44" s="73">
        <f t="shared" si="0"/>
        <v>28055554.060980894</v>
      </c>
      <c r="K44" s="73">
        <f t="shared" si="1"/>
        <v>43968725.270942301</v>
      </c>
      <c r="L44" s="73">
        <f t="shared" si="2"/>
        <v>43422169.455064937</v>
      </c>
      <c r="M44" s="73">
        <f>-SUMIFS(FinParameters!$E$8:$E$39,FinParameters!$B$8:$B$39,Financials!$E44,FinParameters!$C$8:$C$39,Financials!$F44)</f>
        <v>-9306328.515625</v>
      </c>
      <c r="N44" s="73">
        <f>-SUMIFS(FinParameters!$F$8:$F$39,FinParameters!$B$8:$B$39,Financials!$E44,FinParameters!$C$8:$C$39,Financials!$F44)</f>
        <v>-74000000</v>
      </c>
      <c r="O44" s="73">
        <f>SUMIFS(FinParameters!$G$8:$G$39,FinParameters!$B$8:$B$39,Financials!$E44,FinParameters!$C$8:$C$39,Financials!$F44)</f>
        <v>29452340.394956678</v>
      </c>
      <c r="P44" s="73">
        <f t="shared" si="3"/>
        <v>18749225.545355894</v>
      </c>
      <c r="Q44" s="73">
        <f>P44/SUMIFS(FinParameters!$H$8:$H$39,FinParameters!$B$8:$B$39,Financials!$E44,FinParameters!$C$8:$C$39,Financials!$F44)</f>
        <v>10583449.029051714</v>
      </c>
      <c r="R44" s="73">
        <f t="shared" si="15"/>
        <v>-25798434.059687428</v>
      </c>
      <c r="S44" s="12">
        <f t="shared" si="4"/>
        <v>-0.57911985249987719</v>
      </c>
      <c r="T44" s="114">
        <f t="shared" si="5"/>
        <v>15913171.209961403</v>
      </c>
      <c r="U44" s="73">
        <f>T44/SUMIFS(FinParameters!$L$8:$L$39,FinParameters!$B$8:$B$39,Financials!$E44,FinParameters!$C$8:$C$39,Financials!$F44)</f>
        <v>13721877.66184265</v>
      </c>
      <c r="V44" s="73">
        <f t="shared" si="6"/>
        <v>13721877.66184265</v>
      </c>
      <c r="W44" s="12"/>
      <c r="X44" s="73">
        <f t="shared" si="7"/>
        <v>34662396.755317301</v>
      </c>
      <c r="Y44" s="73">
        <f t="shared" si="8"/>
        <v>24305326.690894365</v>
      </c>
      <c r="Z44" s="73">
        <f t="shared" si="8"/>
        <v>-12076556.397844778</v>
      </c>
      <c r="AA44" s="12">
        <f t="shared" si="9"/>
        <v>-0.27109294865128153</v>
      </c>
      <c r="AB44" s="114">
        <f t="shared" si="10"/>
        <v>-546555.81587736239</v>
      </c>
      <c r="AC44" s="73">
        <f>AB44/SUMIFS(FinParameters!$L$8:$L$39,FinParameters!$B$8:$B$39,Financials!$E44,FinParameters!$C$8:$C$39,Financials!$F44)</f>
        <v>-471293.36710353621</v>
      </c>
      <c r="AD44" s="73">
        <f t="shared" si="11"/>
        <v>-471293.36710353621</v>
      </c>
      <c r="AE44" s="12"/>
      <c r="AF44" s="73">
        <f t="shared" si="12"/>
        <v>34115840.939439937</v>
      </c>
      <c r="AG44" s="73">
        <f t="shared" si="13"/>
        <v>23834033.32379083</v>
      </c>
      <c r="AH44" s="73">
        <f t="shared" si="13"/>
        <v>-12547849.764948314</v>
      </c>
      <c r="AI44" s="12">
        <f t="shared" si="14"/>
        <v>-0.2816724801301963</v>
      </c>
      <c r="AL44" s="73">
        <f>Summary!G44</f>
        <v>-1603081.1115662763</v>
      </c>
      <c r="AM44" s="73">
        <f>IF(D44&lt;&gt;"avg",SUMIFS(Summary!$H:$H,Summary!$C:$C,Financials!C44,Summary!$E:$E,Financials!E44,Summary!$D:$D,1-Financials!D44,Summary!$F:$F,Financials!F44),SUMIFS(Summary!$H:$H,Summary!$C:$C,Financials!C44,Summary!$E:$E,Financials!E44,Summary!$D:$D,"avg",Summary!$F:$F,Financials!F44))</f>
        <v>-119280.11124567494</v>
      </c>
      <c r="AN44" s="20">
        <f>Summary!I44</f>
        <v>5916532.6700934255</v>
      </c>
      <c r="AP44" s="12">
        <v>1</v>
      </c>
    </row>
    <row r="45" spans="1:42" x14ac:dyDescent="0.3">
      <c r="A45">
        <v>41</v>
      </c>
      <c r="B45" t="str">
        <f>Summary!B45</f>
        <v>MarinusPortland</v>
      </c>
      <c r="C45" t="str">
        <f>Summary!C45</f>
        <v>Wind</v>
      </c>
      <c r="D45" s="104">
        <f>Summary!D45</f>
        <v>1</v>
      </c>
      <c r="E45" t="str">
        <f>Summary!E45</f>
        <v>Cal-27</v>
      </c>
      <c r="F45" t="str">
        <f>Summary!F45</f>
        <v>Wartsila dual fuel</v>
      </c>
      <c r="G45" s="73">
        <f>SUMIFS(AL$5:AL45,$F$5:$F45,$F45,$D$5:$D45,$D45)</f>
        <v>136649061.60390577</v>
      </c>
      <c r="H45" s="73">
        <f>SUMIFS(AM$5:AM45,$F$5:$F45,$F45,$D$5:$D45,$D45)</f>
        <v>-84226754.438097447</v>
      </c>
      <c r="I45" s="20">
        <f>SUMIFS(AN$5:AN45,$F$5:$F45,$F45,$D$5:$D45,$D45)</f>
        <v>73398951.300297856</v>
      </c>
      <c r="J45" s="73">
        <f t="shared" si="0"/>
        <v>73398951.300297856</v>
      </c>
      <c r="K45" s="73">
        <f t="shared" si="1"/>
        <v>210048012.90420362</v>
      </c>
      <c r="L45" s="73">
        <f t="shared" si="2"/>
        <v>125821258.46610618</v>
      </c>
      <c r="M45" s="73">
        <f>-SUMIFS(FinParameters!$E$8:$E$39,FinParameters!$B$8:$B$39,Financials!$E45,FinParameters!$C$8:$C$39,Financials!$F45)</f>
        <v>-11037736.728515625</v>
      </c>
      <c r="N45" s="73">
        <f>-SUMIFS(FinParameters!$F$8:$F$39,FinParameters!$B$8:$B$39,Financials!$E45,FinParameters!$C$8:$C$39,Financials!$F45)</f>
        <v>-74000000</v>
      </c>
      <c r="O45" s="73">
        <f>SUMIFS(FinParameters!$G$8:$G$39,FinParameters!$B$8:$B$39,Financials!$E45,FinParameters!$C$8:$C$39,Financials!$F45)</f>
        <v>24967552.19845191</v>
      </c>
      <c r="P45" s="73">
        <f t="shared" si="3"/>
        <v>62361214.571782231</v>
      </c>
      <c r="Q45" s="73">
        <f>P45/SUMIFS(FinParameters!$H$8:$H$39,FinParameters!$B$8:$B$39,Financials!$E45,FinParameters!$C$8:$C$39,Financials!$F45)</f>
        <v>32001163.520237077</v>
      </c>
      <c r="R45" s="73">
        <f t="shared" si="15"/>
        <v>13328766.770234141</v>
      </c>
      <c r="S45" s="12">
        <f t="shared" si="4"/>
        <v>0.27183563880352135</v>
      </c>
      <c r="T45" s="114">
        <f t="shared" si="5"/>
        <v>136649061.60390577</v>
      </c>
      <c r="U45" s="73">
        <f>T45/SUMIFS(FinParameters!$L$8:$L$39,FinParameters!$B$8:$B$39,Financials!$E45,FinParameters!$C$8:$C$39,Financials!$F45)</f>
        <v>114958104.93413843</v>
      </c>
      <c r="V45" s="73">
        <f t="shared" si="6"/>
        <v>114958104.93413843</v>
      </c>
      <c r="W45" s="12"/>
      <c r="X45" s="73">
        <f t="shared" si="7"/>
        <v>199010276.175688</v>
      </c>
      <c r="Y45" s="73">
        <f t="shared" si="8"/>
        <v>146959268.45437551</v>
      </c>
      <c r="Z45" s="73">
        <f t="shared" si="8"/>
        <v>128286871.70437257</v>
      </c>
      <c r="AA45" s="12">
        <f t="shared" si="9"/>
        <v>2.6163668643180036</v>
      </c>
      <c r="AB45" s="114">
        <f t="shared" si="10"/>
        <v>-84226754.438097447</v>
      </c>
      <c r="AC45" s="73">
        <f>AB45/SUMIFS(FinParameters!$L$8:$L$39,FinParameters!$B$8:$B$39,Financials!$E45,FinParameters!$C$8:$C$39,Financials!$F45)</f>
        <v>-70857040.372679472</v>
      </c>
      <c r="AD45" s="73">
        <f t="shared" si="11"/>
        <v>-70857040.372679472</v>
      </c>
      <c r="AE45" s="12"/>
      <c r="AF45" s="73">
        <f t="shared" si="12"/>
        <v>114783521.73759055</v>
      </c>
      <c r="AG45" s="73">
        <f t="shared" si="13"/>
        <v>76102228.081696033</v>
      </c>
      <c r="AH45" s="73">
        <f t="shared" si="13"/>
        <v>57429831.331693098</v>
      </c>
      <c r="AI45" s="12">
        <f t="shared" si="14"/>
        <v>1.1712617645387036</v>
      </c>
      <c r="AL45" s="73">
        <f>Summary!G45</f>
        <v>18773330.945654888</v>
      </c>
      <c r="AM45" s="73">
        <f>IF(D45&lt;&gt;"avg",SUMIFS(Summary!$H:$H,Summary!$C:$C,Financials!C45,Summary!$E:$E,Financials!E45,Summary!$D:$D,1-Financials!D45,Summary!$F:$F,Financials!F45),SUMIFS(Summary!$H:$H,Summary!$C:$C,Financials!C45,Summary!$E:$E,Financials!E45,Summary!$D:$D,"avg",Summary!$F:$F,Financials!F45))</f>
        <v>-15141798.813231004</v>
      </c>
      <c r="AN45" s="20">
        <f>Summary!I45</f>
        <v>12961885.285271753</v>
      </c>
      <c r="AP45" s="12">
        <v>1</v>
      </c>
    </row>
    <row r="46" spans="1:42" x14ac:dyDescent="0.3">
      <c r="A46">
        <v>42</v>
      </c>
      <c r="B46" t="str">
        <f>Summary!B46</f>
        <v>MarinusPortland</v>
      </c>
      <c r="C46" t="str">
        <f>Summary!C46</f>
        <v>Wind</v>
      </c>
      <c r="D46" s="104">
        <f>Summary!D46</f>
        <v>0.95</v>
      </c>
      <c r="E46" t="str">
        <f>Summary!E46</f>
        <v>Cal-27</v>
      </c>
      <c r="F46" t="str">
        <f>Summary!F46</f>
        <v>Wartsila dual fuel</v>
      </c>
      <c r="G46" s="73">
        <f>SUMIFS(AL$5:AL46,$F$5:$F46,$F46,$D$5:$D46,$D46)</f>
        <v>71652826.356255323</v>
      </c>
      <c r="H46" s="73">
        <f>SUMIFS(AM$5:AM46,$F$5:$F46,$F46,$D$5:$D46,$D46)</f>
        <v>-34451273.891304225</v>
      </c>
      <c r="I46" s="20">
        <f>SUMIFS(AN$5:AN46,$F$5:$F46,$F46,$D$5:$D46,$D46)</f>
        <v>49996364.453213409</v>
      </c>
      <c r="J46" s="73">
        <f t="shared" si="0"/>
        <v>49996364.453213409</v>
      </c>
      <c r="K46" s="73">
        <f t="shared" si="1"/>
        <v>121649190.80946873</v>
      </c>
      <c r="L46" s="73">
        <f t="shared" si="2"/>
        <v>87197916.918164507</v>
      </c>
      <c r="M46" s="73">
        <f>-SUMIFS(FinParameters!$E$8:$E$39,FinParameters!$B$8:$B$39,Financials!$E46,FinParameters!$C$8:$C$39,Financials!$F46)</f>
        <v>-11037736.728515625</v>
      </c>
      <c r="N46" s="73">
        <f>-SUMIFS(FinParameters!$F$8:$F$39,FinParameters!$B$8:$B$39,Financials!$E46,FinParameters!$C$8:$C$39,Financials!$F46)</f>
        <v>-74000000</v>
      </c>
      <c r="O46" s="73">
        <f>SUMIFS(FinParameters!$G$8:$G$39,FinParameters!$B$8:$B$39,Financials!$E46,FinParameters!$C$8:$C$39,Financials!$F46)</f>
        <v>24967552.19845191</v>
      </c>
      <c r="P46" s="73">
        <f t="shared" si="3"/>
        <v>38958627.724697784</v>
      </c>
      <c r="Q46" s="73">
        <f>P46/SUMIFS(FinParameters!$H$8:$H$39,FinParameters!$B$8:$B$39,Financials!$E46,FinParameters!$C$8:$C$39,Financials!$F46)</f>
        <v>19991936.092056539</v>
      </c>
      <c r="R46" s="73">
        <f t="shared" si="15"/>
        <v>-10073820.076850306</v>
      </c>
      <c r="S46" s="12">
        <f t="shared" si="4"/>
        <v>-0.20545211443700853</v>
      </c>
      <c r="T46" s="114">
        <f t="shared" si="5"/>
        <v>71652826.356255323</v>
      </c>
      <c r="U46" s="73">
        <f>T46/SUMIFS(FinParameters!$L$8:$L$39,FinParameters!$B$8:$B$39,Financials!$E46,FinParameters!$C$8:$C$39,Financials!$F46)</f>
        <v>60279031.808986552</v>
      </c>
      <c r="V46" s="73">
        <f t="shared" si="6"/>
        <v>60279031.808986552</v>
      </c>
      <c r="W46" s="12"/>
      <c r="X46" s="73">
        <f t="shared" si="7"/>
        <v>110611454.08095311</v>
      </c>
      <c r="Y46" s="73">
        <f t="shared" si="8"/>
        <v>80270967.901043087</v>
      </c>
      <c r="Z46" s="73">
        <f t="shared" si="8"/>
        <v>50205211.73213625</v>
      </c>
      <c r="AA46" s="12">
        <f t="shared" si="9"/>
        <v>1.0239181191878235</v>
      </c>
      <c r="AB46" s="114">
        <f t="shared" si="10"/>
        <v>-34451273.891304225</v>
      </c>
      <c r="AC46" s="73">
        <f>AB46/SUMIFS(FinParameters!$L$8:$L$39,FinParameters!$B$8:$B$39,Financials!$E46,FinParameters!$C$8:$C$39,Financials!$F46)</f>
        <v>-28982659.029091313</v>
      </c>
      <c r="AD46" s="73">
        <f t="shared" si="11"/>
        <v>-28982659.029091313</v>
      </c>
      <c r="AE46" s="12"/>
      <c r="AF46" s="73">
        <f t="shared" si="12"/>
        <v>76160180.189648882</v>
      </c>
      <c r="AG46" s="73">
        <f t="shared" si="13"/>
        <v>51288308.871951774</v>
      </c>
      <c r="AH46" s="73">
        <f t="shared" si="13"/>
        <v>21222552.703044936</v>
      </c>
      <c r="AI46" s="12">
        <f t="shared" si="14"/>
        <v>0.43282670261415912</v>
      </c>
      <c r="AL46" s="73">
        <f>Summary!G46</f>
        <v>8346943.4587955428</v>
      </c>
      <c r="AM46" s="73">
        <f>IF(D46&lt;&gt;"avg",SUMIFS(Summary!$H:$H,Summary!$C:$C,Financials!C46,Summary!$E:$E,Financials!E46,Summary!$D:$D,1-Financials!D46,Summary!$F:$F,Financials!F46),SUMIFS(Summary!$H:$H,Summary!$C:$C,Financials!C46,Summary!$E:$E,Financials!E46,Summary!$D:$D,"avg",Summary!$F:$F,Financials!F46))</f>
        <v>-6837888.731358462</v>
      </c>
      <c r="AN46" s="20">
        <f>Summary!I46</f>
        <v>8865183.0067633651</v>
      </c>
      <c r="AP46" s="12">
        <v>1</v>
      </c>
    </row>
    <row r="47" spans="1:42" x14ac:dyDescent="0.3">
      <c r="A47">
        <v>43</v>
      </c>
      <c r="B47" t="str">
        <f>Summary!B47</f>
        <v>MarinusPortland</v>
      </c>
      <c r="C47" t="str">
        <f>Summary!C47</f>
        <v>Wind</v>
      </c>
      <c r="D47" s="104">
        <f>Summary!D47</f>
        <v>0.75</v>
      </c>
      <c r="E47" t="str">
        <f>Summary!E47</f>
        <v>Cal-27</v>
      </c>
      <c r="F47" t="str">
        <f>Summary!F47</f>
        <v>Wartsila dual fuel</v>
      </c>
      <c r="G47" s="73">
        <f>SUMIFS(AL$5:AL47,$F$5:$F47,$F47,$D$5:$D47,$D47)</f>
        <v>35305074.846592255</v>
      </c>
      <c r="H47" s="73">
        <f>SUMIFS(AM$5:AM47,$F$5:$F47,$F47,$D$5:$D47,$D47)</f>
        <v>-13404488.045676544</v>
      </c>
      <c r="I47" s="20">
        <f>SUMIFS(AN$5:AN47,$F$5:$F47,$F47,$D$5:$D47,$D47)</f>
        <v>39519495.770480588</v>
      </c>
      <c r="J47" s="73">
        <f t="shared" si="0"/>
        <v>39519495.770480588</v>
      </c>
      <c r="K47" s="73">
        <f t="shared" si="1"/>
        <v>74824570.61707285</v>
      </c>
      <c r="L47" s="73">
        <f t="shared" si="2"/>
        <v>61420082.571396299</v>
      </c>
      <c r="M47" s="73">
        <f>-SUMIFS(FinParameters!$E$8:$E$39,FinParameters!$B$8:$B$39,Financials!$E47,FinParameters!$C$8:$C$39,Financials!$F47)</f>
        <v>-11037736.728515625</v>
      </c>
      <c r="N47" s="73">
        <f>-SUMIFS(FinParameters!$F$8:$F$39,FinParameters!$B$8:$B$39,Financials!$E47,FinParameters!$C$8:$C$39,Financials!$F47)</f>
        <v>-74000000</v>
      </c>
      <c r="O47" s="73">
        <f>SUMIFS(FinParameters!$G$8:$G$39,FinParameters!$B$8:$B$39,Financials!$E47,FinParameters!$C$8:$C$39,Financials!$F47)</f>
        <v>24967552.19845191</v>
      </c>
      <c r="P47" s="73">
        <f t="shared" si="3"/>
        <v>28481759.041964963</v>
      </c>
      <c r="Q47" s="73">
        <f>P47/SUMIFS(FinParameters!$H$8:$H$39,FinParameters!$B$8:$B$39,Financials!$E47,FinParameters!$C$8:$C$39,Financials!$F47)</f>
        <v>14615645.873875147</v>
      </c>
      <c r="R47" s="73">
        <f t="shared" si="15"/>
        <v>-20550688.759583127</v>
      </c>
      <c r="S47" s="12">
        <f t="shared" si="4"/>
        <v>-0.41912426731700481</v>
      </c>
      <c r="T47" s="114">
        <f t="shared" si="5"/>
        <v>35305074.846592255</v>
      </c>
      <c r="U47" s="73">
        <f>T47/SUMIFS(FinParameters!$L$8:$L$39,FinParameters!$B$8:$B$39,Financials!$E47,FinParameters!$C$8:$C$39,Financials!$F47)</f>
        <v>29700932.090456147</v>
      </c>
      <c r="V47" s="73">
        <f t="shared" si="6"/>
        <v>29700932.090456147</v>
      </c>
      <c r="W47" s="12"/>
      <c r="X47" s="73">
        <f t="shared" si="7"/>
        <v>63786833.888557225</v>
      </c>
      <c r="Y47" s="73">
        <f t="shared" si="8"/>
        <v>44316577.964331292</v>
      </c>
      <c r="Z47" s="73">
        <f t="shared" si="8"/>
        <v>9150243.33087302</v>
      </c>
      <c r="AA47" s="12">
        <f t="shared" si="9"/>
        <v>0.18661608263791638</v>
      </c>
      <c r="AB47" s="114">
        <f t="shared" si="10"/>
        <v>-13404488.045676544</v>
      </c>
      <c r="AC47" s="73">
        <f>AB47/SUMIFS(FinParameters!$L$8:$L$39,FinParameters!$B$8:$B$39,Financials!$E47,FinParameters!$C$8:$C$39,Financials!$F47)</f>
        <v>-11276729.786918961</v>
      </c>
      <c r="AD47" s="73">
        <f t="shared" si="11"/>
        <v>-11276729.786918961</v>
      </c>
      <c r="AE47" s="12"/>
      <c r="AF47" s="73">
        <f t="shared" si="12"/>
        <v>50382345.842880681</v>
      </c>
      <c r="AG47" s="73">
        <f t="shared" si="13"/>
        <v>33039848.177412331</v>
      </c>
      <c r="AH47" s="73">
        <f t="shared" si="13"/>
        <v>-2126486.4560459405</v>
      </c>
      <c r="AI47" s="12">
        <f t="shared" si="14"/>
        <v>-4.3368963847217952E-2</v>
      </c>
      <c r="AL47" s="73">
        <f>Summary!G47</f>
        <v>2733462.9441192173</v>
      </c>
      <c r="AM47" s="73">
        <f>IF(D47&lt;&gt;"avg",SUMIFS(Summary!$H:$H,Summary!$C:$C,Financials!C47,Summary!$E:$E,Financials!E47,Summary!$D:$D,1-Financials!D47,Summary!$F:$F,Financials!F47),SUMIFS(Summary!$H:$H,Summary!$C:$C,Financials!C47,Summary!$E:$E,Financials!E47,Summary!$D:$D,"avg",Summary!$F:$F,Financials!F47))</f>
        <v>-2626642.6507591479</v>
      </c>
      <c r="AN47" s="20">
        <f>Summary!I47</f>
        <v>7065817.4927045908</v>
      </c>
      <c r="AP47" s="12">
        <v>1</v>
      </c>
    </row>
    <row r="48" spans="1:42" x14ac:dyDescent="0.3">
      <c r="A48">
        <v>44</v>
      </c>
      <c r="B48" t="str">
        <f>Summary!B48</f>
        <v>MarinusPortland</v>
      </c>
      <c r="C48" t="str">
        <f>Summary!C48</f>
        <v>Wind</v>
      </c>
      <c r="D48" s="104">
        <f>Summary!D48</f>
        <v>0.5</v>
      </c>
      <c r="E48" t="str">
        <f>Summary!E48</f>
        <v>Cal-27</v>
      </c>
      <c r="F48" t="str">
        <f>Summary!F48</f>
        <v>Wartsila dual fuel</v>
      </c>
      <c r="G48" s="73">
        <f>SUMIFS(AL$5:AL48,$F$5:$F48,$F48,$D$5:$D48,$D48)</f>
        <v>10354158.615286199</v>
      </c>
      <c r="H48" s="73">
        <f>SUMIFS(AM$5:AM48,$F$5:$F48,$F48,$D$5:$D48,$D48)</f>
        <v>225780.71816398366</v>
      </c>
      <c r="I48" s="20">
        <f>SUMIFS(AN$5:AN48,$F$5:$F48,$F48,$D$5:$D48,$D48)</f>
        <v>33452263.537359759</v>
      </c>
      <c r="J48" s="73">
        <f t="shared" si="0"/>
        <v>33452263.537359759</v>
      </c>
      <c r="K48" s="73">
        <f t="shared" si="1"/>
        <v>43806422.15264596</v>
      </c>
      <c r="L48" s="73">
        <f t="shared" si="2"/>
        <v>44032202.870809942</v>
      </c>
      <c r="M48" s="73">
        <f>-SUMIFS(FinParameters!$E$8:$E$39,FinParameters!$B$8:$B$39,Financials!$E48,FinParameters!$C$8:$C$39,Financials!$F48)</f>
        <v>-11037736.728515625</v>
      </c>
      <c r="N48" s="73">
        <f>-SUMIFS(FinParameters!$F$8:$F$39,FinParameters!$B$8:$B$39,Financials!$E48,FinParameters!$C$8:$C$39,Financials!$F48)</f>
        <v>-74000000</v>
      </c>
      <c r="O48" s="73">
        <f>SUMIFS(FinParameters!$G$8:$G$39,FinParameters!$B$8:$B$39,Financials!$E48,FinParameters!$C$8:$C$39,Financials!$F48)</f>
        <v>24967552.19845191</v>
      </c>
      <c r="P48" s="73">
        <f t="shared" si="3"/>
        <v>22414526.808844134</v>
      </c>
      <c r="Q48" s="73">
        <f>P48/SUMIFS(FinParameters!$H$8:$H$39,FinParameters!$B$8:$B$39,Financials!$E48,FinParameters!$C$8:$C$39,Financials!$F48)</f>
        <v>11502196.398258176</v>
      </c>
      <c r="R48" s="73">
        <f t="shared" si="15"/>
        <v>-26617920.992703956</v>
      </c>
      <c r="S48" s="12">
        <f t="shared" si="4"/>
        <v>-0.542863393245963</v>
      </c>
      <c r="T48" s="114">
        <f t="shared" si="5"/>
        <v>10354158.615286199</v>
      </c>
      <c r="U48" s="73">
        <f>T48/SUMIFS(FinParameters!$L$8:$L$39,FinParameters!$B$8:$B$39,Financials!$E48,FinParameters!$C$8:$C$39,Financials!$F48)</f>
        <v>8710593.6815797556</v>
      </c>
      <c r="V48" s="73">
        <f t="shared" si="6"/>
        <v>8710593.6815797556</v>
      </c>
      <c r="W48" s="12"/>
      <c r="X48" s="73">
        <f t="shared" si="7"/>
        <v>32768685.424130335</v>
      </c>
      <c r="Y48" s="73">
        <f t="shared" si="8"/>
        <v>20212790.079837933</v>
      </c>
      <c r="Z48" s="73">
        <f t="shared" si="8"/>
        <v>-17907327.311124198</v>
      </c>
      <c r="AA48" s="12">
        <f t="shared" si="9"/>
        <v>-0.36521381481099163</v>
      </c>
      <c r="AB48" s="114">
        <f t="shared" si="10"/>
        <v>225780.71816398366</v>
      </c>
      <c r="AC48" s="73">
        <f>AB48/SUMIFS(FinParameters!$L$8:$L$39,FinParameters!$B$8:$B$39,Financials!$E48,FinParameters!$C$8:$C$39,Financials!$F48)</f>
        <v>189941.46894352694</v>
      </c>
      <c r="AD48" s="73">
        <f t="shared" si="11"/>
        <v>189941.46894352694</v>
      </c>
      <c r="AE48" s="12"/>
      <c r="AF48" s="73">
        <f t="shared" si="12"/>
        <v>32994466.142294317</v>
      </c>
      <c r="AG48" s="73">
        <f t="shared" si="13"/>
        <v>20402731.548781458</v>
      </c>
      <c r="AH48" s="73">
        <f t="shared" si="13"/>
        <v>-17717385.842180673</v>
      </c>
      <c r="AI48" s="12">
        <f t="shared" si="14"/>
        <v>-0.36134002352665096</v>
      </c>
      <c r="AL48" s="73">
        <f>Summary!G48</f>
        <v>-665372.71057744452</v>
      </c>
      <c r="AM48" s="73">
        <f>IF(D48&lt;&gt;"avg",SUMIFS(Summary!$H:$H,Summary!$C:$C,Financials!C48,Summary!$E:$E,Financials!E48,Summary!$D:$D,1-Financials!D48,Summary!$F:$F,Financials!F48),SUMIFS(Summary!$H:$H,Summary!$C:$C,Financials!C48,Summary!$E:$E,Financials!E48,Summary!$D:$D,"avg",Summary!$F:$F,Financials!F48))</f>
        <v>112752.0407873208</v>
      </c>
      <c r="AN48" s="20">
        <f>Summary!I48</f>
        <v>6052410.0309037324</v>
      </c>
      <c r="AP48" s="12">
        <v>1</v>
      </c>
    </row>
    <row r="49" spans="1:42" x14ac:dyDescent="0.3">
      <c r="A49">
        <v>45</v>
      </c>
      <c r="B49" t="str">
        <f>Summary!B49</f>
        <v>MarinusPortland</v>
      </c>
      <c r="C49" t="str">
        <f>Summary!C49</f>
        <v>Wind</v>
      </c>
      <c r="D49" s="104">
        <f>Summary!D49</f>
        <v>0.25</v>
      </c>
      <c r="E49" t="str">
        <f>Summary!E49</f>
        <v>Cal-27</v>
      </c>
      <c r="F49" t="str">
        <f>Summary!F49</f>
        <v>Wartsila dual fuel</v>
      </c>
      <c r="G49" s="73">
        <f>SUMIFS(AL$5:AL49,$F$5:$F49,$F49,$D$5:$D49,$D49)</f>
        <v>-6037502.9854577323</v>
      </c>
      <c r="H49" s="73">
        <f>SUMIFS(AM$5:AM49,$F$5:$F49,$F49,$D$5:$D49,$D49)</f>
        <v>12944476.158026202</v>
      </c>
      <c r="I49" s="20">
        <f>SUMIFS(AN$5:AN49,$F$5:$F49,$F49,$D$5:$D49,$D49)</f>
        <v>28340410.598167505</v>
      </c>
      <c r="J49" s="73">
        <f t="shared" si="0"/>
        <v>28340410.598167505</v>
      </c>
      <c r="K49" s="73">
        <f t="shared" si="1"/>
        <v>22302907.612709772</v>
      </c>
      <c r="L49" s="73">
        <f t="shared" si="2"/>
        <v>35247383.770735972</v>
      </c>
      <c r="M49" s="73">
        <f>-SUMIFS(FinParameters!$E$8:$E$39,FinParameters!$B$8:$B$39,Financials!$E49,FinParameters!$C$8:$C$39,Financials!$F49)</f>
        <v>-11037736.728515625</v>
      </c>
      <c r="N49" s="73">
        <f>-SUMIFS(FinParameters!$F$8:$F$39,FinParameters!$B$8:$B$39,Financials!$E49,FinParameters!$C$8:$C$39,Financials!$F49)</f>
        <v>-74000000</v>
      </c>
      <c r="O49" s="73">
        <f>SUMIFS(FinParameters!$G$8:$G$39,FinParameters!$B$8:$B$39,Financials!$E49,FinParameters!$C$8:$C$39,Financials!$F49)</f>
        <v>24967552.19845191</v>
      </c>
      <c r="P49" s="73">
        <f t="shared" si="3"/>
        <v>17302673.86965188</v>
      </c>
      <c r="Q49" s="73">
        <f>P49/SUMIFS(FinParameters!$H$8:$H$39,FinParameters!$B$8:$B$39,Financials!$E49,FinParameters!$C$8:$C$39,Financials!$F49)</f>
        <v>8879007.5633101743</v>
      </c>
      <c r="R49" s="73">
        <f t="shared" si="15"/>
        <v>-31729773.931896206</v>
      </c>
      <c r="S49" s="12">
        <f t="shared" si="4"/>
        <v>-0.64711788528930847</v>
      </c>
      <c r="T49" s="114">
        <f t="shared" si="5"/>
        <v>-6037502.9854577323</v>
      </c>
      <c r="U49" s="73">
        <f>T49/SUMIFS(FinParameters!$L$8:$L$39,FinParameters!$B$8:$B$39,Financials!$E49,FinParameters!$C$8:$C$39,Financials!$F49)</f>
        <v>-5079141.3683779445</v>
      </c>
      <c r="V49" s="73">
        <f t="shared" si="6"/>
        <v>-5079141.3683779445</v>
      </c>
      <c r="W49" s="12"/>
      <c r="X49" s="73">
        <f t="shared" si="7"/>
        <v>11265170.884194147</v>
      </c>
      <c r="Y49" s="73">
        <f t="shared" si="8"/>
        <v>3799866.1949322298</v>
      </c>
      <c r="Z49" s="73">
        <f t="shared" si="8"/>
        <v>-36808915.300274149</v>
      </c>
      <c r="AA49" s="12">
        <f t="shared" si="9"/>
        <v>-0.75070523603579886</v>
      </c>
      <c r="AB49" s="114">
        <f t="shared" si="10"/>
        <v>12944476.158026202</v>
      </c>
      <c r="AC49" s="73">
        <f>AB49/SUMIFS(FinParameters!$L$8:$L$39,FinParameters!$B$8:$B$39,Financials!$E49,FinParameters!$C$8:$C$39,Financials!$F49)</f>
        <v>10889737.778113628</v>
      </c>
      <c r="AD49" s="73">
        <f t="shared" si="11"/>
        <v>10889737.778113628</v>
      </c>
      <c r="AE49" s="12"/>
      <c r="AF49" s="73">
        <f t="shared" si="12"/>
        <v>24209647.042220347</v>
      </c>
      <c r="AG49" s="73">
        <f t="shared" si="13"/>
        <v>14689603.973045858</v>
      </c>
      <c r="AH49" s="73">
        <f t="shared" si="13"/>
        <v>-25919177.522160523</v>
      </c>
      <c r="AI49" s="12">
        <f t="shared" si="14"/>
        <v>-0.52861275918886885</v>
      </c>
      <c r="AL49" s="73">
        <f>Summary!G49</f>
        <v>-3126043.7672759341</v>
      </c>
      <c r="AM49" s="73">
        <f>IF(D49&lt;&gt;"avg",SUMIFS(Summary!$H:$H,Summary!$C:$C,Financials!C49,Summary!$E:$E,Financials!E49,Summary!$D:$D,1-Financials!D49,Summary!$F:$F,Financials!F49),SUMIFS(Summary!$H:$H,Summary!$C:$C,Financials!C49,Summary!$E:$E,Financials!E49,Summary!$D:$D,"avg",Summary!$F:$F,Financials!F49))</f>
        <v>2565424.4392272891</v>
      </c>
      <c r="AN49" s="20">
        <f>Summary!I49</f>
        <v>5195628.9530151347</v>
      </c>
      <c r="AP49" s="12">
        <v>1</v>
      </c>
    </row>
    <row r="50" spans="1:42" x14ac:dyDescent="0.3">
      <c r="A50">
        <v>46</v>
      </c>
      <c r="B50" t="str">
        <f>Summary!B50</f>
        <v>MarinusPortland</v>
      </c>
      <c r="C50" t="str">
        <f>Summary!C50</f>
        <v>Wind</v>
      </c>
      <c r="D50" s="104">
        <f>Summary!D50</f>
        <v>0.05</v>
      </c>
      <c r="E50" t="str">
        <f>Summary!E50</f>
        <v>Cal-27</v>
      </c>
      <c r="F50" t="str">
        <f>Summary!F50</f>
        <v>Wartsila dual fuel</v>
      </c>
      <c r="G50" s="73">
        <f>SUMIFS(AL$5:AL50,$F$5:$F50,$F50,$D$5:$D50,$D50)</f>
        <v>-25195456.813781481</v>
      </c>
      <c r="H50" s="73">
        <f>SUMIFS(AM$5:AM50,$F$5:$F50,$F50,$D$5:$D50,$D50)</f>
        <v>30160973.555153925</v>
      </c>
      <c r="I50" s="20">
        <f>SUMIFS(AN$5:AN50,$F$5:$F50,$F50,$D$5:$D50,$D50)</f>
        <v>21763687.785502806</v>
      </c>
      <c r="J50" s="73">
        <f t="shared" si="0"/>
        <v>21763687.785502806</v>
      </c>
      <c r="K50" s="73">
        <f t="shared" si="1"/>
        <v>-3431769.0282786749</v>
      </c>
      <c r="L50" s="73">
        <f t="shared" si="2"/>
        <v>26729204.52687525</v>
      </c>
      <c r="M50" s="73">
        <f>-SUMIFS(FinParameters!$E$8:$E$39,FinParameters!$B$8:$B$39,Financials!$E50,FinParameters!$C$8:$C$39,Financials!$F50)</f>
        <v>-11037736.728515625</v>
      </c>
      <c r="N50" s="73">
        <f>-SUMIFS(FinParameters!$F$8:$F$39,FinParameters!$B$8:$B$39,Financials!$E50,FinParameters!$C$8:$C$39,Financials!$F50)</f>
        <v>-74000000</v>
      </c>
      <c r="O50" s="73">
        <f>SUMIFS(FinParameters!$G$8:$G$39,FinParameters!$B$8:$B$39,Financials!$E50,FinParameters!$C$8:$C$39,Financials!$F50)</f>
        <v>24967552.19845191</v>
      </c>
      <c r="P50" s="73">
        <f t="shared" si="3"/>
        <v>10725951.056987181</v>
      </c>
      <c r="Q50" s="73">
        <f>P50/SUMIFS(FinParameters!$H$8:$H$39,FinParameters!$B$8:$B$39,Financials!$E50,FinParameters!$C$8:$C$39,Financials!$F50)</f>
        <v>5504108.8606381984</v>
      </c>
      <c r="R50" s="73">
        <f t="shared" si="15"/>
        <v>-38306496.744560912</v>
      </c>
      <c r="S50" s="12">
        <f t="shared" si="4"/>
        <v>-0.78124789730264022</v>
      </c>
      <c r="T50" s="114">
        <f t="shared" si="5"/>
        <v>-25195456.813781481</v>
      </c>
      <c r="U50" s="73">
        <f>T50/SUMIFS(FinParameters!$L$8:$L$39,FinParameters!$B$8:$B$39,Financials!$E50,FinParameters!$C$8:$C$39,Financials!$F50)</f>
        <v>-21196061.899480015</v>
      </c>
      <c r="V50" s="73">
        <f t="shared" si="6"/>
        <v>-21196061.899480015</v>
      </c>
      <c r="W50" s="12"/>
      <c r="X50" s="73">
        <f t="shared" si="7"/>
        <v>-14469505.7567943</v>
      </c>
      <c r="Y50" s="73">
        <f t="shared" si="8"/>
        <v>-15691953.038841818</v>
      </c>
      <c r="Z50" s="73">
        <f t="shared" si="8"/>
        <v>-59502558.644040927</v>
      </c>
      <c r="AA50" s="12">
        <f t="shared" si="9"/>
        <v>-1.2135343290400089</v>
      </c>
      <c r="AB50" s="114">
        <f t="shared" si="10"/>
        <v>30160973.555153925</v>
      </c>
      <c r="AC50" s="73">
        <f>AB50/SUMIFS(FinParameters!$L$8:$L$39,FinParameters!$B$8:$B$39,Financials!$E50,FinParameters!$C$8:$C$39,Financials!$F50)</f>
        <v>25373378.508221358</v>
      </c>
      <c r="AD50" s="73">
        <f t="shared" si="11"/>
        <v>25373378.508221358</v>
      </c>
      <c r="AE50" s="12"/>
      <c r="AF50" s="73">
        <f t="shared" si="12"/>
        <v>15691467.798359625</v>
      </c>
      <c r="AG50" s="73">
        <f t="shared" si="13"/>
        <v>9681425.4693795405</v>
      </c>
      <c r="AH50" s="73">
        <f t="shared" si="13"/>
        <v>-34129180.135819569</v>
      </c>
      <c r="AI50" s="12">
        <f t="shared" si="14"/>
        <v>-0.69605295403469569</v>
      </c>
      <c r="AL50" s="73">
        <f>Summary!G50</f>
        <v>-5892643.4799591517</v>
      </c>
      <c r="AM50" s="73">
        <f>IF(D50&lt;&gt;"avg",SUMIFS(Summary!$H:$H,Summary!$C:$C,Financials!C50,Summary!$E:$E,Financials!E50,Summary!$D:$D,1-Financials!D50,Summary!$F:$F,Financials!F50),SUMIFS(Summary!$H:$H,Summary!$C:$C,Financials!C50,Summary!$E:$E,Financials!E50,Summary!$D:$D,"avg",Summary!$F:$F,Financials!F50))</f>
        <v>5823358.5533748129</v>
      </c>
      <c r="AN50" s="20">
        <f>Summary!I50</f>
        <v>4032593.48216801</v>
      </c>
      <c r="AP50" s="12">
        <v>1</v>
      </c>
    </row>
    <row r="51" spans="1:42" x14ac:dyDescent="0.3">
      <c r="A51">
        <v>47</v>
      </c>
      <c r="B51" t="str">
        <f>Summary!B51</f>
        <v>MarinusPortland</v>
      </c>
      <c r="C51" t="str">
        <f>Summary!C51</f>
        <v>Wind</v>
      </c>
      <c r="D51" s="104">
        <f>Summary!D51</f>
        <v>0</v>
      </c>
      <c r="E51" t="str">
        <f>Summary!E51</f>
        <v>Cal-27</v>
      </c>
      <c r="F51" t="str">
        <f>Summary!F51</f>
        <v>Wartsila dual fuel</v>
      </c>
      <c r="G51" s="73">
        <f>SUMIFS(AL$5:AL51,$F$5:$F51,$F51,$D$5:$D51,$D51)</f>
        <v>-57114519.073063619</v>
      </c>
      <c r="H51" s="73">
        <f>SUMIFS(AM$5:AM51,$F$5:$F51,$F51,$D$5:$D51,$D51)</f>
        <v>66836756.32578291</v>
      </c>
      <c r="I51" s="20">
        <f>SUMIFS(AN$5:AN51,$F$5:$F51,$F51,$D$5:$D51,$D51)</f>
        <v>11142088.034994464</v>
      </c>
      <c r="J51" s="73">
        <f t="shared" si="0"/>
        <v>11142088.034994464</v>
      </c>
      <c r="K51" s="73">
        <f t="shared" si="1"/>
        <v>-45972431.038069159</v>
      </c>
      <c r="L51" s="73">
        <f t="shared" si="2"/>
        <v>20864325.287713755</v>
      </c>
      <c r="M51" s="73">
        <f>-SUMIFS(FinParameters!$E$8:$E$39,FinParameters!$B$8:$B$39,Financials!$E51,FinParameters!$C$8:$C$39,Financials!$F51)</f>
        <v>-11037736.728515625</v>
      </c>
      <c r="N51" s="73">
        <f>-SUMIFS(FinParameters!$F$8:$F$39,FinParameters!$B$8:$B$39,Financials!$E51,FinParameters!$C$8:$C$39,Financials!$F51)</f>
        <v>-74000000</v>
      </c>
      <c r="O51" s="73">
        <f>SUMIFS(FinParameters!$G$8:$G$39,FinParameters!$B$8:$B$39,Financials!$E51,FinParameters!$C$8:$C$39,Financials!$F51)</f>
        <v>24967552.19845191</v>
      </c>
      <c r="P51" s="73">
        <f t="shared" si="3"/>
        <v>104351.30647883937</v>
      </c>
      <c r="Q51" s="73">
        <f>P51/SUMIFS(FinParameters!$H$8:$H$39,FinParameters!$B$8:$B$39,Financials!$E51,FinParameters!$C$8:$C$39,Financials!$F51)</f>
        <v>53548.720067596929</v>
      </c>
      <c r="R51" s="73">
        <f t="shared" si="15"/>
        <v>-48928096.49506925</v>
      </c>
      <c r="S51" s="12">
        <f t="shared" si="4"/>
        <v>-0.99787179080063082</v>
      </c>
      <c r="T51" s="114">
        <f t="shared" si="5"/>
        <v>-57114519.073063619</v>
      </c>
      <c r="U51" s="73">
        <f>T51/SUMIFS(FinParameters!$L$8:$L$39,FinParameters!$B$8:$B$39,Financials!$E51,FinParameters!$C$8:$C$39,Financials!$F51)</f>
        <v>-48048459.314677298</v>
      </c>
      <c r="V51" s="73">
        <f t="shared" si="6"/>
        <v>-48048459.314677298</v>
      </c>
      <c r="W51" s="12"/>
      <c r="X51" s="73">
        <f t="shared" si="7"/>
        <v>-57010167.766584784</v>
      </c>
      <c r="Y51" s="73">
        <f t="shared" si="8"/>
        <v>-47994910.5946097</v>
      </c>
      <c r="Z51" s="73">
        <f t="shared" si="8"/>
        <v>-96976555.809746549</v>
      </c>
      <c r="AA51" s="12">
        <f t="shared" si="9"/>
        <v>-1.9778036822115319</v>
      </c>
      <c r="AB51" s="114">
        <f t="shared" si="10"/>
        <v>66836756.32578291</v>
      </c>
      <c r="AC51" s="73">
        <f>AB51/SUMIFS(FinParameters!$L$8:$L$39,FinParameters!$B$8:$B$39,Financials!$E51,FinParameters!$C$8:$C$39,Financials!$F51)</f>
        <v>56227439.522622973</v>
      </c>
      <c r="AD51" s="73">
        <f t="shared" si="11"/>
        <v>56227439.522622973</v>
      </c>
      <c r="AE51" s="12"/>
      <c r="AF51" s="73">
        <f t="shared" si="12"/>
        <v>9826588.5591981262</v>
      </c>
      <c r="AG51" s="73">
        <f t="shared" si="13"/>
        <v>8232528.9280132726</v>
      </c>
      <c r="AH51" s="73">
        <f t="shared" si="13"/>
        <v>-40749116.287123576</v>
      </c>
      <c r="AI51" s="12">
        <f t="shared" si="14"/>
        <v>-0.83106428730725146</v>
      </c>
      <c r="AL51" s="73">
        <f>Summary!G51</f>
        <v>-10688050.332502784</v>
      </c>
      <c r="AM51" s="73">
        <f>IF(D51&lt;&gt;"avg",SUMIFS(Summary!$H:$H,Summary!$C:$C,Financials!C51,Summary!$E:$E,Financials!E51,Summary!$D:$D,1-Financials!D51,Summary!$F:$F,Financials!F51),SUMIFS(Summary!$H:$H,Summary!$C:$C,Financials!C51,Summary!$E:$E,Financials!E51,Summary!$D:$D,"avg",Summary!$F:$F,Financials!F51))</f>
        <v>14690052.361895915</v>
      </c>
      <c r="AN51" s="20">
        <f>Summary!I51</f>
        <v>2439049.8700572969</v>
      </c>
      <c r="AP51" s="12">
        <v>1</v>
      </c>
    </row>
    <row r="52" spans="1:42" x14ac:dyDescent="0.3">
      <c r="A52">
        <v>48</v>
      </c>
      <c r="B52" t="str">
        <f>Summary!B52</f>
        <v>MarinusPortland</v>
      </c>
      <c r="C52" t="str">
        <f>Summary!C52</f>
        <v>Wind</v>
      </c>
      <c r="D52" s="104" t="str">
        <f>Summary!D52</f>
        <v>avg</v>
      </c>
      <c r="E52" t="str">
        <f>Summary!E52</f>
        <v>Cal-27</v>
      </c>
      <c r="F52" t="str">
        <f>Summary!F52</f>
        <v>Wartsila dual fuel</v>
      </c>
      <c r="G52" s="73">
        <f>SUMIFS(AL$5:AL52,$F$5:$F52,$F52,$D$5:$D52,$D52)</f>
        <v>15965408.350836305</v>
      </c>
      <c r="H52" s="73">
        <f>SUMIFS(AM$5:AM52,$F$5:$F52,$F52,$D$5:$D52,$D52)</f>
        <v>-682964.03967792587</v>
      </c>
      <c r="I52" s="20">
        <f>SUMIFS(AN$5:AN52,$F$5:$F52,$F52,$D$5:$D52,$D52)</f>
        <v>34241522.670034468</v>
      </c>
      <c r="J52" s="73">
        <f t="shared" si="0"/>
        <v>34241522.670034468</v>
      </c>
      <c r="K52" s="73">
        <f t="shared" si="1"/>
        <v>50206931.020870775</v>
      </c>
      <c r="L52" s="73">
        <f t="shared" si="2"/>
        <v>49523966.98119285</v>
      </c>
      <c r="M52" s="73">
        <f>-SUMIFS(FinParameters!$E$8:$E$39,FinParameters!$B$8:$B$39,Financials!$E52,FinParameters!$C$8:$C$39,Financials!$F52)</f>
        <v>-11037736.728515625</v>
      </c>
      <c r="N52" s="73">
        <f>-SUMIFS(FinParameters!$F$8:$F$39,FinParameters!$B$8:$B$39,Financials!$E52,FinParameters!$C$8:$C$39,Financials!$F52)</f>
        <v>-74000000</v>
      </c>
      <c r="O52" s="73">
        <f>SUMIFS(FinParameters!$G$8:$G$39,FinParameters!$B$8:$B$39,Financials!$E52,FinParameters!$C$8:$C$39,Financials!$F52)</f>
        <v>24967552.19845191</v>
      </c>
      <c r="P52" s="73">
        <f t="shared" si="3"/>
        <v>23203785.941518843</v>
      </c>
      <c r="Q52" s="73">
        <f>P52/SUMIFS(FinParameters!$H$8:$H$39,FinParameters!$B$8:$B$39,Financials!$E52,FinParameters!$C$8:$C$39,Financials!$F52)</f>
        <v>11907211.129577929</v>
      </c>
      <c r="R52" s="73">
        <f t="shared" si="15"/>
        <v>-25828661.860029247</v>
      </c>
      <c r="S52" s="12">
        <f t="shared" si="4"/>
        <v>-0.52676672322310125</v>
      </c>
      <c r="T52" s="114">
        <f t="shared" si="5"/>
        <v>15965408.350836305</v>
      </c>
      <c r="U52" s="73">
        <f>T52/SUMIFS(FinParameters!$L$8:$L$39,FinParameters!$B$8:$B$39,Financials!$E52,FinParameters!$C$8:$C$39,Financials!$F52)</f>
        <v>13431143.00946909</v>
      </c>
      <c r="V52" s="73">
        <f t="shared" si="6"/>
        <v>13431143.00946909</v>
      </c>
      <c r="W52" s="12"/>
      <c r="X52" s="73">
        <f t="shared" si="7"/>
        <v>39169194.29235515</v>
      </c>
      <c r="Y52" s="73">
        <f t="shared" si="8"/>
        <v>25338354.139047019</v>
      </c>
      <c r="Z52" s="73">
        <f t="shared" si="8"/>
        <v>-12397518.850560157</v>
      </c>
      <c r="AA52" s="12">
        <f t="shared" si="9"/>
        <v>-0.25284315604102336</v>
      </c>
      <c r="AB52" s="114">
        <f t="shared" si="10"/>
        <v>-682964.03967792587</v>
      </c>
      <c r="AC52" s="73">
        <f>AB52/SUMIFS(FinParameters!$L$8:$L$39,FinParameters!$B$8:$B$39,Financials!$E52,FinParameters!$C$8:$C$39,Financials!$F52)</f>
        <v>-574553.90339317196</v>
      </c>
      <c r="AD52" s="73">
        <f t="shared" si="11"/>
        <v>-574553.90339317196</v>
      </c>
      <c r="AE52" s="12"/>
      <c r="AF52" s="73">
        <f t="shared" si="12"/>
        <v>38486230.252677225</v>
      </c>
      <c r="AG52" s="73">
        <f t="shared" si="13"/>
        <v>24763800.235653847</v>
      </c>
      <c r="AH52" s="73">
        <f t="shared" si="13"/>
        <v>-12972072.753953328</v>
      </c>
      <c r="AI52" s="12">
        <f t="shared" si="14"/>
        <v>-0.26456098635858361</v>
      </c>
      <c r="AL52" s="73">
        <f>Summary!G52</f>
        <v>52237.14087490258</v>
      </c>
      <c r="AM52" s="73">
        <f>IF(D52&lt;&gt;"avg",SUMIFS(Summary!$H:$H,Summary!$C:$C,Financials!C52,Summary!$E:$E,Financials!E52,Summary!$D:$D,1-Financials!D52,Summary!$F:$F,Financials!F52),SUMIFS(Summary!$H:$H,Summary!$C:$C,Financials!C52,Summary!$E:$E,Financials!E52,Summary!$D:$D,"avg",Summary!$F:$F,Financials!F52))</f>
        <v>-136408.22380056352</v>
      </c>
      <c r="AN52" s="20">
        <f>Summary!I52</f>
        <v>6185968.6090535782</v>
      </c>
      <c r="AP52" s="12">
        <v>1</v>
      </c>
    </row>
    <row r="53" spans="1:42" x14ac:dyDescent="0.3">
      <c r="A53">
        <v>49</v>
      </c>
      <c r="B53" t="str">
        <f>Summary!B53</f>
        <v>MarinusPortland</v>
      </c>
      <c r="C53" t="str">
        <f>Summary!C53</f>
        <v>Wind</v>
      </c>
      <c r="D53" s="104">
        <f>Summary!D53</f>
        <v>1</v>
      </c>
      <c r="E53" t="str">
        <f>Summary!E53</f>
        <v>Cal-28</v>
      </c>
      <c r="F53" t="str">
        <f>Summary!F53</f>
        <v>Wartsila dual fuel</v>
      </c>
      <c r="G53" s="73">
        <f>SUMIFS(AL$5:AL53,$F$5:$F53,$F53,$D$5:$D53,$D53)</f>
        <v>149661535.30455753</v>
      </c>
      <c r="H53" s="73">
        <f>SUMIFS(AM$5:AM53,$F$5:$F53,$F53,$D$5:$D53,$D53)</f>
        <v>-97521816.742918625</v>
      </c>
      <c r="I53" s="20">
        <f>SUMIFS(AN$5:AN53,$F$5:$F53,$F53,$D$5:$D53,$D53)</f>
        <v>84624424.239935651</v>
      </c>
      <c r="J53" s="73">
        <f t="shared" si="0"/>
        <v>84624424.239935651</v>
      </c>
      <c r="K53" s="73">
        <f t="shared" si="1"/>
        <v>234285959.5444932</v>
      </c>
      <c r="L53" s="73">
        <f t="shared" si="2"/>
        <v>136764142.80157456</v>
      </c>
      <c r="M53" s="73">
        <f>-SUMIFS(FinParameters!$E$8:$E$39,FinParameters!$B$8:$B$39,Financials!$E53,FinParameters!$C$8:$C$39,Financials!$F53)</f>
        <v>-12797430.146728516</v>
      </c>
      <c r="N53" s="73">
        <f>-SUMIFS(FinParameters!$F$8:$F$39,FinParameters!$B$8:$B$39,Financials!$E53,FinParameters!$C$8:$C$39,Financials!$F53)</f>
        <v>-74000000</v>
      </c>
      <c r="O53" s="73">
        <f>SUMIFS(FinParameters!$G$8:$G$39,FinParameters!$B$8:$B$39,Financials!$E53,FinParameters!$C$8:$C$39,Financials!$F53)</f>
        <v>21165674.931869458</v>
      </c>
      <c r="P53" s="73">
        <f t="shared" si="3"/>
        <v>71826994.093207136</v>
      </c>
      <c r="Q53" s="73">
        <f>P53/SUMIFS(FinParameters!$H$8:$H$39,FinParameters!$B$8:$B$39,Financials!$E53,FinParameters!$C$8:$C$39,Financials!$F53)</f>
        <v>33507822.842762034</v>
      </c>
      <c r="R53" s="73">
        <f t="shared" si="15"/>
        <v>18992669.025076594</v>
      </c>
      <c r="S53" s="12">
        <f t="shared" si="4"/>
        <v>0.35947594675592626</v>
      </c>
      <c r="T53" s="114">
        <f t="shared" si="5"/>
        <v>149661535.30455753</v>
      </c>
      <c r="U53" s="73">
        <f>T53/SUMIFS(FinParameters!$L$8:$L$39,FinParameters!$B$8:$B$39,Financials!$E53,FinParameters!$C$8:$C$39,Financials!$F53)</f>
        <v>122834191.8838381</v>
      </c>
      <c r="V53" s="73">
        <f t="shared" si="6"/>
        <v>122834191.8838381</v>
      </c>
      <c r="W53" s="12"/>
      <c r="X53" s="73">
        <f t="shared" si="7"/>
        <v>221488529.39776468</v>
      </c>
      <c r="Y53" s="73">
        <f t="shared" si="8"/>
        <v>156342014.72660014</v>
      </c>
      <c r="Z53" s="73">
        <f t="shared" si="8"/>
        <v>141826860.90891469</v>
      </c>
      <c r="AA53" s="12">
        <f t="shared" si="9"/>
        <v>2.6843696919763267</v>
      </c>
      <c r="AB53" s="114">
        <f t="shared" si="10"/>
        <v>-97521816.742918625</v>
      </c>
      <c r="AC53" s="73">
        <f>AB53/SUMIFS(FinParameters!$L$8:$L$39,FinParameters!$B$8:$B$39,Financials!$E53,FinParameters!$C$8:$C$39,Financials!$F53)</f>
        <v>-80040696.671213239</v>
      </c>
      <c r="AD53" s="73">
        <f t="shared" si="11"/>
        <v>-80040696.671213239</v>
      </c>
      <c r="AE53" s="12"/>
      <c r="AF53" s="73">
        <f t="shared" si="12"/>
        <v>123966712.65484606</v>
      </c>
      <c r="AG53" s="73">
        <f t="shared" si="13"/>
        <v>76301318.055386901</v>
      </c>
      <c r="AH53" s="73">
        <f t="shared" si="13"/>
        <v>61786164.237701446</v>
      </c>
      <c r="AI53" s="12">
        <f t="shared" si="14"/>
        <v>1.1694322612814188</v>
      </c>
      <c r="AL53" s="73">
        <f>Summary!G53</f>
        <v>13012473.700651761</v>
      </c>
      <c r="AM53" s="73">
        <f>IF(D53&lt;&gt;"avg",SUMIFS(Summary!$H:$H,Summary!$C:$C,Financials!C53,Summary!$E:$E,Financials!E53,Summary!$D:$D,1-Financials!D53,Summary!$F:$F,Financials!F53),SUMIFS(Summary!$H:$H,Summary!$C:$C,Financials!C53,Summary!$E:$E,Financials!E53,Summary!$D:$D,"avg",Summary!$F:$F,Financials!F53))</f>
        <v>-13295062.304821184</v>
      </c>
      <c r="AN53" s="20">
        <f>Summary!I53</f>
        <v>11225472.939637797</v>
      </c>
      <c r="AP53" s="12">
        <v>1</v>
      </c>
    </row>
    <row r="54" spans="1:42" x14ac:dyDescent="0.3">
      <c r="A54">
        <v>50</v>
      </c>
      <c r="B54" t="str">
        <f>Summary!B54</f>
        <v>MarinusPortland</v>
      </c>
      <c r="C54" t="str">
        <f>Summary!C54</f>
        <v>Wind</v>
      </c>
      <c r="D54" s="104">
        <f>Summary!D54</f>
        <v>0.95</v>
      </c>
      <c r="E54" t="str">
        <f>Summary!E54</f>
        <v>Cal-28</v>
      </c>
      <c r="F54" t="str">
        <f>Summary!F54</f>
        <v>Wartsila dual fuel</v>
      </c>
      <c r="G54" s="73">
        <f>SUMIFS(AL$5:AL54,$F$5:$F54,$F54,$D$5:$D54,$D54)</f>
        <v>76995584.086068347</v>
      </c>
      <c r="H54" s="73">
        <f>SUMIFS(AM$5:AM54,$F$5:$F54,$F54,$D$5:$D54,$D54)</f>
        <v>-40289866.55370415</v>
      </c>
      <c r="I54" s="20">
        <f>SUMIFS(AN$5:AN54,$F$5:$F54,$F54,$D$5:$D54,$D54)</f>
        <v>57953012.178794399</v>
      </c>
      <c r="J54" s="73">
        <f t="shared" si="0"/>
        <v>57953012.178794399</v>
      </c>
      <c r="K54" s="73">
        <f t="shared" si="1"/>
        <v>134948596.26486275</v>
      </c>
      <c r="L54" s="73">
        <f t="shared" si="2"/>
        <v>94658729.711158603</v>
      </c>
      <c r="M54" s="73">
        <f>-SUMIFS(FinParameters!$E$8:$E$39,FinParameters!$B$8:$B$39,Financials!$E54,FinParameters!$C$8:$C$39,Financials!$F54)</f>
        <v>-12797430.146728516</v>
      </c>
      <c r="N54" s="73">
        <f>-SUMIFS(FinParameters!$F$8:$F$39,FinParameters!$B$8:$B$39,Financials!$E54,FinParameters!$C$8:$C$39,Financials!$F54)</f>
        <v>-74000000</v>
      </c>
      <c r="O54" s="73">
        <f>SUMIFS(FinParameters!$G$8:$G$39,FinParameters!$B$8:$B$39,Financials!$E54,FinParameters!$C$8:$C$39,Financials!$F54)</f>
        <v>21165674.931869458</v>
      </c>
      <c r="P54" s="73">
        <f t="shared" si="3"/>
        <v>45155582.032065883</v>
      </c>
      <c r="Q54" s="73">
        <f>P54/SUMIFS(FinParameters!$H$8:$H$39,FinParameters!$B$8:$B$39,Financials!$E54,FinParameters!$C$8:$C$39,Financials!$F54)</f>
        <v>21065412.275624752</v>
      </c>
      <c r="R54" s="73">
        <f t="shared" si="15"/>
        <v>-7678743.0360646583</v>
      </c>
      <c r="S54" s="12">
        <f t="shared" si="4"/>
        <v>-0.14533625680204718</v>
      </c>
      <c r="T54" s="114">
        <f t="shared" si="5"/>
        <v>76995584.086068347</v>
      </c>
      <c r="U54" s="73">
        <f>T54/SUMIFS(FinParameters!$L$8:$L$39,FinParameters!$B$8:$B$39,Financials!$E54,FinParameters!$C$8:$C$39,Financials!$F54)</f>
        <v>63193861.606391676</v>
      </c>
      <c r="V54" s="73">
        <f t="shared" si="6"/>
        <v>63193861.606391676</v>
      </c>
      <c r="W54" s="12"/>
      <c r="X54" s="73">
        <f t="shared" si="7"/>
        <v>122151166.11813423</v>
      </c>
      <c r="Y54" s="73">
        <f t="shared" si="8"/>
        <v>84259273.88201642</v>
      </c>
      <c r="Z54" s="73">
        <f t="shared" si="8"/>
        <v>55515118.570327014</v>
      </c>
      <c r="AA54" s="12">
        <f t="shared" si="9"/>
        <v>1.0507396185858258</v>
      </c>
      <c r="AB54" s="114">
        <f t="shared" si="10"/>
        <v>-40289866.55370415</v>
      </c>
      <c r="AC54" s="73">
        <f>AB54/SUMIFS(FinParameters!$L$8:$L$39,FinParameters!$B$8:$B$39,Financials!$E54,FinParameters!$C$8:$C$39,Financials!$F54)</f>
        <v>-33067769.812469773</v>
      </c>
      <c r="AD54" s="73">
        <f t="shared" si="11"/>
        <v>-33067769.812469773</v>
      </c>
      <c r="AE54" s="12"/>
      <c r="AF54" s="73">
        <f t="shared" si="12"/>
        <v>81861299.564430088</v>
      </c>
      <c r="AG54" s="73">
        <f t="shared" si="13"/>
        <v>51191504.069546647</v>
      </c>
      <c r="AH54" s="73">
        <f t="shared" si="13"/>
        <v>22447348.757857241</v>
      </c>
      <c r="AI54" s="12">
        <f t="shared" si="14"/>
        <v>0.42486297930201811</v>
      </c>
      <c r="AL54" s="73">
        <f>Summary!G54</f>
        <v>5342757.7298130281</v>
      </c>
      <c r="AM54" s="73">
        <f>IF(D54&lt;&gt;"avg",SUMIFS(Summary!$H:$H,Summary!$C:$C,Financials!C54,Summary!$E:$E,Financials!E54,Summary!$D:$D,1-Financials!D54,Summary!$F:$F,Financials!F54),SUMIFS(Summary!$H:$H,Summary!$C:$C,Financials!C54,Summary!$E:$E,Financials!E54,Summary!$D:$D,"avg",Summary!$F:$F,Financials!F54))</f>
        <v>-5838592.6623999272</v>
      </c>
      <c r="AN54" s="20">
        <f>Summary!I54</f>
        <v>7956647.7255809875</v>
      </c>
      <c r="AP54" s="12">
        <v>1</v>
      </c>
    </row>
    <row r="55" spans="1:42" x14ac:dyDescent="0.3">
      <c r="A55">
        <v>51</v>
      </c>
      <c r="B55" t="str">
        <f>Summary!B55</f>
        <v>MarinusPortland</v>
      </c>
      <c r="C55" t="str">
        <f>Summary!C55</f>
        <v>Wind</v>
      </c>
      <c r="D55" s="104">
        <f>Summary!D55</f>
        <v>0.75</v>
      </c>
      <c r="E55" t="str">
        <f>Summary!E55</f>
        <v>Cal-28</v>
      </c>
      <c r="F55" t="str">
        <f>Summary!F55</f>
        <v>Wartsila dual fuel</v>
      </c>
      <c r="G55" s="73">
        <f>SUMIFS(AL$5:AL55,$F$5:$F55,$F55,$D$5:$D55,$D55)</f>
        <v>35973544.23590374</v>
      </c>
      <c r="H55" s="73">
        <f>SUMIFS(AM$5:AM55,$F$5:$F55,$F55,$D$5:$D55,$D55)</f>
        <v>-15693208.940388134</v>
      </c>
      <c r="I55" s="20">
        <f>SUMIFS(AN$5:AN55,$F$5:$F55,$F55,$D$5:$D55,$D55)</f>
        <v>46023663.592494197</v>
      </c>
      <c r="J55" s="73">
        <f t="shared" si="0"/>
        <v>46023663.592494197</v>
      </c>
      <c r="K55" s="73">
        <f t="shared" si="1"/>
        <v>81997207.82839793</v>
      </c>
      <c r="L55" s="73">
        <f t="shared" si="2"/>
        <v>66303998.888009802</v>
      </c>
      <c r="M55" s="73">
        <f>-SUMIFS(FinParameters!$E$8:$E$39,FinParameters!$B$8:$B$39,Financials!$E55,FinParameters!$C$8:$C$39,Financials!$F55)</f>
        <v>-12797430.146728516</v>
      </c>
      <c r="N55" s="73">
        <f>-SUMIFS(FinParameters!$F$8:$F$39,FinParameters!$B$8:$B$39,Financials!$E55,FinParameters!$C$8:$C$39,Financials!$F55)</f>
        <v>-74000000</v>
      </c>
      <c r="O55" s="73">
        <f>SUMIFS(FinParameters!$G$8:$G$39,FinParameters!$B$8:$B$39,Financials!$E55,FinParameters!$C$8:$C$39,Financials!$F55)</f>
        <v>21165674.931869458</v>
      </c>
      <c r="P55" s="73">
        <f t="shared" si="3"/>
        <v>33226233.445765682</v>
      </c>
      <c r="Q55" s="73">
        <f>P55/SUMIFS(FinParameters!$H$8:$H$39,FinParameters!$B$8:$B$39,Financials!$E55,FinParameters!$C$8:$C$39,Financials!$F55)</f>
        <v>15500283.119021161</v>
      </c>
      <c r="R55" s="73">
        <f t="shared" si="15"/>
        <v>-19608091.62236486</v>
      </c>
      <c r="S55" s="12">
        <f t="shared" si="4"/>
        <v>-0.37112410534401596</v>
      </c>
      <c r="T55" s="114">
        <f t="shared" si="5"/>
        <v>35973544.23590374</v>
      </c>
      <c r="U55" s="73">
        <f>T55/SUMIFS(FinParameters!$L$8:$L$39,FinParameters!$B$8:$B$39,Financials!$E55,FinParameters!$C$8:$C$39,Financials!$F55)</f>
        <v>29525163.071611069</v>
      </c>
      <c r="V55" s="73">
        <f t="shared" si="6"/>
        <v>29525163.071611069</v>
      </c>
      <c r="W55" s="12"/>
      <c r="X55" s="73">
        <f t="shared" si="7"/>
        <v>69199777.681669414</v>
      </c>
      <c r="Y55" s="73">
        <f t="shared" si="8"/>
        <v>45025446.190632232</v>
      </c>
      <c r="Z55" s="73">
        <f t="shared" si="8"/>
        <v>9917071.4492462091</v>
      </c>
      <c r="AA55" s="12">
        <f t="shared" si="9"/>
        <v>0.18770129904106883</v>
      </c>
      <c r="AB55" s="114">
        <f t="shared" si="10"/>
        <v>-15693208.940388134</v>
      </c>
      <c r="AC55" s="73">
        <f>AB55/SUMIFS(FinParameters!$L$8:$L$39,FinParameters!$B$8:$B$39,Financials!$E55,FinParameters!$C$8:$C$39,Financials!$F55)</f>
        <v>-12880147.422876919</v>
      </c>
      <c r="AD55" s="73">
        <f t="shared" si="11"/>
        <v>-12880147.422876919</v>
      </c>
      <c r="AE55" s="12"/>
      <c r="AF55" s="73">
        <f t="shared" si="12"/>
        <v>53506568.741281278</v>
      </c>
      <c r="AG55" s="73">
        <f t="shared" si="13"/>
        <v>32145298.767755315</v>
      </c>
      <c r="AH55" s="73">
        <f t="shared" si="13"/>
        <v>-2963075.9736307096</v>
      </c>
      <c r="AI55" s="12">
        <f t="shared" si="14"/>
        <v>-5.6082404191021375E-2</v>
      </c>
      <c r="AL55" s="73">
        <f>Summary!G55</f>
        <v>668469.38931148627</v>
      </c>
      <c r="AM55" s="73">
        <f>IF(D55&lt;&gt;"avg",SUMIFS(Summary!$H:$H,Summary!$C:$C,Financials!C55,Summary!$E:$E,Financials!E55,Summary!$D:$D,1-Financials!D55,Summary!$F:$F,Financials!F55),SUMIFS(Summary!$H:$H,Summary!$C:$C,Financials!C55,Summary!$E:$E,Financials!E55,Summary!$D:$D,"avg",Summary!$F:$F,Financials!F55))</f>
        <v>-2288720.8947115894</v>
      </c>
      <c r="AN55" s="20">
        <f>Summary!I55</f>
        <v>6504167.822013611</v>
      </c>
      <c r="AP55" s="12">
        <v>1</v>
      </c>
    </row>
    <row r="56" spans="1:42" x14ac:dyDescent="0.3">
      <c r="A56">
        <v>52</v>
      </c>
      <c r="B56" t="str">
        <f>Summary!B56</f>
        <v>MarinusPortland</v>
      </c>
      <c r="C56" t="str">
        <f>Summary!C56</f>
        <v>Wind</v>
      </c>
      <c r="D56" s="104">
        <f>Summary!D56</f>
        <v>0.5</v>
      </c>
      <c r="E56" t="str">
        <f>Summary!E56</f>
        <v>Cal-28</v>
      </c>
      <c r="F56" t="str">
        <f>Summary!F56</f>
        <v>Wartsila dual fuel</v>
      </c>
      <c r="G56" s="73">
        <f>SUMIFS(AL$5:AL56,$F$5:$F56,$F56,$D$5:$D56,$D56)</f>
        <v>8128294.2715979312</v>
      </c>
      <c r="H56" s="73">
        <f>SUMIFS(AM$5:AM56,$F$5:$F56,$F56,$D$5:$D56,$D56)</f>
        <v>278925.57084181439</v>
      </c>
      <c r="I56" s="20">
        <f>SUMIFS(AN$5:AN56,$F$5:$F56,$F56,$D$5:$D56,$D56)</f>
        <v>39156328.007001176</v>
      </c>
      <c r="J56" s="73">
        <f t="shared" si="0"/>
        <v>39156328.007001176</v>
      </c>
      <c r="K56" s="73">
        <f t="shared" si="1"/>
        <v>47284622.278599106</v>
      </c>
      <c r="L56" s="73">
        <f t="shared" si="2"/>
        <v>47563547.849440917</v>
      </c>
      <c r="M56" s="73">
        <f>-SUMIFS(FinParameters!$E$8:$E$39,FinParameters!$B$8:$B$39,Financials!$E56,FinParameters!$C$8:$C$39,Financials!$F56)</f>
        <v>-12797430.146728516</v>
      </c>
      <c r="N56" s="73">
        <f>-SUMIFS(FinParameters!$F$8:$F$39,FinParameters!$B$8:$B$39,Financials!$E56,FinParameters!$C$8:$C$39,Financials!$F56)</f>
        <v>-74000000</v>
      </c>
      <c r="O56" s="73">
        <f>SUMIFS(FinParameters!$G$8:$G$39,FinParameters!$B$8:$B$39,Financials!$E56,FinParameters!$C$8:$C$39,Financials!$F56)</f>
        <v>21165674.931869458</v>
      </c>
      <c r="P56" s="73">
        <f t="shared" si="3"/>
        <v>26358897.860272661</v>
      </c>
      <c r="Q56" s="73">
        <f>P56/SUMIFS(FinParameters!$H$8:$H$39,FinParameters!$B$8:$B$39,Financials!$E56,FinParameters!$C$8:$C$39,Financials!$F56)</f>
        <v>12296620.386011738</v>
      </c>
      <c r="R56" s="73">
        <f t="shared" si="15"/>
        <v>-26475427.207857881</v>
      </c>
      <c r="S56" s="12">
        <f t="shared" si="4"/>
        <v>-0.50110278069640291</v>
      </c>
      <c r="T56" s="114">
        <f t="shared" si="5"/>
        <v>8128294.2715979312</v>
      </c>
      <c r="U56" s="73">
        <f>T56/SUMIFS(FinParameters!$L$8:$L$39,FinParameters!$B$8:$B$39,Financials!$E56,FinParameters!$C$8:$C$39,Financials!$F56)</f>
        <v>6671269.6499737017</v>
      </c>
      <c r="V56" s="73">
        <f t="shared" si="6"/>
        <v>6671269.6499737017</v>
      </c>
      <c r="W56" s="12"/>
      <c r="X56" s="73">
        <f t="shared" si="7"/>
        <v>34487192.13187059</v>
      </c>
      <c r="Y56" s="73">
        <f t="shared" si="8"/>
        <v>18967890.03598544</v>
      </c>
      <c r="Z56" s="73">
        <f t="shared" si="8"/>
        <v>-19804157.557884179</v>
      </c>
      <c r="AA56" s="12">
        <f t="shared" si="9"/>
        <v>-0.37483506285632429</v>
      </c>
      <c r="AB56" s="114">
        <f t="shared" si="10"/>
        <v>278925.57084181439</v>
      </c>
      <c r="AC56" s="73">
        <f>AB56/SUMIFS(FinParameters!$L$8:$L$39,FinParameters!$B$8:$B$39,Financials!$E56,FinParameters!$C$8:$C$39,Financials!$F56)</f>
        <v>228927.20578050334</v>
      </c>
      <c r="AD56" s="73">
        <f t="shared" si="11"/>
        <v>228927.20578050334</v>
      </c>
      <c r="AE56" s="12"/>
      <c r="AF56" s="73">
        <f t="shared" si="12"/>
        <v>34766117.702712402</v>
      </c>
      <c r="AG56" s="73">
        <f t="shared" si="13"/>
        <v>19196817.241765942</v>
      </c>
      <c r="AH56" s="73">
        <f t="shared" si="13"/>
        <v>-19575230.352103677</v>
      </c>
      <c r="AI56" s="12">
        <f t="shared" si="14"/>
        <v>-0.37050213714022401</v>
      </c>
      <c r="AL56" s="73">
        <f>Summary!G56</f>
        <v>-2225864.3436882682</v>
      </c>
      <c r="AM56" s="73">
        <f>IF(D56&lt;&gt;"avg",SUMIFS(Summary!$H:$H,Summary!$C:$C,Financials!C56,Summary!$E:$E,Financials!E56,Summary!$D:$D,1-Financials!D56,Summary!$F:$F,Financials!F56),SUMIFS(Summary!$H:$H,Summary!$C:$C,Financials!C56,Summary!$E:$E,Financials!E56,Summary!$D:$D,"avg",Summary!$F:$F,Financials!F56))</f>
        <v>53144.852677830706</v>
      </c>
      <c r="AN56" s="20">
        <f>Summary!I56</f>
        <v>5704064.4696414182</v>
      </c>
      <c r="AP56" s="12">
        <v>1</v>
      </c>
    </row>
    <row r="57" spans="1:42" x14ac:dyDescent="0.3">
      <c r="A57">
        <v>53</v>
      </c>
      <c r="B57" t="str">
        <f>Summary!B57</f>
        <v>MarinusPortland</v>
      </c>
      <c r="C57" t="str">
        <f>Summary!C57</f>
        <v>Wind</v>
      </c>
      <c r="D57" s="104">
        <f>Summary!D57</f>
        <v>0.25</v>
      </c>
      <c r="E57" t="str">
        <f>Summary!E57</f>
        <v>Cal-28</v>
      </c>
      <c r="F57" t="str">
        <f>Summary!F57</f>
        <v>Wartsila dual fuel</v>
      </c>
      <c r="G57" s="73">
        <f>SUMIFS(AL$5:AL57,$F$5:$F57,$F57,$D$5:$D57,$D57)</f>
        <v>-10673220.617961247</v>
      </c>
      <c r="H57" s="73">
        <f>SUMIFS(AM$5:AM57,$F$5:$F57,$F57,$D$5:$D57,$D57)</f>
        <v>15164378.082121525</v>
      </c>
      <c r="I57" s="20">
        <f>SUMIFS(AN$5:AN57,$F$5:$F57,$F57,$D$5:$D57,$D57)</f>
        <v>33283615.836780734</v>
      </c>
      <c r="J57" s="73">
        <f t="shared" si="0"/>
        <v>33283615.836780734</v>
      </c>
      <c r="K57" s="73">
        <f t="shared" si="1"/>
        <v>22610395.218819488</v>
      </c>
      <c r="L57" s="73">
        <f t="shared" si="2"/>
        <v>37774773.300941013</v>
      </c>
      <c r="M57" s="73">
        <f>-SUMIFS(FinParameters!$E$8:$E$39,FinParameters!$B$8:$B$39,Financials!$E57,FinParameters!$C$8:$C$39,Financials!$F57)</f>
        <v>-12797430.146728516</v>
      </c>
      <c r="N57" s="73">
        <f>-SUMIFS(FinParameters!$F$8:$F$39,FinParameters!$B$8:$B$39,Financials!$E57,FinParameters!$C$8:$C$39,Financials!$F57)</f>
        <v>-74000000</v>
      </c>
      <c r="O57" s="73">
        <f>SUMIFS(FinParameters!$G$8:$G$39,FinParameters!$B$8:$B$39,Financials!$E57,FinParameters!$C$8:$C$39,Financials!$F57)</f>
        <v>21165674.931869458</v>
      </c>
      <c r="P57" s="73">
        <f t="shared" si="3"/>
        <v>20486185.690052219</v>
      </c>
      <c r="Q57" s="73">
        <f>P57/SUMIFS(FinParameters!$H$8:$H$39,FinParameters!$B$8:$B$39,Financials!$E57,FinParameters!$C$8:$C$39,Financials!$F57)</f>
        <v>9556956.8167563826</v>
      </c>
      <c r="R57" s="73">
        <f t="shared" si="15"/>
        <v>-32348139.378078323</v>
      </c>
      <c r="S57" s="12">
        <f t="shared" si="4"/>
        <v>-0.61225612963475895</v>
      </c>
      <c r="T57" s="114">
        <f t="shared" si="5"/>
        <v>-10673220.617961247</v>
      </c>
      <c r="U57" s="73">
        <f>T57/SUMIFS(FinParameters!$L$8:$L$39,FinParameters!$B$8:$B$39,Financials!$E57,FinParameters!$C$8:$C$39,Financials!$F57)</f>
        <v>-8760009.2217232846</v>
      </c>
      <c r="V57" s="73">
        <f t="shared" si="6"/>
        <v>-8760009.2217232846</v>
      </c>
      <c r="W57" s="12"/>
      <c r="X57" s="73">
        <f t="shared" si="7"/>
        <v>9812965.0720909722</v>
      </c>
      <c r="Y57" s="73">
        <f t="shared" si="8"/>
        <v>796947.59503309801</v>
      </c>
      <c r="Z57" s="73">
        <f t="shared" si="8"/>
        <v>-41108148.599801607</v>
      </c>
      <c r="AA57" s="12">
        <f t="shared" si="9"/>
        <v>-0.77805760832171367</v>
      </c>
      <c r="AB57" s="114">
        <f t="shared" si="10"/>
        <v>15164378.082121525</v>
      </c>
      <c r="AC57" s="73">
        <f>AB57/SUMIFS(FinParameters!$L$8:$L$39,FinParameters!$B$8:$B$39,Financials!$E57,FinParameters!$C$8:$C$39,Financials!$F57)</f>
        <v>12446111.309414456</v>
      </c>
      <c r="AD57" s="73">
        <f t="shared" si="11"/>
        <v>12446111.309414456</v>
      </c>
      <c r="AE57" s="12"/>
      <c r="AF57" s="73">
        <f t="shared" si="12"/>
        <v>24977343.154212497</v>
      </c>
      <c r="AG57" s="73">
        <f t="shared" si="13"/>
        <v>13243058.904447554</v>
      </c>
      <c r="AH57" s="73">
        <f t="shared" si="13"/>
        <v>-28662037.290387154</v>
      </c>
      <c r="AI57" s="12">
        <f t="shared" si="14"/>
        <v>-0.54248894546163107</v>
      </c>
      <c r="AL57" s="73">
        <f>Summary!G57</f>
        <v>-4635717.6325035151</v>
      </c>
      <c r="AM57" s="73">
        <f>IF(D57&lt;&gt;"avg",SUMIFS(Summary!$H:$H,Summary!$C:$C,Financials!C57,Summary!$E:$E,Financials!E57,Summary!$D:$D,1-Financials!D57,Summary!$F:$F,Financials!F57),SUMIFS(Summary!$H:$H,Summary!$C:$C,Financials!C57,Summary!$E:$E,Financials!E57,Summary!$D:$D,"avg",Summary!$F:$F,Financials!F57))</f>
        <v>2219901.9240953242</v>
      </c>
      <c r="AN57" s="20">
        <f>Summary!I57</f>
        <v>4943205.2386132311</v>
      </c>
      <c r="AP57" s="12">
        <v>1</v>
      </c>
    </row>
    <row r="58" spans="1:42" x14ac:dyDescent="0.3">
      <c r="A58">
        <v>54</v>
      </c>
      <c r="B58" t="str">
        <f>Summary!B58</f>
        <v>MarinusPortland</v>
      </c>
      <c r="C58" t="str">
        <f>Summary!C58</f>
        <v>Wind</v>
      </c>
      <c r="D58" s="104">
        <f>Summary!D58</f>
        <v>0.05</v>
      </c>
      <c r="E58" t="str">
        <f>Summary!E58</f>
        <v>Cal-28</v>
      </c>
      <c r="F58" t="str">
        <f>Summary!F58</f>
        <v>Wartsila dual fuel</v>
      </c>
      <c r="G58" s="73">
        <f>SUMIFS(AL$5:AL58,$F$5:$F58,$F58,$D$5:$D58,$D58)</f>
        <v>-32639148.94546371</v>
      </c>
      <c r="H58" s="73">
        <f>SUMIFS(AM$5:AM58,$F$5:$F58,$F58,$D$5:$D58,$D58)</f>
        <v>35272029.38223657</v>
      </c>
      <c r="I58" s="20">
        <f>SUMIFS(AN$5:AN58,$F$5:$F58,$F58,$D$5:$D58,$D58)</f>
        <v>25686078.343492426</v>
      </c>
      <c r="J58" s="73">
        <f t="shared" si="0"/>
        <v>25686078.343492426</v>
      </c>
      <c r="K58" s="73">
        <f t="shared" si="1"/>
        <v>-6953070.6019712836</v>
      </c>
      <c r="L58" s="73">
        <f t="shared" si="2"/>
        <v>28318958.780265287</v>
      </c>
      <c r="M58" s="73">
        <f>-SUMIFS(FinParameters!$E$8:$E$39,FinParameters!$B$8:$B$39,Financials!$E58,FinParameters!$C$8:$C$39,Financials!$F58)</f>
        <v>-12797430.146728516</v>
      </c>
      <c r="N58" s="73">
        <f>-SUMIFS(FinParameters!$F$8:$F$39,FinParameters!$B$8:$B$39,Financials!$E58,FinParameters!$C$8:$C$39,Financials!$F58)</f>
        <v>-74000000</v>
      </c>
      <c r="O58" s="73">
        <f>SUMIFS(FinParameters!$G$8:$G$39,FinParameters!$B$8:$B$39,Financials!$E58,FinParameters!$C$8:$C$39,Financials!$F58)</f>
        <v>21165674.931869458</v>
      </c>
      <c r="P58" s="73">
        <f t="shared" si="3"/>
        <v>12888648.19676391</v>
      </c>
      <c r="Q58" s="73">
        <f>P58/SUMIFS(FinParameters!$H$8:$H$39,FinParameters!$B$8:$B$39,Financials!$E58,FinParameters!$C$8:$C$39,Financials!$F58)</f>
        <v>6012649.5047172317</v>
      </c>
      <c r="R58" s="73">
        <f t="shared" si="15"/>
        <v>-39945676.871366635</v>
      </c>
      <c r="S58" s="12">
        <f t="shared" si="4"/>
        <v>-0.75605540185960873</v>
      </c>
      <c r="T58" s="114">
        <f t="shared" si="5"/>
        <v>-32639148.94546371</v>
      </c>
      <c r="U58" s="73">
        <f>T58/SUMIFS(FinParameters!$L$8:$L$39,FinParameters!$B$8:$B$39,Financials!$E58,FinParameters!$C$8:$C$39,Financials!$F58)</f>
        <v>-26788469.57124709</v>
      </c>
      <c r="V58" s="73">
        <f t="shared" si="6"/>
        <v>-26788469.57124709</v>
      </c>
      <c r="W58" s="12"/>
      <c r="X58" s="73">
        <f t="shared" si="7"/>
        <v>-19750500.748699799</v>
      </c>
      <c r="Y58" s="73">
        <f t="shared" si="8"/>
        <v>-20775820.066529859</v>
      </c>
      <c r="Z58" s="73">
        <f t="shared" si="8"/>
        <v>-66734146.442613721</v>
      </c>
      <c r="AA58" s="12">
        <f t="shared" si="9"/>
        <v>-1.2630831633896937</v>
      </c>
      <c r="AB58" s="114">
        <f t="shared" si="10"/>
        <v>35272029.38223657</v>
      </c>
      <c r="AC58" s="73">
        <f>AB58/SUMIFS(FinParameters!$L$8:$L$39,FinParameters!$B$8:$B$39,Financials!$E58,FinParameters!$C$8:$C$39,Financials!$F58)</f>
        <v>28949397.16108929</v>
      </c>
      <c r="AD58" s="73">
        <f t="shared" si="11"/>
        <v>28949397.16108929</v>
      </c>
      <c r="AE58" s="12"/>
      <c r="AF58" s="73">
        <f t="shared" si="12"/>
        <v>15521528.633536771</v>
      </c>
      <c r="AG58" s="73">
        <f t="shared" si="13"/>
        <v>8173577.0945594311</v>
      </c>
      <c r="AH58" s="73">
        <f t="shared" si="13"/>
        <v>-37784749.281524435</v>
      </c>
      <c r="AI58" s="12">
        <f t="shared" si="14"/>
        <v>-0.71515533193242309</v>
      </c>
      <c r="AL58" s="73">
        <f>Summary!G58</f>
        <v>-7443692.1316822292</v>
      </c>
      <c r="AM58" s="73">
        <f>IF(D58&lt;&gt;"avg",SUMIFS(Summary!$H:$H,Summary!$C:$C,Financials!C58,Summary!$E:$E,Financials!E58,Summary!$D:$D,1-Financials!D58,Summary!$F:$F,Financials!F58),SUMIFS(Summary!$H:$H,Summary!$C:$C,Financials!C58,Summary!$E:$E,Financials!E58,Summary!$D:$D,"avg",Summary!$F:$F,Financials!F58))</f>
        <v>5111055.8270826451</v>
      </c>
      <c r="AN58" s="20">
        <f>Summary!I58</f>
        <v>3922390.5579896187</v>
      </c>
      <c r="AP58" s="12">
        <v>1</v>
      </c>
    </row>
    <row r="59" spans="1:42" x14ac:dyDescent="0.3">
      <c r="A59">
        <v>55</v>
      </c>
      <c r="B59" t="str">
        <f>Summary!B59</f>
        <v>MarinusPortland</v>
      </c>
      <c r="C59" t="str">
        <f>Summary!C59</f>
        <v>Wind</v>
      </c>
      <c r="D59" s="104">
        <f>Summary!D59</f>
        <v>0</v>
      </c>
      <c r="E59" t="str">
        <f>Summary!E59</f>
        <v>Cal-28</v>
      </c>
      <c r="F59" t="str">
        <f>Summary!F59</f>
        <v>Wartsila dual fuel</v>
      </c>
      <c r="G59" s="73">
        <f>SUMIFS(AL$5:AL59,$F$5:$F59,$F59,$D$5:$D59,$D59)</f>
        <v>-67435765.443455726</v>
      </c>
      <c r="H59" s="73">
        <f>SUMIFS(AM$5:AM59,$F$5:$F59,$F59,$D$5:$D59,$D59)</f>
        <v>76913722.752372503</v>
      </c>
      <c r="I59" s="20">
        <f>SUMIFS(AN$5:AN59,$F$5:$F59,$F59,$D$5:$D59,$D59)</f>
        <v>13627688.241082493</v>
      </c>
      <c r="J59" s="73">
        <f t="shared" si="0"/>
        <v>13627688.241082493</v>
      </c>
      <c r="K59" s="73">
        <f t="shared" si="1"/>
        <v>-53808077.202373236</v>
      </c>
      <c r="L59" s="73">
        <f t="shared" si="2"/>
        <v>23105645.549999271</v>
      </c>
      <c r="M59" s="73">
        <f>-SUMIFS(FinParameters!$E$8:$E$39,FinParameters!$B$8:$B$39,Financials!$E59,FinParameters!$C$8:$C$39,Financials!$F59)</f>
        <v>-12797430.146728516</v>
      </c>
      <c r="N59" s="73">
        <f>-SUMIFS(FinParameters!$F$8:$F$39,FinParameters!$B$8:$B$39,Financials!$E59,FinParameters!$C$8:$C$39,Financials!$F59)</f>
        <v>-74000000</v>
      </c>
      <c r="O59" s="73">
        <f>SUMIFS(FinParameters!$G$8:$G$39,FinParameters!$B$8:$B$39,Financials!$E59,FinParameters!$C$8:$C$39,Financials!$F59)</f>
        <v>21165674.931869458</v>
      </c>
      <c r="P59" s="73">
        <f t="shared" si="3"/>
        <v>830258.09435397759</v>
      </c>
      <c r="Q59" s="73">
        <f>P59/SUMIFS(FinParameters!$H$8:$H$39,FinParameters!$B$8:$B$39,Financials!$E59,FinParameters!$C$8:$C$39,Financials!$F59)</f>
        <v>387321.52849499945</v>
      </c>
      <c r="R59" s="73">
        <f t="shared" si="15"/>
        <v>-52004066.973776564</v>
      </c>
      <c r="S59" s="12">
        <f t="shared" si="4"/>
        <v>-0.98428563072806652</v>
      </c>
      <c r="T59" s="114">
        <f t="shared" si="5"/>
        <v>-67435765.443455726</v>
      </c>
      <c r="U59" s="73">
        <f>T59/SUMIFS(FinParameters!$L$8:$L$39,FinParameters!$B$8:$B$39,Financials!$E59,FinParameters!$C$8:$C$39,Financials!$F59)</f>
        <v>-55347673.237872303</v>
      </c>
      <c r="V59" s="73">
        <f t="shared" si="6"/>
        <v>-55347673.237872303</v>
      </c>
      <c r="W59" s="12"/>
      <c r="X59" s="73">
        <f t="shared" si="7"/>
        <v>-66605507.349101752</v>
      </c>
      <c r="Y59" s="73">
        <f t="shared" si="8"/>
        <v>-54960351.709377304</v>
      </c>
      <c r="Z59" s="73">
        <f t="shared" si="8"/>
        <v>-107351740.21164887</v>
      </c>
      <c r="AA59" s="12">
        <f t="shared" si="9"/>
        <v>-2.0318559965177454</v>
      </c>
      <c r="AB59" s="114">
        <f t="shared" si="10"/>
        <v>76913722.752372503</v>
      </c>
      <c r="AC59" s="73">
        <f>AB59/SUMIFS(FinParameters!$L$8:$L$39,FinParameters!$B$8:$B$39,Financials!$E59,FinParameters!$C$8:$C$39,Financials!$F59)</f>
        <v>63126674.19747863</v>
      </c>
      <c r="AD59" s="73">
        <f t="shared" si="11"/>
        <v>63126674.19747863</v>
      </c>
      <c r="AE59" s="12"/>
      <c r="AF59" s="73">
        <f t="shared" si="12"/>
        <v>10308215.403270751</v>
      </c>
      <c r="AG59" s="73">
        <f t="shared" si="13"/>
        <v>8166322.4881013259</v>
      </c>
      <c r="AH59" s="73">
        <f t="shared" si="13"/>
        <v>-44225066.014170237</v>
      </c>
      <c r="AI59" s="12">
        <f t="shared" si="14"/>
        <v>-0.83705178323261342</v>
      </c>
      <c r="AL59" s="73">
        <f>Summary!G59</f>
        <v>-10321246.370392105</v>
      </c>
      <c r="AM59" s="73">
        <f>IF(D59&lt;&gt;"avg",SUMIFS(Summary!$H:$H,Summary!$C:$C,Financials!C59,Summary!$E:$E,Financials!E59,Summary!$D:$D,1-Financials!D59,Summary!$F:$F,Financials!F59),SUMIFS(Summary!$H:$H,Summary!$C:$C,Financials!C59,Summary!$E:$E,Financials!E59,Summary!$D:$D,"avg",Summary!$F:$F,Financials!F59))</f>
        <v>10076966.426589588</v>
      </c>
      <c r="AN59" s="20">
        <f>Summary!I59</f>
        <v>2485600.2060880293</v>
      </c>
      <c r="AP59" s="12">
        <v>1</v>
      </c>
    </row>
    <row r="60" spans="1:42" x14ac:dyDescent="0.3">
      <c r="A60">
        <v>56</v>
      </c>
      <c r="B60" t="str">
        <f>Summary!B60</f>
        <v>MarinusPortland</v>
      </c>
      <c r="C60" t="str">
        <f>Summary!C60</f>
        <v>Wind</v>
      </c>
      <c r="D60" s="104" t="str">
        <f>Summary!D60</f>
        <v>avg</v>
      </c>
      <c r="E60" t="str">
        <f>Summary!E60</f>
        <v>Cal-28</v>
      </c>
      <c r="F60" t="str">
        <f>Summary!F60</f>
        <v>Wartsila dual fuel</v>
      </c>
      <c r="G60" s="73">
        <f>SUMIFS(AL$5:AL60,$F$5:$F60,$F60,$D$5:$D60,$D60)</f>
        <v>14149612.861079365</v>
      </c>
      <c r="H60" s="73">
        <f>SUMIFS(AM$5:AM60,$F$5:$F60,$F60,$D$5:$D60,$D60)</f>
        <v>-784012.21097082621</v>
      </c>
      <c r="I60" s="20">
        <f>SUMIFS(AN$5:AN60,$F$5:$F60,$F60,$D$5:$D60,$D60)</f>
        <v>40014146.407415405</v>
      </c>
      <c r="J60" s="73">
        <f t="shared" si="0"/>
        <v>40014146.407415405</v>
      </c>
      <c r="K60" s="73">
        <f t="shared" si="1"/>
        <v>54163759.26849477</v>
      </c>
      <c r="L60" s="73">
        <f t="shared" si="2"/>
        <v>53379747.057523943</v>
      </c>
      <c r="M60" s="73">
        <f>-SUMIFS(FinParameters!$E$8:$E$39,FinParameters!$B$8:$B$39,Financials!$E60,FinParameters!$C$8:$C$39,Financials!$F60)</f>
        <v>-12797430.146728516</v>
      </c>
      <c r="N60" s="73">
        <f>-SUMIFS(FinParameters!$F$8:$F$39,FinParameters!$B$8:$B$39,Financials!$E60,FinParameters!$C$8:$C$39,Financials!$F60)</f>
        <v>-74000000</v>
      </c>
      <c r="O60" s="73">
        <f>SUMIFS(FinParameters!$G$8:$G$39,FinParameters!$B$8:$B$39,Financials!$E60,FinParameters!$C$8:$C$39,Financials!$F60)</f>
        <v>21165674.931869458</v>
      </c>
      <c r="P60" s="73">
        <f t="shared" si="3"/>
        <v>27216716.260686889</v>
      </c>
      <c r="Q60" s="73">
        <f>P60/SUMIFS(FinParameters!$H$8:$H$39,FinParameters!$B$8:$B$39,Financials!$E60,FinParameters!$C$8:$C$39,Financials!$F60)</f>
        <v>12696799.000684684</v>
      </c>
      <c r="R60" s="73">
        <f t="shared" si="15"/>
        <v>-25617608.807443652</v>
      </c>
      <c r="S60" s="12">
        <f t="shared" si="4"/>
        <v>-0.48486677504462145</v>
      </c>
      <c r="T60" s="114">
        <f t="shared" si="5"/>
        <v>14149612.861079365</v>
      </c>
      <c r="U60" s="73">
        <f>T60/SUMIFS(FinParameters!$L$8:$L$39,FinParameters!$B$8:$B$39,Financials!$E60,FinParameters!$C$8:$C$39,Financials!$F60)</f>
        <v>11613246.234063713</v>
      </c>
      <c r="V60" s="73">
        <f t="shared" si="6"/>
        <v>11613246.234063713</v>
      </c>
      <c r="W60" s="12"/>
      <c r="X60" s="73">
        <f t="shared" si="7"/>
        <v>41366329.121766254</v>
      </c>
      <c r="Y60" s="73">
        <f t="shared" si="8"/>
        <v>24310045.234748397</v>
      </c>
      <c r="Z60" s="73">
        <f t="shared" si="8"/>
        <v>-14004362.573379939</v>
      </c>
      <c r="AA60" s="12">
        <f t="shared" si="9"/>
        <v>-0.26506182401916056</v>
      </c>
      <c r="AB60" s="114">
        <f t="shared" si="10"/>
        <v>-784012.21097082621</v>
      </c>
      <c r="AC60" s="73">
        <f>AB60/SUMIFS(FinParameters!$L$8:$L$39,FinParameters!$B$8:$B$39,Financials!$E60,FinParameters!$C$8:$C$39,Financials!$F60)</f>
        <v>-643475.33362989605</v>
      </c>
      <c r="AD60" s="73">
        <f t="shared" si="11"/>
        <v>-643475.33362989605</v>
      </c>
      <c r="AE60" s="12"/>
      <c r="AF60" s="73">
        <f t="shared" si="12"/>
        <v>40582316.910795428</v>
      </c>
      <c r="AG60" s="73">
        <f t="shared" si="13"/>
        <v>23666569.901118502</v>
      </c>
      <c r="AH60" s="73">
        <f t="shared" si="13"/>
        <v>-14647837.907009836</v>
      </c>
      <c r="AI60" s="12">
        <f t="shared" si="14"/>
        <v>-0.27724093925911353</v>
      </c>
      <c r="AL60" s="73">
        <f>Summary!G60</f>
        <v>-1815795.4897569402</v>
      </c>
      <c r="AM60" s="73">
        <f>IF(D60&lt;&gt;"avg",SUMIFS(Summary!$H:$H,Summary!$C:$C,Financials!C60,Summary!$E:$E,Financials!E60,Summary!$D:$D,1-Financials!D60,Summary!$F:$F,Financials!F60),SUMIFS(Summary!$H:$H,Summary!$C:$C,Financials!C60,Summary!$E:$E,Financials!E60,Summary!$D:$D,"avg",Summary!$F:$F,Financials!F60))</f>
        <v>-101048.17129290028</v>
      </c>
      <c r="AN60" s="20">
        <f>Summary!I60</f>
        <v>5772623.7373809349</v>
      </c>
      <c r="AP60" s="12">
        <v>1</v>
      </c>
    </row>
    <row r="61" spans="1:42" x14ac:dyDescent="0.3">
      <c r="A61">
        <v>57</v>
      </c>
      <c r="B61" t="str">
        <f>Summary!B61</f>
        <v>MarinusPortland</v>
      </c>
      <c r="C61" t="str">
        <f>Summary!C61</f>
        <v>Wind</v>
      </c>
      <c r="D61" s="104">
        <f>Summary!D61</f>
        <v>1</v>
      </c>
      <c r="E61" t="str">
        <f>Summary!E61</f>
        <v>Cal-29</v>
      </c>
      <c r="F61" t="str">
        <f>Summary!F61</f>
        <v>Wartsila dual fuel</v>
      </c>
      <c r="G61" s="73">
        <f>SUMIFS(AL$5:AL61,$F$5:$F61,$F61,$D$5:$D61,$D61)</f>
        <v>166078109.01591107</v>
      </c>
      <c r="H61" s="73">
        <f>SUMIFS(AM$5:AM61,$F$5:$F61,$F61,$D$5:$D61,$D61)</f>
        <v>-113490074.20360683</v>
      </c>
      <c r="I61" s="20">
        <f>SUMIFS(AN$5:AN61,$F$5:$F61,$F61,$D$5:$D61,$D61)</f>
        <v>98379923.49657394</v>
      </c>
      <c r="J61" s="73">
        <f t="shared" si="0"/>
        <v>98379923.49657394</v>
      </c>
      <c r="K61" s="73">
        <f t="shared" si="1"/>
        <v>264458032.51248503</v>
      </c>
      <c r="L61" s="73">
        <f t="shared" si="2"/>
        <v>150967958.30887818</v>
      </c>
      <c r="M61" s="73">
        <f>-SUMIFS(FinParameters!$E$8:$E$39,FinParameters!$B$8:$B$39,Financials!$E61,FinParameters!$C$8:$C$39,Financials!$F61)</f>
        <v>-14586115.900396729</v>
      </c>
      <c r="N61" s="73">
        <f>-SUMIFS(FinParameters!$F$8:$F$39,FinParameters!$B$8:$B$39,Financials!$E61,FinParameters!$C$8:$C$39,Financials!$F61)</f>
        <v>-74000000</v>
      </c>
      <c r="O61" s="73">
        <f>SUMIFS(FinParameters!$G$8:$G$39,FinParameters!$B$8:$B$39,Financials!$E61,FinParameters!$C$8:$C$39,Financials!$F61)</f>
        <v>17942719.885425702</v>
      </c>
      <c r="P61" s="73">
        <f t="shared" si="3"/>
        <v>83793807.596177205</v>
      </c>
      <c r="Q61" s="73">
        <f>P61/SUMIFS(FinParameters!$H$8:$H$39,FinParameters!$B$8:$B$39,Financials!$E61,FinParameters!$C$8:$C$39,Financials!$F61)</f>
        <v>35536754.235900961</v>
      </c>
      <c r="R61" s="73">
        <f t="shared" si="15"/>
        <v>27736527.481602907</v>
      </c>
      <c r="S61" s="12">
        <f t="shared" si="4"/>
        <v>0.49478903409000224</v>
      </c>
      <c r="T61" s="114">
        <f t="shared" si="5"/>
        <v>166078109.01591107</v>
      </c>
      <c r="U61" s="73">
        <f>T61/SUMIFS(FinParameters!$L$8:$L$39,FinParameters!$B$8:$B$39,Financials!$E61,FinParameters!$C$8:$C$39,Financials!$F61)</f>
        <v>132983452.15798233</v>
      </c>
      <c r="V61" s="73">
        <f t="shared" si="6"/>
        <v>132983452.15798233</v>
      </c>
      <c r="W61" s="12"/>
      <c r="X61" s="73">
        <f t="shared" si="7"/>
        <v>249871916.61208829</v>
      </c>
      <c r="Y61" s="73">
        <f t="shared" si="8"/>
        <v>168520206.39388329</v>
      </c>
      <c r="Z61" s="73">
        <f t="shared" si="8"/>
        <v>160719979.63958526</v>
      </c>
      <c r="AA61" s="12">
        <f t="shared" si="9"/>
        <v>2.8670670305639705</v>
      </c>
      <c r="AB61" s="114">
        <f t="shared" si="10"/>
        <v>-113490074.20360683</v>
      </c>
      <c r="AC61" s="73">
        <f>AB61/SUMIFS(FinParameters!$L$8:$L$39,FinParameters!$B$8:$B$39,Financials!$E61,FinParameters!$C$8:$C$39,Financials!$F61)</f>
        <v>-90874721.194081634</v>
      </c>
      <c r="AD61" s="73">
        <f t="shared" si="11"/>
        <v>-90874721.194081634</v>
      </c>
      <c r="AE61" s="12"/>
      <c r="AF61" s="73">
        <f t="shared" si="12"/>
        <v>136381842.40848148</v>
      </c>
      <c r="AG61" s="73">
        <f t="shared" si="13"/>
        <v>77645485.199801654</v>
      </c>
      <c r="AH61" s="73">
        <f t="shared" si="13"/>
        <v>69845258.445503622</v>
      </c>
      <c r="AI61" s="12">
        <f t="shared" si="14"/>
        <v>1.2459623139536624</v>
      </c>
      <c r="AL61" s="73">
        <f>Summary!G61</f>
        <v>16416573.711353535</v>
      </c>
      <c r="AM61" s="73">
        <f>IF(D61&lt;&gt;"avg",SUMIFS(Summary!$H:$H,Summary!$C:$C,Financials!C61,Summary!$E:$E,Financials!E61,Summary!$D:$D,1-Financials!D61,Summary!$F:$F,Financials!F61),SUMIFS(Summary!$H:$H,Summary!$C:$C,Financials!C61,Summary!$E:$E,Financials!E61,Summary!$D:$D,"avg",Summary!$F:$F,Financials!F61))</f>
        <v>-15968257.4606882</v>
      </c>
      <c r="AN61" s="20">
        <f>Summary!I61</f>
        <v>13755499.256638283</v>
      </c>
      <c r="AP61" s="12">
        <v>1</v>
      </c>
    </row>
    <row r="62" spans="1:42" x14ac:dyDescent="0.3">
      <c r="A62">
        <v>58</v>
      </c>
      <c r="B62" t="str">
        <f>Summary!B62</f>
        <v>MarinusPortland</v>
      </c>
      <c r="C62" t="str">
        <f>Summary!C62</f>
        <v>Wind</v>
      </c>
      <c r="D62" s="104">
        <f>Summary!D62</f>
        <v>0.95</v>
      </c>
      <c r="E62" t="str">
        <f>Summary!E62</f>
        <v>Cal-29</v>
      </c>
      <c r="F62" t="str">
        <f>Summary!F62</f>
        <v>Wartsila dual fuel</v>
      </c>
      <c r="G62" s="73">
        <f>SUMIFS(AL$5:AL62,$F$5:$F62,$F62,$D$5:$D62,$D62)</f>
        <v>83600788.498574778</v>
      </c>
      <c r="H62" s="73">
        <f>SUMIFS(AM$5:AM62,$F$5:$F62,$F62,$D$5:$D62,$D62)</f>
        <v>-46821602.910654873</v>
      </c>
      <c r="I62" s="20">
        <f>SUMIFS(AN$5:AN62,$F$5:$F62,$F62,$D$5:$D62,$D62)</f>
        <v>66478114.453435309</v>
      </c>
      <c r="J62" s="73">
        <f t="shared" si="0"/>
        <v>66478114.453435309</v>
      </c>
      <c r="K62" s="73">
        <f t="shared" si="1"/>
        <v>150078902.9520101</v>
      </c>
      <c r="L62" s="73">
        <f t="shared" si="2"/>
        <v>103257300.04135522</v>
      </c>
      <c r="M62" s="73">
        <f>-SUMIFS(FinParameters!$E$8:$E$39,FinParameters!$B$8:$B$39,Financials!$E62,FinParameters!$C$8:$C$39,Financials!$F62)</f>
        <v>-14586115.900396729</v>
      </c>
      <c r="N62" s="73">
        <f>-SUMIFS(FinParameters!$F$8:$F$39,FinParameters!$B$8:$B$39,Financials!$E62,FinParameters!$C$8:$C$39,Financials!$F62)</f>
        <v>-74000000</v>
      </c>
      <c r="O62" s="73">
        <f>SUMIFS(FinParameters!$G$8:$G$39,FinParameters!$B$8:$B$39,Financials!$E62,FinParameters!$C$8:$C$39,Financials!$F62)</f>
        <v>17942719.885425702</v>
      </c>
      <c r="P62" s="73">
        <f t="shared" si="3"/>
        <v>51891998.553038582</v>
      </c>
      <c r="Q62" s="73">
        <f>P62/SUMIFS(FinParameters!$H$8:$H$39,FinParameters!$B$8:$B$39,Financials!$E62,FinParameters!$C$8:$C$39,Financials!$F62)</f>
        <v>22007272.998932078</v>
      </c>
      <c r="R62" s="73">
        <f t="shared" si="15"/>
        <v>-4165281.5615357161</v>
      </c>
      <c r="S62" s="12">
        <f t="shared" si="4"/>
        <v>-7.4304025329491277E-2</v>
      </c>
      <c r="T62" s="114">
        <f t="shared" si="5"/>
        <v>83600788.498574778</v>
      </c>
      <c r="U62" s="73">
        <f>T62/SUMIFS(FinParameters!$L$8:$L$39,FinParameters!$B$8:$B$39,Financials!$E62,FinParameters!$C$8:$C$39,Financials!$F62)</f>
        <v>66941522.417049602</v>
      </c>
      <c r="V62" s="73">
        <f t="shared" si="6"/>
        <v>66941522.417049602</v>
      </c>
      <c r="W62" s="12"/>
      <c r="X62" s="73">
        <f t="shared" si="7"/>
        <v>135492787.05161336</v>
      </c>
      <c r="Y62" s="73">
        <f t="shared" si="8"/>
        <v>88948795.41598168</v>
      </c>
      <c r="Z62" s="73">
        <f t="shared" si="8"/>
        <v>62776240.855513886</v>
      </c>
      <c r="AA62" s="12">
        <f t="shared" si="9"/>
        <v>1.1198588430834826</v>
      </c>
      <c r="AB62" s="114">
        <f t="shared" si="10"/>
        <v>-46821602.910654873</v>
      </c>
      <c r="AC62" s="73">
        <f>AB62/SUMIFS(FinParameters!$L$8:$L$39,FinParameters!$B$8:$B$39,Financials!$E62,FinParameters!$C$8:$C$39,Financials!$F62)</f>
        <v>-37491385.394041248</v>
      </c>
      <c r="AD62" s="73">
        <f t="shared" si="11"/>
        <v>-37491385.394041248</v>
      </c>
      <c r="AE62" s="12"/>
      <c r="AF62" s="73">
        <f t="shared" si="12"/>
        <v>88671184.140958488</v>
      </c>
      <c r="AG62" s="73">
        <f t="shared" si="13"/>
        <v>51457410.021940432</v>
      </c>
      <c r="AH62" s="73">
        <f t="shared" si="13"/>
        <v>25284855.461472638</v>
      </c>
      <c r="AI62" s="12">
        <f t="shared" si="14"/>
        <v>0.45105391145973284</v>
      </c>
      <c r="AL62" s="73">
        <f>Summary!G62</f>
        <v>6605204.4125064295</v>
      </c>
      <c r="AM62" s="73">
        <f>IF(D62&lt;&gt;"avg",SUMIFS(Summary!$H:$H,Summary!$C:$C,Financials!C62,Summary!$E:$E,Financials!E62,Summary!$D:$D,1-Financials!D62,Summary!$F:$F,Financials!F62),SUMIFS(Summary!$H:$H,Summary!$C:$C,Financials!C62,Summary!$E:$E,Financials!E62,Summary!$D:$D,"avg",Summary!$F:$F,Financials!F62))</f>
        <v>-6531736.3569507189</v>
      </c>
      <c r="AN62" s="20">
        <f>Summary!I62</f>
        <v>8525102.2746409122</v>
      </c>
      <c r="AP62" s="12">
        <v>1</v>
      </c>
    </row>
    <row r="63" spans="1:42" x14ac:dyDescent="0.3">
      <c r="A63">
        <v>59</v>
      </c>
      <c r="B63" t="str">
        <f>Summary!B63</f>
        <v>MarinusPortland</v>
      </c>
      <c r="C63" t="str">
        <f>Summary!C63</f>
        <v>Wind</v>
      </c>
      <c r="D63" s="104">
        <f>Summary!D63</f>
        <v>0.75</v>
      </c>
      <c r="E63" t="str">
        <f>Summary!E63</f>
        <v>Cal-29</v>
      </c>
      <c r="F63" t="str">
        <f>Summary!F63</f>
        <v>Wartsila dual fuel</v>
      </c>
      <c r="G63" s="73">
        <f>SUMIFS(AL$5:AL63,$F$5:$F63,$F63,$D$5:$D63,$D63)</f>
        <v>37420438.256404132</v>
      </c>
      <c r="H63" s="73">
        <f>SUMIFS(AM$5:AM63,$F$5:$F63,$F63,$D$5:$D63,$D63)</f>
        <v>-18385584.125098243</v>
      </c>
      <c r="I63" s="20">
        <f>SUMIFS(AN$5:AN63,$F$5:$F63,$F63,$D$5:$D63,$D63)</f>
        <v>52894831.398856312</v>
      </c>
      <c r="J63" s="73">
        <f t="shared" si="0"/>
        <v>52894831.398856312</v>
      </c>
      <c r="K63" s="73">
        <f t="shared" si="1"/>
        <v>90315269.655260444</v>
      </c>
      <c r="L63" s="73">
        <f t="shared" si="2"/>
        <v>71929685.5301622</v>
      </c>
      <c r="M63" s="73">
        <f>-SUMIFS(FinParameters!$E$8:$E$39,FinParameters!$B$8:$B$39,Financials!$E63,FinParameters!$C$8:$C$39,Financials!$F63)</f>
        <v>-14586115.900396729</v>
      </c>
      <c r="N63" s="73">
        <f>-SUMIFS(FinParameters!$F$8:$F$39,FinParameters!$B$8:$B$39,Financials!$E63,FinParameters!$C$8:$C$39,Financials!$F63)</f>
        <v>-74000000</v>
      </c>
      <c r="O63" s="73">
        <f>SUMIFS(FinParameters!$G$8:$G$39,FinParameters!$B$8:$B$39,Financials!$E63,FinParameters!$C$8:$C$39,Financials!$F63)</f>
        <v>17942719.885425702</v>
      </c>
      <c r="P63" s="73">
        <f t="shared" si="3"/>
        <v>38308715.498459585</v>
      </c>
      <c r="Q63" s="73">
        <f>P63/SUMIFS(FinParameters!$H$8:$H$39,FinParameters!$B$8:$B$39,Financials!$E63,FinParameters!$C$8:$C$39,Financials!$F63)</f>
        <v>16246635.005805798</v>
      </c>
      <c r="R63" s="73">
        <f t="shared" si="15"/>
        <v>-17748564.616114713</v>
      </c>
      <c r="S63" s="12">
        <f t="shared" si="4"/>
        <v>-0.3166148015001583</v>
      </c>
      <c r="T63" s="114">
        <f t="shared" si="5"/>
        <v>37420438.256404132</v>
      </c>
      <c r="U63" s="73">
        <f>T63/SUMIFS(FinParameters!$L$8:$L$39,FinParameters!$B$8:$B$39,Financials!$E63,FinParameters!$C$8:$C$39,Financials!$F63)</f>
        <v>29963606.221723646</v>
      </c>
      <c r="V63" s="73">
        <f t="shared" si="6"/>
        <v>29963606.221723646</v>
      </c>
      <c r="W63" s="12"/>
      <c r="X63" s="73">
        <f t="shared" si="7"/>
        <v>75729153.754863709</v>
      </c>
      <c r="Y63" s="73">
        <f t="shared" si="8"/>
        <v>46210241.227529444</v>
      </c>
      <c r="Z63" s="73">
        <f t="shared" si="8"/>
        <v>12215041.605608933</v>
      </c>
      <c r="AA63" s="12">
        <f t="shared" si="9"/>
        <v>0.21790285901568654</v>
      </c>
      <c r="AB63" s="114">
        <f t="shared" si="10"/>
        <v>-18385584.125098243</v>
      </c>
      <c r="AC63" s="73">
        <f>AB63/SUMIFS(FinParameters!$L$8:$L$39,FinParameters!$B$8:$B$39,Financials!$E63,FinParameters!$C$8:$C$39,Financials!$F63)</f>
        <v>-14721858.656653667</v>
      </c>
      <c r="AD63" s="73">
        <f t="shared" si="11"/>
        <v>-14721858.656653667</v>
      </c>
      <c r="AE63" s="12"/>
      <c r="AF63" s="73">
        <f t="shared" si="12"/>
        <v>57343569.629765466</v>
      </c>
      <c r="AG63" s="73">
        <f t="shared" si="13"/>
        <v>31488382.570875779</v>
      </c>
      <c r="AH63" s="73">
        <f t="shared" si="13"/>
        <v>-2506817.0510447342</v>
      </c>
      <c r="AI63" s="12">
        <f t="shared" si="14"/>
        <v>-4.4718849111499939E-2</v>
      </c>
      <c r="AL63" s="73">
        <f>Summary!G63</f>
        <v>1446894.0205003924</v>
      </c>
      <c r="AM63" s="73">
        <f>IF(D63&lt;&gt;"avg",SUMIFS(Summary!$H:$H,Summary!$C:$C,Financials!C63,Summary!$E:$E,Financials!E63,Summary!$D:$D,1-Financials!D63,Summary!$F:$F,Financials!F63),SUMIFS(Summary!$H:$H,Summary!$C:$C,Financials!C63,Summary!$E:$E,Financials!E63,Summary!$D:$D,"avg",Summary!$F:$F,Financials!F63))</f>
        <v>-2692375.1847101087</v>
      </c>
      <c r="AN63" s="20">
        <f>Summary!I63</f>
        <v>6871167.8063621167</v>
      </c>
      <c r="AP63" s="12">
        <v>1</v>
      </c>
    </row>
    <row r="64" spans="1:42" x14ac:dyDescent="0.3">
      <c r="A64">
        <v>60</v>
      </c>
      <c r="B64" t="str">
        <f>Summary!B64</f>
        <v>MarinusPortland</v>
      </c>
      <c r="C64" t="str">
        <f>Summary!C64</f>
        <v>Wind</v>
      </c>
      <c r="D64" s="104">
        <f>Summary!D64</f>
        <v>0.5</v>
      </c>
      <c r="E64" t="str">
        <f>Summary!E64</f>
        <v>Cal-29</v>
      </c>
      <c r="F64" t="str">
        <f>Summary!F64</f>
        <v>Wartsila dual fuel</v>
      </c>
      <c r="G64" s="73">
        <f>SUMIFS(AL$5:AL64,$F$5:$F64,$F64,$D$5:$D64,$D64)</f>
        <v>6705443.1242252393</v>
      </c>
      <c r="H64" s="73">
        <f>SUMIFS(AM$5:AM64,$F$5:$F64,$F64,$D$5:$D64,$D64)</f>
        <v>257415.91220052107</v>
      </c>
      <c r="I64" s="20">
        <f>SUMIFS(AN$5:AN64,$F$5:$F64,$F64,$D$5:$D64,$D64)</f>
        <v>45127147.060000412</v>
      </c>
      <c r="J64" s="73">
        <f t="shared" si="0"/>
        <v>45127147.060000412</v>
      </c>
      <c r="K64" s="73">
        <f t="shared" si="1"/>
        <v>51832590.184225649</v>
      </c>
      <c r="L64" s="73">
        <f t="shared" si="2"/>
        <v>52090006.096426174</v>
      </c>
      <c r="M64" s="73">
        <f>-SUMIFS(FinParameters!$E$8:$E$39,FinParameters!$B$8:$B$39,Financials!$E64,FinParameters!$C$8:$C$39,Financials!$F64)</f>
        <v>-14586115.900396729</v>
      </c>
      <c r="N64" s="73">
        <f>-SUMIFS(FinParameters!$F$8:$F$39,FinParameters!$B$8:$B$39,Financials!$E64,FinParameters!$C$8:$C$39,Financials!$F64)</f>
        <v>-74000000</v>
      </c>
      <c r="O64" s="73">
        <f>SUMIFS(FinParameters!$G$8:$G$39,FinParameters!$B$8:$B$39,Financials!$E64,FinParameters!$C$8:$C$39,Financials!$F64)</f>
        <v>17942719.885425702</v>
      </c>
      <c r="P64" s="73">
        <f t="shared" si="3"/>
        <v>30541031.159603685</v>
      </c>
      <c r="Q64" s="73">
        <f>P64/SUMIFS(FinParameters!$H$8:$H$39,FinParameters!$B$8:$B$39,Financials!$E64,FinParameters!$C$8:$C$39,Financials!$F64)</f>
        <v>12952378.577427763</v>
      </c>
      <c r="R64" s="73">
        <f t="shared" si="15"/>
        <v>-25516248.954970613</v>
      </c>
      <c r="S64" s="12">
        <f t="shared" si="4"/>
        <v>-0.45518171596657003</v>
      </c>
      <c r="T64" s="114">
        <f t="shared" si="5"/>
        <v>6705443.1242252393</v>
      </c>
      <c r="U64" s="73">
        <f>T64/SUMIFS(FinParameters!$L$8:$L$39,FinParameters!$B$8:$B$39,Financials!$E64,FinParameters!$C$8:$C$39,Financials!$F64)</f>
        <v>5369238.4877952123</v>
      </c>
      <c r="V64" s="73">
        <f t="shared" si="6"/>
        <v>5369238.4877952123</v>
      </c>
      <c r="W64" s="12"/>
      <c r="X64" s="73">
        <f t="shared" si="7"/>
        <v>37246474.283828922</v>
      </c>
      <c r="Y64" s="73">
        <f t="shared" si="8"/>
        <v>18321617.065222975</v>
      </c>
      <c r="Z64" s="73">
        <f t="shared" si="8"/>
        <v>-20147010.467175402</v>
      </c>
      <c r="AA64" s="12">
        <f t="shared" si="9"/>
        <v>-0.35940042802642852</v>
      </c>
      <c r="AB64" s="114">
        <f t="shared" si="10"/>
        <v>257415.91220052107</v>
      </c>
      <c r="AC64" s="73">
        <f>AB64/SUMIFS(FinParameters!$L$8:$L$39,FinParameters!$B$8:$B$39,Financials!$E64,FinParameters!$C$8:$C$39,Financials!$F64)</f>
        <v>206120.22166956263</v>
      </c>
      <c r="AD64" s="73">
        <f t="shared" si="11"/>
        <v>206120.22166956263</v>
      </c>
      <c r="AE64" s="12"/>
      <c r="AF64" s="73">
        <f t="shared" si="12"/>
        <v>37503890.19602944</v>
      </c>
      <c r="AG64" s="73">
        <f t="shared" si="13"/>
        <v>18527737.286892537</v>
      </c>
      <c r="AH64" s="73">
        <f t="shared" si="13"/>
        <v>-19940890.24550584</v>
      </c>
      <c r="AI64" s="12">
        <f t="shared" si="14"/>
        <v>-0.35572347079182354</v>
      </c>
      <c r="AL64" s="73">
        <f>Summary!G64</f>
        <v>-1422851.1473726921</v>
      </c>
      <c r="AM64" s="73">
        <f>IF(D64&lt;&gt;"avg",SUMIFS(Summary!$H:$H,Summary!$C:$C,Financials!C64,Summary!$E:$E,Financials!E64,Summary!$D:$D,1-Financials!D64,Summary!$F:$F,Financials!F64),SUMIFS(Summary!$H:$H,Summary!$C:$C,Financials!C64,Summary!$E:$E,Financials!E64,Summary!$D:$D,"avg",Summary!$F:$F,Financials!F64))</f>
        <v>-21509.658641293328</v>
      </c>
      <c r="AN64" s="20">
        <f>Summary!I64</f>
        <v>5970819.0529992385</v>
      </c>
      <c r="AP64" s="12">
        <v>1</v>
      </c>
    </row>
    <row r="65" spans="1:42" x14ac:dyDescent="0.3">
      <c r="A65">
        <v>61</v>
      </c>
      <c r="B65" t="str">
        <f>Summary!B65</f>
        <v>MarinusPortland</v>
      </c>
      <c r="C65" t="str">
        <f>Summary!C65</f>
        <v>Wind</v>
      </c>
      <c r="D65" s="104">
        <f>Summary!D65</f>
        <v>0.25</v>
      </c>
      <c r="E65" t="str">
        <f>Summary!E65</f>
        <v>Cal-29</v>
      </c>
      <c r="F65" t="str">
        <f>Summary!F65</f>
        <v>Wartsila dual fuel</v>
      </c>
      <c r="G65" s="73">
        <f>SUMIFS(AL$5:AL65,$F$5:$F65,$F65,$D$5:$D65,$D65)</f>
        <v>-14611605.604935382</v>
      </c>
      <c r="H65" s="73">
        <f>SUMIFS(AM$5:AM65,$F$5:$F65,$F65,$D$5:$D65,$D65)</f>
        <v>17564532.128883254</v>
      </c>
      <c r="I65" s="20">
        <f>SUMIFS(AN$5:AN65,$F$5:$F65,$F65,$D$5:$D65,$D65)</f>
        <v>38403680.678912528</v>
      </c>
      <c r="J65" s="73">
        <f t="shared" si="0"/>
        <v>38403680.678912528</v>
      </c>
      <c r="K65" s="73">
        <f t="shared" si="1"/>
        <v>23792075.073977146</v>
      </c>
      <c r="L65" s="73">
        <f t="shared" si="2"/>
        <v>41356607.2028604</v>
      </c>
      <c r="M65" s="73">
        <f>-SUMIFS(FinParameters!$E$8:$E$39,FinParameters!$B$8:$B$39,Financials!$E65,FinParameters!$C$8:$C$39,Financials!$F65)</f>
        <v>-14586115.900396729</v>
      </c>
      <c r="N65" s="73">
        <f>-SUMIFS(FinParameters!$F$8:$F$39,FinParameters!$B$8:$B$39,Financials!$E65,FinParameters!$C$8:$C$39,Financials!$F65)</f>
        <v>-74000000</v>
      </c>
      <c r="O65" s="73">
        <f>SUMIFS(FinParameters!$G$8:$G$39,FinParameters!$B$8:$B$39,Financials!$E65,FinParameters!$C$8:$C$39,Financials!$F65)</f>
        <v>17942719.885425702</v>
      </c>
      <c r="P65" s="73">
        <f t="shared" si="3"/>
        <v>23817564.778515801</v>
      </c>
      <c r="Q65" s="73">
        <f>P65/SUMIFS(FinParameters!$H$8:$H$39,FinParameters!$B$8:$B$39,Financials!$E65,FinParameters!$C$8:$C$39,Financials!$F65)</f>
        <v>10100972.498000924</v>
      </c>
      <c r="R65" s="73">
        <f t="shared" si="15"/>
        <v>-32239715.336058497</v>
      </c>
      <c r="S65" s="12">
        <f t="shared" si="4"/>
        <v>-0.57512093469687464</v>
      </c>
      <c r="T65" s="114">
        <f t="shared" si="5"/>
        <v>-14611605.604935382</v>
      </c>
      <c r="U65" s="73">
        <f>T65/SUMIFS(FinParameters!$L$8:$L$39,FinParameters!$B$8:$B$39,Financials!$E65,FinParameters!$C$8:$C$39,Financials!$F65)</f>
        <v>-11699927.018852754</v>
      </c>
      <c r="V65" s="73">
        <f t="shared" si="6"/>
        <v>-11699927.018852754</v>
      </c>
      <c r="W65" s="12"/>
      <c r="X65" s="73">
        <f t="shared" si="7"/>
        <v>9205959.1735804174</v>
      </c>
      <c r="Y65" s="73">
        <f t="shared" si="8"/>
        <v>-1598954.52085183</v>
      </c>
      <c r="Z65" s="73">
        <f t="shared" si="8"/>
        <v>-43939642.354911253</v>
      </c>
      <c r="AA65" s="12">
        <f t="shared" si="9"/>
        <v>-0.78383471807950622</v>
      </c>
      <c r="AB65" s="114">
        <f t="shared" si="10"/>
        <v>17564532.128883254</v>
      </c>
      <c r="AC65" s="73">
        <f>AB65/SUMIFS(FinParameters!$L$8:$L$39,FinParameters!$B$8:$B$39,Financials!$E65,FinParameters!$C$8:$C$39,Financials!$F65)</f>
        <v>14064419.036797378</v>
      </c>
      <c r="AD65" s="73">
        <f t="shared" si="11"/>
        <v>14064419.036797378</v>
      </c>
      <c r="AE65" s="12"/>
      <c r="AF65" s="73">
        <f t="shared" si="12"/>
        <v>26770491.302463673</v>
      </c>
      <c r="AG65" s="73">
        <f t="shared" si="13"/>
        <v>12465464.515945548</v>
      </c>
      <c r="AH65" s="73">
        <f t="shared" si="13"/>
        <v>-29875223.318113875</v>
      </c>
      <c r="AI65" s="12">
        <f t="shared" si="14"/>
        <v>-0.53294100707441627</v>
      </c>
      <c r="AL65" s="73">
        <f>Summary!G65</f>
        <v>-3938384.9869741341</v>
      </c>
      <c r="AM65" s="73">
        <f>IF(D65&lt;&gt;"avg",SUMIFS(Summary!$H:$H,Summary!$C:$C,Financials!C65,Summary!$E:$E,Financials!E65,Summary!$D:$D,1-Financials!D65,Summary!$F:$F,Financials!F65),SUMIFS(Summary!$H:$H,Summary!$C:$C,Financials!C65,Summary!$E:$E,Financials!E65,Summary!$D:$D,"avg",Summary!$F:$F,Financials!F65))</f>
        <v>2400154.0467617302</v>
      </c>
      <c r="AN65" s="20">
        <f>Summary!I65</f>
        <v>5120064.8421317963</v>
      </c>
      <c r="AP65" s="12">
        <v>1</v>
      </c>
    </row>
    <row r="66" spans="1:42" x14ac:dyDescent="0.3">
      <c r="A66">
        <v>62</v>
      </c>
      <c r="B66" t="str">
        <f>Summary!B66</f>
        <v>MarinusPortland</v>
      </c>
      <c r="C66" t="str">
        <f>Summary!C66</f>
        <v>Wind</v>
      </c>
      <c r="D66" s="104">
        <f>Summary!D66</f>
        <v>0.05</v>
      </c>
      <c r="E66" t="str">
        <f>Summary!E66</f>
        <v>Cal-29</v>
      </c>
      <c r="F66" t="str">
        <f>Summary!F66</f>
        <v>Wartsila dual fuel</v>
      </c>
      <c r="G66" s="73">
        <f>SUMIFS(AL$5:AL66,$F$5:$F66,$F66,$D$5:$D66,$D66)</f>
        <v>-39427960.12893483</v>
      </c>
      <c r="H66" s="73">
        <f>SUMIFS(AM$5:AM66,$F$5:$F66,$F66,$D$5:$D66,$D66)</f>
        <v>41043727.655818164</v>
      </c>
      <c r="I66" s="20">
        <f>SUMIFS(AN$5:AN66,$F$5:$F66,$F66,$D$5:$D66,$D66)</f>
        <v>29783670.462101676</v>
      </c>
      <c r="J66" s="73">
        <f t="shared" si="0"/>
        <v>29783670.462101676</v>
      </c>
      <c r="K66" s="73">
        <f t="shared" si="1"/>
        <v>-9644289.6668331549</v>
      </c>
      <c r="L66" s="73">
        <f t="shared" si="2"/>
        <v>31399437.988985009</v>
      </c>
      <c r="M66" s="73">
        <f>-SUMIFS(FinParameters!$E$8:$E$39,FinParameters!$B$8:$B$39,Financials!$E66,FinParameters!$C$8:$C$39,Financials!$F66)</f>
        <v>-14586115.900396729</v>
      </c>
      <c r="N66" s="73">
        <f>-SUMIFS(FinParameters!$F$8:$F$39,FinParameters!$B$8:$B$39,Financials!$E66,FinParameters!$C$8:$C$39,Financials!$F66)</f>
        <v>-74000000</v>
      </c>
      <c r="O66" s="73">
        <f>SUMIFS(FinParameters!$G$8:$G$39,FinParameters!$B$8:$B$39,Financials!$E66,FinParameters!$C$8:$C$39,Financials!$F66)</f>
        <v>17942719.885425702</v>
      </c>
      <c r="P66" s="73">
        <f t="shared" si="3"/>
        <v>15197554.561704947</v>
      </c>
      <c r="Q66" s="73">
        <f>P66/SUMIFS(FinParameters!$H$8:$H$39,FinParameters!$B$8:$B$39,Financials!$E66,FinParameters!$C$8:$C$39,Financials!$F66)</f>
        <v>6445246.6947049564</v>
      </c>
      <c r="R66" s="73">
        <f t="shared" si="15"/>
        <v>-40859725.55286935</v>
      </c>
      <c r="S66" s="12">
        <f t="shared" si="4"/>
        <v>-0.72889240201017624</v>
      </c>
      <c r="T66" s="114">
        <f t="shared" si="5"/>
        <v>-39427960.12893483</v>
      </c>
      <c r="U66" s="73">
        <f>T66/SUMIFS(FinParameters!$L$8:$L$39,FinParameters!$B$8:$B$39,Financials!$E66,FinParameters!$C$8:$C$39,Financials!$F66)</f>
        <v>-31571085.921930328</v>
      </c>
      <c r="V66" s="73">
        <f t="shared" si="6"/>
        <v>-31571085.921930328</v>
      </c>
      <c r="W66" s="12"/>
      <c r="X66" s="73">
        <f t="shared" si="7"/>
        <v>-24230405.567229882</v>
      </c>
      <c r="Y66" s="73">
        <f t="shared" si="8"/>
        <v>-25125839.227225371</v>
      </c>
      <c r="Z66" s="73">
        <f t="shared" si="8"/>
        <v>-72430811.474799678</v>
      </c>
      <c r="AA66" s="12">
        <f t="shared" si="9"/>
        <v>-1.292085726006682</v>
      </c>
      <c r="AB66" s="114">
        <f t="shared" si="10"/>
        <v>41043727.655818164</v>
      </c>
      <c r="AC66" s="73">
        <f>AB66/SUMIFS(FinParameters!$L$8:$L$39,FinParameters!$B$8:$B$39,Financials!$E66,FinParameters!$C$8:$C$39,Financials!$F66)</f>
        <v>32864876.80673096</v>
      </c>
      <c r="AD66" s="73">
        <f t="shared" si="11"/>
        <v>32864876.80673096</v>
      </c>
      <c r="AE66" s="12"/>
      <c r="AF66" s="73">
        <f t="shared" si="12"/>
        <v>16813322.088588282</v>
      </c>
      <c r="AG66" s="73">
        <f t="shared" si="13"/>
        <v>7739037.5795055889</v>
      </c>
      <c r="AH66" s="73">
        <f t="shared" si="13"/>
        <v>-39565934.668068722</v>
      </c>
      <c r="AI66" s="12">
        <f t="shared" si="14"/>
        <v>-0.70581260073982788</v>
      </c>
      <c r="AL66" s="73">
        <f>Summary!G66</f>
        <v>-6788811.1834711172</v>
      </c>
      <c r="AM66" s="73">
        <f>IF(D66&lt;&gt;"avg",SUMIFS(Summary!$H:$H,Summary!$C:$C,Financials!C66,Summary!$E:$E,Financials!E66,Summary!$D:$D,1-Financials!D66,Summary!$F:$F,Financials!F66),SUMIFS(Summary!$H:$H,Summary!$C:$C,Financials!C66,Summary!$E:$E,Financials!E66,Summary!$D:$D,"avg",Summary!$F:$F,Financials!F66))</f>
        <v>5771698.2735815914</v>
      </c>
      <c r="AN66" s="20">
        <f>Summary!I66</f>
        <v>4097592.1186092477</v>
      </c>
      <c r="AP66" s="12">
        <v>1</v>
      </c>
    </row>
    <row r="67" spans="1:42" x14ac:dyDescent="0.3">
      <c r="A67">
        <v>63</v>
      </c>
      <c r="B67" t="str">
        <f>Summary!B67</f>
        <v>MarinusPortland</v>
      </c>
      <c r="C67" t="str">
        <f>Summary!C67</f>
        <v>Wind</v>
      </c>
      <c r="D67" s="104">
        <f>Summary!D67</f>
        <v>0</v>
      </c>
      <c r="E67" t="str">
        <f>Summary!E67</f>
        <v>Cal-29</v>
      </c>
      <c r="F67" t="str">
        <f>Summary!F67</f>
        <v>Wartsila dual fuel</v>
      </c>
      <c r="G67" s="73">
        <f>SUMIFS(AL$5:AL67,$F$5:$F67,$F67,$D$5:$D67,$D67)</f>
        <v>-78583262.27945058</v>
      </c>
      <c r="H67" s="73">
        <f>SUMIFS(AM$5:AM67,$F$5:$F67,$F67,$D$5:$D67,$D67)</f>
        <v>89128606.171828941</v>
      </c>
      <c r="I67" s="20">
        <f>SUMIFS(AN$5:AN67,$F$5:$F67,$F67,$D$5:$D67,$D67)</f>
        <v>15679913.040570961</v>
      </c>
      <c r="J67" s="73">
        <f t="shared" si="0"/>
        <v>15679913.040570961</v>
      </c>
      <c r="K67" s="73">
        <f t="shared" si="1"/>
        <v>-62903349.238879621</v>
      </c>
      <c r="L67" s="73">
        <f t="shared" si="2"/>
        <v>26225256.932949319</v>
      </c>
      <c r="M67" s="73">
        <f>-SUMIFS(FinParameters!$E$8:$E$39,FinParameters!$B$8:$B$39,Financials!$E67,FinParameters!$C$8:$C$39,Financials!$F67)</f>
        <v>-14586115.900396729</v>
      </c>
      <c r="N67" s="73">
        <f>-SUMIFS(FinParameters!$F$8:$F$39,FinParameters!$B$8:$B$39,Financials!$E67,FinParameters!$C$8:$C$39,Financials!$F67)</f>
        <v>-74000000</v>
      </c>
      <c r="O67" s="73">
        <f>SUMIFS(FinParameters!$G$8:$G$39,FinParameters!$B$8:$B$39,Financials!$E67,FinParameters!$C$8:$C$39,Financials!$F67)</f>
        <v>17942719.885425702</v>
      </c>
      <c r="P67" s="73">
        <f t="shared" si="3"/>
        <v>1093797.1401742324</v>
      </c>
      <c r="Q67" s="73">
        <f>P67/SUMIFS(FinParameters!$H$8:$H$39,FinParameters!$B$8:$B$39,Financials!$E67,FinParameters!$C$8:$C$39,Financials!$F67)</f>
        <v>463876.76213052665</v>
      </c>
      <c r="R67" s="73">
        <f t="shared" si="15"/>
        <v>-54963482.974400058</v>
      </c>
      <c r="S67" s="12">
        <f t="shared" si="4"/>
        <v>-0.98048786637634489</v>
      </c>
      <c r="T67" s="114">
        <f t="shared" si="5"/>
        <v>-78583262.27945058</v>
      </c>
      <c r="U67" s="73">
        <f>T67/SUMIFS(FinParameters!$L$8:$L$39,FinParameters!$B$8:$B$39,Financials!$E67,FinParameters!$C$8:$C$39,Financials!$F67)</f>
        <v>-62923846.867477931</v>
      </c>
      <c r="V67" s="73">
        <f t="shared" si="6"/>
        <v>-62923846.867477931</v>
      </c>
      <c r="W67" s="12"/>
      <c r="X67" s="73">
        <f t="shared" si="7"/>
        <v>-77489465.139276356</v>
      </c>
      <c r="Y67" s="73">
        <f t="shared" si="8"/>
        <v>-62459970.105347402</v>
      </c>
      <c r="Z67" s="73">
        <f t="shared" si="8"/>
        <v>-117887329.841878</v>
      </c>
      <c r="AA67" s="12">
        <f t="shared" si="9"/>
        <v>-2.1029798377825424</v>
      </c>
      <c r="AB67" s="114">
        <f t="shared" si="10"/>
        <v>89128606.171828941</v>
      </c>
      <c r="AC67" s="73">
        <f>AB67/SUMIFS(FinParameters!$L$8:$L$39,FinParameters!$B$8:$B$39,Financials!$E67,FinParameters!$C$8:$C$39,Financials!$F67)</f>
        <v>71367802.80671142</v>
      </c>
      <c r="AD67" s="73">
        <f t="shared" si="11"/>
        <v>71367802.80671142</v>
      </c>
      <c r="AE67" s="12"/>
      <c r="AF67" s="73">
        <f t="shared" si="12"/>
        <v>11639141.032552585</v>
      </c>
      <c r="AG67" s="73">
        <f t="shared" si="13"/>
        <v>8907832.701364018</v>
      </c>
      <c r="AH67" s="73">
        <f t="shared" si="13"/>
        <v>-46519527.035166577</v>
      </c>
      <c r="AI67" s="12">
        <f t="shared" si="14"/>
        <v>-0.82985701304248605</v>
      </c>
      <c r="AL67" s="73">
        <f>Summary!G67</f>
        <v>-11147496.83599486</v>
      </c>
      <c r="AM67" s="73">
        <f>IF(D67&lt;&gt;"avg",SUMIFS(Summary!$H:$H,Summary!$C:$C,Financials!C67,Summary!$E:$E,Financials!E67,Summary!$D:$D,1-Financials!D67,Summary!$F:$F,Financials!F67),SUMIFS(Summary!$H:$H,Summary!$C:$C,Financials!C67,Summary!$E:$E,Financials!E67,Summary!$D:$D,"avg",Summary!$F:$F,Financials!F67))</f>
        <v>12214883.419456434</v>
      </c>
      <c r="AN67" s="20">
        <f>Summary!I67</f>
        <v>2052224.7994884674</v>
      </c>
      <c r="AP67" s="12">
        <v>1</v>
      </c>
    </row>
    <row r="68" spans="1:42" x14ac:dyDescent="0.3">
      <c r="A68">
        <v>64</v>
      </c>
      <c r="B68" t="str">
        <f>Summary!B68</f>
        <v>MarinusPortland</v>
      </c>
      <c r="C68" t="str">
        <f>Summary!C68</f>
        <v>Wind</v>
      </c>
      <c r="D68" s="104" t="str">
        <f>Summary!D68</f>
        <v>avg</v>
      </c>
      <c r="E68" t="str">
        <f>Summary!E68</f>
        <v>Cal-29</v>
      </c>
      <c r="F68" t="str">
        <f>Summary!F68</f>
        <v>Wartsila dual fuel</v>
      </c>
      <c r="G68" s="73">
        <f>SUMIFS(AL$5:AL68,$F$5:$F68,$F68,$D$5:$D68,$D68)</f>
        <v>13132518.685541393</v>
      </c>
      <c r="H68" s="73">
        <f>SUMIFS(AM$5:AM68,$F$5:$F68,$F68,$D$5:$D68,$D68)</f>
        <v>-956690.85095745767</v>
      </c>
      <c r="I68" s="20">
        <f>SUMIFS(AN$5:AN68,$F$5:$F68,$F68,$D$5:$D68,$D68)</f>
        <v>46095078.435706273</v>
      </c>
      <c r="J68" s="73">
        <f t="shared" si="0"/>
        <v>46095078.435706273</v>
      </c>
      <c r="K68" s="73">
        <f t="shared" si="1"/>
        <v>59227597.121247664</v>
      </c>
      <c r="L68" s="73">
        <f t="shared" si="2"/>
        <v>58270906.270290211</v>
      </c>
      <c r="M68" s="73">
        <f>-SUMIFS(FinParameters!$E$8:$E$39,FinParameters!$B$8:$B$39,Financials!$E68,FinParameters!$C$8:$C$39,Financials!$F68)</f>
        <v>-14586115.900396729</v>
      </c>
      <c r="N68" s="73">
        <f>-SUMIFS(FinParameters!$F$8:$F$39,FinParameters!$B$8:$B$39,Financials!$E68,FinParameters!$C$8:$C$39,Financials!$F68)</f>
        <v>-74000000</v>
      </c>
      <c r="O68" s="73">
        <f>SUMIFS(FinParameters!$G$8:$G$39,FinParameters!$B$8:$B$39,Financials!$E68,FinParameters!$C$8:$C$39,Financials!$F68)</f>
        <v>17942719.885425702</v>
      </c>
      <c r="P68" s="73">
        <f t="shared" si="3"/>
        <v>31508962.535309546</v>
      </c>
      <c r="Q68" s="73">
        <f>P68/SUMIFS(FinParameters!$H$8:$H$39,FinParameters!$B$8:$B$39,Financials!$E68,FinParameters!$C$8:$C$39,Financials!$F68)</f>
        <v>13362875.968612622</v>
      </c>
      <c r="R68" s="73">
        <f t="shared" si="15"/>
        <v>-24548317.579264753</v>
      </c>
      <c r="S68" s="12">
        <f t="shared" si="4"/>
        <v>-0.4379148886476647</v>
      </c>
      <c r="T68" s="114">
        <f t="shared" si="5"/>
        <v>13132518.685541393</v>
      </c>
      <c r="U68" s="73">
        <f>T68/SUMIFS(FinParameters!$L$8:$L$39,FinParameters!$B$8:$B$39,Financials!$E68,FinParameters!$C$8:$C$39,Financials!$F68)</f>
        <v>10515580.17297264</v>
      </c>
      <c r="V68" s="73">
        <f t="shared" si="6"/>
        <v>10515580.17297264</v>
      </c>
      <c r="W68" s="12"/>
      <c r="X68" s="73">
        <f t="shared" si="7"/>
        <v>44641481.220850937</v>
      </c>
      <c r="Y68" s="73">
        <f t="shared" si="8"/>
        <v>23878456.141585261</v>
      </c>
      <c r="Z68" s="73">
        <f t="shared" si="8"/>
        <v>-14032737.406292113</v>
      </c>
      <c r="AA68" s="12">
        <f t="shared" si="9"/>
        <v>-0.25032854568774821</v>
      </c>
      <c r="AB68" s="114">
        <f t="shared" si="10"/>
        <v>-956690.85095745767</v>
      </c>
      <c r="AC68" s="73">
        <f>AB68/SUMIFS(FinParameters!$L$8:$L$39,FinParameters!$B$8:$B$39,Financials!$E68,FinParameters!$C$8:$C$39,Financials!$F68)</f>
        <v>-766049.49780643161</v>
      </c>
      <c r="AD68" s="73">
        <f t="shared" si="11"/>
        <v>-766049.49780643161</v>
      </c>
      <c r="AE68" s="12"/>
      <c r="AF68" s="73">
        <f t="shared" si="12"/>
        <v>43684790.369893476</v>
      </c>
      <c r="AG68" s="73">
        <f t="shared" si="13"/>
        <v>23112406.643778831</v>
      </c>
      <c r="AH68" s="73">
        <f t="shared" si="13"/>
        <v>-14798786.904098544</v>
      </c>
      <c r="AI68" s="12">
        <f t="shared" si="14"/>
        <v>-0.26399402314653181</v>
      </c>
      <c r="AL68" s="73">
        <f>Summary!G68</f>
        <v>-1017094.1755379711</v>
      </c>
      <c r="AM68" s="73">
        <f>IF(D68&lt;&gt;"avg",SUMIFS(Summary!$H:$H,Summary!$C:$C,Financials!C68,Summary!$E:$E,Financials!E68,Summary!$D:$D,1-Financials!D68,Summary!$F:$F,Financials!F68),SUMIFS(Summary!$H:$H,Summary!$C:$C,Financials!C68,Summary!$E:$E,Financials!E68,Summary!$D:$D,"avg",Summary!$F:$F,Financials!F68))</f>
        <v>-172678.6399866314</v>
      </c>
      <c r="AN68" s="20">
        <f>Summary!I68</f>
        <v>6080932.0282908678</v>
      </c>
      <c r="AP68" s="12">
        <v>1</v>
      </c>
    </row>
    <row r="69" spans="1:42" x14ac:dyDescent="0.3">
      <c r="A69">
        <v>65</v>
      </c>
      <c r="B69" t="str">
        <f>Summary!B69</f>
        <v>MarinusPortland</v>
      </c>
      <c r="C69" t="str">
        <f>Summary!C69</f>
        <v>Wind</v>
      </c>
      <c r="D69" s="104">
        <f>Summary!D69</f>
        <v>1</v>
      </c>
      <c r="E69" t="str">
        <f>Summary!E69</f>
        <v>Cal-30</v>
      </c>
      <c r="F69" t="str">
        <f>Summary!F69</f>
        <v>Wartsila dual fuel</v>
      </c>
      <c r="G69" s="73">
        <f>SUMIFS(AL$5:AL69,$F$5:$F69,$F69,$D$5:$D69,$D69)</f>
        <v>181734256.50767341</v>
      </c>
      <c r="H69" s="73">
        <f>SUMIFS(AM$5:AM69,$F$5:$F69,$F69,$D$5:$D69,$D69)</f>
        <v>-130334466.02622616</v>
      </c>
      <c r="I69" s="20">
        <f>SUMIFS(AN$5:AN69,$F$5:$F69,$F69,$D$5:$D69,$D69)</f>
        <v>109343187.0096086</v>
      </c>
      <c r="J69" s="73">
        <f t="shared" si="0"/>
        <v>109343187.0096086</v>
      </c>
      <c r="K69" s="73">
        <f t="shared" si="1"/>
        <v>291077443.51728201</v>
      </c>
      <c r="L69" s="73">
        <f t="shared" si="2"/>
        <v>160742977.49105585</v>
      </c>
      <c r="M69" s="73">
        <f>-SUMIFS(FinParameters!$E$8:$E$39,FinParameters!$B$8:$B$39,Financials!$E69,FinParameters!$C$8:$C$39,Financials!$F69)</f>
        <v>-16404518.797906647</v>
      </c>
      <c r="N69" s="73">
        <f>-SUMIFS(FinParameters!$F$8:$F$39,FinParameters!$B$8:$B$39,Financials!$E69,FinParameters!$C$8:$C$39,Financials!$F69)</f>
        <v>-74000000</v>
      </c>
      <c r="O69" s="73">
        <f>SUMIFS(FinParameters!$G$8:$G$39,FinParameters!$B$8:$B$39,Financials!$E69,FinParameters!$C$8:$C$39,Financials!$F69)</f>
        <v>15210532.99378133</v>
      </c>
      <c r="P69" s="73">
        <f t="shared" si="3"/>
        <v>92938668.211701944</v>
      </c>
      <c r="Q69" s="73">
        <f>P69/SUMIFS(FinParameters!$H$8:$H$39,FinParameters!$B$8:$B$39,Financials!$E69,FinParameters!$C$8:$C$39,Financials!$F69)</f>
        <v>35831879.857539393</v>
      </c>
      <c r="R69" s="73">
        <f t="shared" si="15"/>
        <v>34149201.205483273</v>
      </c>
      <c r="S69" s="12">
        <f t="shared" si="4"/>
        <v>0.58087278120536479</v>
      </c>
      <c r="T69" s="114">
        <f t="shared" si="5"/>
        <v>181734256.50767341</v>
      </c>
      <c r="U69" s="73">
        <f>T69/SUMIFS(FinParameters!$L$8:$L$39,FinParameters!$B$8:$B$39,Financials!$E69,FinParameters!$C$8:$C$39,Financials!$F69)</f>
        <v>141970510.72260782</v>
      </c>
      <c r="V69" s="73">
        <f t="shared" si="6"/>
        <v>141970510.72260782</v>
      </c>
      <c r="W69" s="12"/>
      <c r="X69" s="73">
        <f t="shared" si="7"/>
        <v>274672924.71937537</v>
      </c>
      <c r="Y69" s="73">
        <f t="shared" si="8"/>
        <v>177802390.58014721</v>
      </c>
      <c r="Z69" s="73">
        <f t="shared" si="8"/>
        <v>176119711.92809111</v>
      </c>
      <c r="AA69" s="12">
        <f t="shared" si="9"/>
        <v>2.995769835937812</v>
      </c>
      <c r="AB69" s="114">
        <f t="shared" si="10"/>
        <v>-130334466.02622616</v>
      </c>
      <c r="AC69" s="73">
        <f>AB69/SUMIFS(FinParameters!$L$8:$L$39,FinParameters!$B$8:$B$39,Financials!$E69,FinParameters!$C$8:$C$39,Financials!$F69)</f>
        <v>-101817076.54946399</v>
      </c>
      <c r="AD69" s="73">
        <f t="shared" si="11"/>
        <v>-101817076.54946399</v>
      </c>
      <c r="AE69" s="12"/>
      <c r="AF69" s="73">
        <f t="shared" si="12"/>
        <v>144338458.69314921</v>
      </c>
      <c r="AG69" s="73">
        <f t="shared" si="13"/>
        <v>75985314.030683219</v>
      </c>
      <c r="AH69" s="73">
        <f t="shared" si="13"/>
        <v>74302635.378627121</v>
      </c>
      <c r="AI69" s="12">
        <f t="shared" si="14"/>
        <v>1.2638766629873934</v>
      </c>
      <c r="AL69" s="73">
        <f>Summary!G69</f>
        <v>15656147.491762327</v>
      </c>
      <c r="AM69" s="73">
        <f>IF(D69&lt;&gt;"avg",SUMIFS(Summary!$H:$H,Summary!$C:$C,Financials!C69,Summary!$E:$E,Financials!E69,Summary!$D:$D,1-Financials!D69,Summary!$F:$F,Financials!F69),SUMIFS(Summary!$H:$H,Summary!$C:$C,Financials!C69,Summary!$E:$E,Financials!E69,Summary!$D:$D,"avg",Summary!$F:$F,Financials!F69))</f>
        <v>-16844391.822619341</v>
      </c>
      <c r="AN69" s="20">
        <f>Summary!I69</f>
        <v>10963263.513034655</v>
      </c>
      <c r="AP69" s="12">
        <v>1</v>
      </c>
    </row>
    <row r="70" spans="1:42" x14ac:dyDescent="0.3">
      <c r="A70">
        <v>66</v>
      </c>
      <c r="B70" t="str">
        <f>Summary!B70</f>
        <v>MarinusPortland</v>
      </c>
      <c r="C70" t="str">
        <f>Summary!C70</f>
        <v>Wind</v>
      </c>
      <c r="D70" s="104">
        <f>Summary!D70</f>
        <v>0.95</v>
      </c>
      <c r="E70" t="str">
        <f>Summary!E70</f>
        <v>Cal-30</v>
      </c>
      <c r="F70" t="str">
        <f>Summary!F70</f>
        <v>Wartsila dual fuel</v>
      </c>
      <c r="G70" s="73">
        <f>SUMIFS(AL$5:AL70,$F$5:$F70,$F70,$D$5:$D70,$D70)</f>
        <v>90749507.669912279</v>
      </c>
      <c r="H70" s="73">
        <f>SUMIFS(AM$5:AM70,$F$5:$F70,$F70,$D$5:$D70,$D70)</f>
        <v>-54007542.173724376</v>
      </c>
      <c r="I70" s="20">
        <f>SUMIFS(AN$5:AN70,$F$5:$F70,$F70,$D$5:$D70,$D70)</f>
        <v>74949873.028303489</v>
      </c>
      <c r="J70" s="73">
        <f t="shared" ref="J70:J133" si="16">I70</f>
        <v>74949873.028303489</v>
      </c>
      <c r="K70" s="73">
        <f t="shared" ref="K70:K133" si="17">SUM(G70,I70)</f>
        <v>165699380.69821578</v>
      </c>
      <c r="L70" s="73">
        <f t="shared" ref="L70:L133" si="18">SUM(G70:I70)</f>
        <v>111691838.5244914</v>
      </c>
      <c r="M70" s="73">
        <f>-SUMIFS(FinParameters!$E$8:$E$39,FinParameters!$B$8:$B$39,Financials!$E70,FinParameters!$C$8:$C$39,Financials!$F70)</f>
        <v>-16404518.797906647</v>
      </c>
      <c r="N70" s="73">
        <f>-SUMIFS(FinParameters!$F$8:$F$39,FinParameters!$B$8:$B$39,Financials!$E70,FinParameters!$C$8:$C$39,Financials!$F70)</f>
        <v>-74000000</v>
      </c>
      <c r="O70" s="73">
        <f>SUMIFS(FinParameters!$G$8:$G$39,FinParameters!$B$8:$B$39,Financials!$E70,FinParameters!$C$8:$C$39,Financials!$F70)</f>
        <v>15210532.99378133</v>
      </c>
      <c r="P70" s="73">
        <f t="shared" ref="P70:P133" si="19">SUM(J70,M70)</f>
        <v>58545354.230396844</v>
      </c>
      <c r="Q70" s="73">
        <f>P70/SUMIFS(FinParameters!$H$8:$H$39,FinParameters!$B$8:$B$39,Financials!$E70,FinParameters!$C$8:$C$39,Financials!$F70)</f>
        <v>22571768.45080433</v>
      </c>
      <c r="R70" s="73">
        <f t="shared" si="15"/>
        <v>-244112.77582182549</v>
      </c>
      <c r="S70" s="12">
        <f t="shared" ref="S70:S133" si="20">-R70/SUM($N70,$O70)</f>
        <v>-4.1523216360509537E-3</v>
      </c>
      <c r="T70" s="114">
        <f t="shared" ref="T70:T133" si="21">G70</f>
        <v>90749507.669912279</v>
      </c>
      <c r="U70" s="73">
        <f>T70/SUMIFS(FinParameters!$L$8:$L$39,FinParameters!$B$8:$B$39,Financials!$E70,FinParameters!$C$8:$C$39,Financials!$F70)</f>
        <v>70893370.349132106</v>
      </c>
      <c r="V70" s="73">
        <f t="shared" ref="V70:V133" si="22">U70</f>
        <v>70893370.349132106</v>
      </c>
      <c r="W70" s="12"/>
      <c r="X70" s="73">
        <f t="shared" ref="X70:X133" si="23">SUM(K70,M70)</f>
        <v>149294861.90030915</v>
      </c>
      <c r="Y70" s="73">
        <f t="shared" ref="Y70:Z133" si="24">SUM(Q70,U70)</f>
        <v>93465138.799936444</v>
      </c>
      <c r="Z70" s="73">
        <f t="shared" si="24"/>
        <v>70649257.573310286</v>
      </c>
      <c r="AA70" s="12">
        <f t="shared" ref="AA70:AA133" si="25">-Z70/SUM($N70,$O70)</f>
        <v>1.2017332554798821</v>
      </c>
      <c r="AB70" s="114">
        <f t="shared" ref="AB70:AB133" si="26">H70*AP70</f>
        <v>-54007542.173724376</v>
      </c>
      <c r="AC70" s="73">
        <f>AB70/SUMIFS(FinParameters!$L$8:$L$39,FinParameters!$B$8:$B$39,Financials!$E70,FinParameters!$C$8:$C$39,Financials!$F70)</f>
        <v>-42190605.627248295</v>
      </c>
      <c r="AD70" s="73">
        <f t="shared" ref="AD70:AD133" si="27">AC70</f>
        <v>-42190605.627248295</v>
      </c>
      <c r="AE70" s="12"/>
      <c r="AF70" s="73">
        <f t="shared" ref="AF70:AF133" si="28">X70+AB70</f>
        <v>95287319.726584762</v>
      </c>
      <c r="AG70" s="73">
        <f t="shared" ref="AG70:AH133" si="29">Y70+AC70</f>
        <v>51274533.172688149</v>
      </c>
      <c r="AH70" s="73">
        <f t="shared" si="29"/>
        <v>28458651.946061991</v>
      </c>
      <c r="AI70" s="12">
        <f t="shared" ref="AI70:AI133" si="30">-AH70/SUM($N70,$O70)</f>
        <v>0.48407739337136146</v>
      </c>
      <c r="AL70" s="73">
        <f>Summary!G70</f>
        <v>7148719.1713374928</v>
      </c>
      <c r="AM70" s="73">
        <f>IF(D70&lt;&gt;"avg",SUMIFS(Summary!$H:$H,Summary!$C:$C,Financials!C70,Summary!$E:$E,Financials!E70,Summary!$D:$D,1-Financials!D70,Summary!$F:$F,Financials!F70),SUMIFS(Summary!$H:$H,Summary!$C:$C,Financials!C70,Summary!$E:$E,Financials!E70,Summary!$D:$D,"avg",Summary!$F:$F,Financials!F70))</f>
        <v>-7185939.2630695021</v>
      </c>
      <c r="AN70" s="20">
        <f>Summary!I70</f>
        <v>8471758.5748681761</v>
      </c>
      <c r="AP70" s="12">
        <v>1</v>
      </c>
    </row>
    <row r="71" spans="1:42" x14ac:dyDescent="0.3">
      <c r="A71">
        <v>67</v>
      </c>
      <c r="B71" t="str">
        <f>Summary!B71</f>
        <v>MarinusPortland</v>
      </c>
      <c r="C71" t="str">
        <f>Summary!C71</f>
        <v>Wind</v>
      </c>
      <c r="D71" s="104">
        <f>Summary!D71</f>
        <v>0.75</v>
      </c>
      <c r="E71" t="str">
        <f>Summary!E71</f>
        <v>Cal-30</v>
      </c>
      <c r="F71" t="str">
        <f>Summary!F71</f>
        <v>Wartsila dual fuel</v>
      </c>
      <c r="G71" s="73">
        <f>SUMIFS(AL$5:AL71,$F$5:$F71,$F71,$D$5:$D71,$D71)</f>
        <v>39052913.996239237</v>
      </c>
      <c r="H71" s="73">
        <f>SUMIFS(AM$5:AM71,$F$5:$F71,$F71,$D$5:$D71,$D71)</f>
        <v>-21210834.996656936</v>
      </c>
      <c r="I71" s="20">
        <f>SUMIFS(AN$5:AN71,$F$5:$F71,$F71,$D$5:$D71,$D71)</f>
        <v>59709195.270368293</v>
      </c>
      <c r="J71" s="73">
        <f t="shared" si="16"/>
        <v>59709195.270368293</v>
      </c>
      <c r="K71" s="73">
        <f t="shared" si="17"/>
        <v>98762109.266607523</v>
      </c>
      <c r="L71" s="73">
        <f t="shared" si="18"/>
        <v>77551274.269950598</v>
      </c>
      <c r="M71" s="73">
        <f>-SUMIFS(FinParameters!$E$8:$E$39,FinParameters!$B$8:$B$39,Financials!$E71,FinParameters!$C$8:$C$39,Financials!$F71)</f>
        <v>-16404518.797906647</v>
      </c>
      <c r="N71" s="73">
        <f>-SUMIFS(FinParameters!$F$8:$F$39,FinParameters!$B$8:$B$39,Financials!$E71,FinParameters!$C$8:$C$39,Financials!$F71)</f>
        <v>-74000000</v>
      </c>
      <c r="O71" s="73">
        <f>SUMIFS(FinParameters!$G$8:$G$39,FinParameters!$B$8:$B$39,Financials!$E71,FinParameters!$C$8:$C$39,Financials!$F71)</f>
        <v>15210532.99378133</v>
      </c>
      <c r="P71" s="73">
        <f t="shared" si="19"/>
        <v>43304676.472461648</v>
      </c>
      <c r="Q71" s="73">
        <f>P71/SUMIFS(FinParameters!$H$8:$H$39,FinParameters!$B$8:$B$39,Financials!$E71,FinParameters!$C$8:$C$39,Financials!$F71)</f>
        <v>16695827.4148745</v>
      </c>
      <c r="R71" s="73">
        <f t="shared" ref="R71:R134" si="31">SUM(P71,N71:O71)</f>
        <v>-15484790.533757022</v>
      </c>
      <c r="S71" s="12">
        <f t="shared" si="20"/>
        <v>-0.26339396021602068</v>
      </c>
      <c r="T71" s="114">
        <f t="shared" si="21"/>
        <v>39052913.996239237</v>
      </c>
      <c r="U71" s="73">
        <f>T71/SUMIFS(FinParameters!$L$8:$L$39,FinParameters!$B$8:$B$39,Financials!$E71,FinParameters!$C$8:$C$39,Financials!$F71)</f>
        <v>30508073.996594381</v>
      </c>
      <c r="V71" s="73">
        <f t="shared" si="22"/>
        <v>30508073.996594381</v>
      </c>
      <c r="W71" s="12"/>
      <c r="X71" s="73">
        <f t="shared" si="23"/>
        <v>82357590.468700871</v>
      </c>
      <c r="Y71" s="73">
        <f t="shared" si="24"/>
        <v>47203901.411468878</v>
      </c>
      <c r="Z71" s="73">
        <f t="shared" si="24"/>
        <v>15023283.462837359</v>
      </c>
      <c r="AA71" s="12">
        <f t="shared" si="25"/>
        <v>0.25554379428628288</v>
      </c>
      <c r="AB71" s="114">
        <f t="shared" si="26"/>
        <v>-21210834.996656936</v>
      </c>
      <c r="AC71" s="73">
        <f>AB71/SUMIFS(FinParameters!$L$8:$L$39,FinParameters!$B$8:$B$39,Financials!$E71,FinParameters!$C$8:$C$39,Financials!$F71)</f>
        <v>-16569870.398656521</v>
      </c>
      <c r="AD71" s="73">
        <f t="shared" si="27"/>
        <v>-16569870.398656521</v>
      </c>
      <c r="AE71" s="12"/>
      <c r="AF71" s="73">
        <f t="shared" si="28"/>
        <v>61146755.472043931</v>
      </c>
      <c r="AG71" s="73">
        <f t="shared" si="29"/>
        <v>30634031.012812357</v>
      </c>
      <c r="AH71" s="73">
        <f t="shared" si="29"/>
        <v>-1546586.9358191621</v>
      </c>
      <c r="AI71" s="12">
        <f t="shared" si="30"/>
        <v>-2.6307211386277174E-2</v>
      </c>
      <c r="AL71" s="73">
        <f>Summary!G71</f>
        <v>1632475.7398351033</v>
      </c>
      <c r="AM71" s="73">
        <f>IF(D71&lt;&gt;"avg",SUMIFS(Summary!$H:$H,Summary!$C:$C,Financials!C71,Summary!$E:$E,Financials!E71,Summary!$D:$D,1-Financials!D71,Summary!$F:$F,Financials!F71),SUMIFS(Summary!$H:$H,Summary!$C:$C,Financials!C71,Summary!$E:$E,Financials!E71,Summary!$D:$D,"avg",Summary!$F:$F,Financials!F71))</f>
        <v>-2825250.8715586932</v>
      </c>
      <c r="AN71" s="20">
        <f>Summary!I71</f>
        <v>6814363.8715119809</v>
      </c>
      <c r="AP71" s="12">
        <v>1</v>
      </c>
    </row>
    <row r="72" spans="1:42" x14ac:dyDescent="0.3">
      <c r="A72">
        <v>68</v>
      </c>
      <c r="B72" t="str">
        <f>Summary!B72</f>
        <v>MarinusPortland</v>
      </c>
      <c r="C72" t="str">
        <f>Summary!C72</f>
        <v>Wind</v>
      </c>
      <c r="D72" s="104">
        <f>Summary!D72</f>
        <v>0.5</v>
      </c>
      <c r="E72" t="str">
        <f>Summary!E72</f>
        <v>Cal-30</v>
      </c>
      <c r="F72" t="str">
        <f>Summary!F72</f>
        <v>Wartsila dual fuel</v>
      </c>
      <c r="G72" s="73">
        <f>SUMIFS(AL$5:AL72,$F$5:$F72,$F72,$D$5:$D72,$D72)</f>
        <v>5065669.7204070073</v>
      </c>
      <c r="H72" s="73">
        <f>SUMIFS(AM$5:AM72,$F$5:$F72,$F72,$D$5:$D72,$D72)</f>
        <v>256714.95428879376</v>
      </c>
      <c r="I72" s="20">
        <f>SUMIFS(AN$5:AN72,$F$5:$F72,$F72,$D$5:$D72,$D72)</f>
        <v>50996205.377688378</v>
      </c>
      <c r="J72" s="73">
        <f t="shared" si="16"/>
        <v>50996205.377688378</v>
      </c>
      <c r="K72" s="73">
        <f t="shared" si="17"/>
        <v>56061875.098095387</v>
      </c>
      <c r="L72" s="73">
        <f t="shared" si="18"/>
        <v>56318590.052384183</v>
      </c>
      <c r="M72" s="73">
        <f>-SUMIFS(FinParameters!$E$8:$E$39,FinParameters!$B$8:$B$39,Financials!$E72,FinParameters!$C$8:$C$39,Financials!$F72)</f>
        <v>-16404518.797906647</v>
      </c>
      <c r="N72" s="73">
        <f>-SUMIFS(FinParameters!$F$8:$F$39,FinParameters!$B$8:$B$39,Financials!$E72,FinParameters!$C$8:$C$39,Financials!$F72)</f>
        <v>-74000000</v>
      </c>
      <c r="O72" s="73">
        <f>SUMIFS(FinParameters!$G$8:$G$39,FinParameters!$B$8:$B$39,Financials!$E72,FinParameters!$C$8:$C$39,Financials!$F72)</f>
        <v>15210532.99378133</v>
      </c>
      <c r="P72" s="73">
        <f t="shared" si="19"/>
        <v>34591686.579781733</v>
      </c>
      <c r="Q72" s="73">
        <f>P72/SUMIFS(FinParameters!$H$8:$H$39,FinParameters!$B$8:$B$39,Financials!$E72,FinParameters!$C$8:$C$39,Financials!$F72)</f>
        <v>13336592.630884426</v>
      </c>
      <c r="R72" s="73">
        <f t="shared" si="31"/>
        <v>-24197780.426436938</v>
      </c>
      <c r="S72" s="12">
        <f t="shared" si="20"/>
        <v>-0.41160060906620111</v>
      </c>
      <c r="T72" s="114">
        <f t="shared" si="21"/>
        <v>5065669.7204070073</v>
      </c>
      <c r="U72" s="73">
        <f>T72/SUMIFS(FinParameters!$L$8:$L$39,FinParameters!$B$8:$B$39,Financials!$E72,FinParameters!$C$8:$C$39,Financials!$F72)</f>
        <v>3957293.0892523662</v>
      </c>
      <c r="V72" s="73">
        <f t="shared" si="22"/>
        <v>3957293.0892523662</v>
      </c>
      <c r="W72" s="12"/>
      <c r="X72" s="73">
        <f t="shared" si="23"/>
        <v>39657356.300188743</v>
      </c>
      <c r="Y72" s="73">
        <f t="shared" si="24"/>
        <v>17293885.720136791</v>
      </c>
      <c r="Z72" s="73">
        <f t="shared" si="24"/>
        <v>-20240487.337184571</v>
      </c>
      <c r="AA72" s="12">
        <f t="shared" si="25"/>
        <v>-0.34428764824562125</v>
      </c>
      <c r="AB72" s="114">
        <f t="shared" si="26"/>
        <v>256714.95428879376</v>
      </c>
      <c r="AC72" s="73">
        <f>AB72/SUMIFS(FinParameters!$L$8:$L$39,FinParameters!$B$8:$B$39,Financials!$E72,FinParameters!$C$8:$C$39,Financials!$F72)</f>
        <v>200545.31198949885</v>
      </c>
      <c r="AD72" s="73">
        <f t="shared" si="27"/>
        <v>200545.31198949885</v>
      </c>
      <c r="AE72" s="12"/>
      <c r="AF72" s="73">
        <f t="shared" si="28"/>
        <v>39914071.254477538</v>
      </c>
      <c r="AG72" s="73">
        <f t="shared" si="29"/>
        <v>17494431.032126289</v>
      </c>
      <c r="AH72" s="73">
        <f t="shared" si="29"/>
        <v>-20039942.025195073</v>
      </c>
      <c r="AI72" s="12">
        <f t="shared" si="30"/>
        <v>-0.34087640262285884</v>
      </c>
      <c r="AL72" s="73">
        <f>Summary!G72</f>
        <v>-1639773.4038182318</v>
      </c>
      <c r="AM72" s="73">
        <f>IF(D72&lt;&gt;"avg",SUMIFS(Summary!$H:$H,Summary!$C:$C,Financials!C72,Summary!$E:$E,Financials!E72,Summary!$D:$D,1-Financials!D72,Summary!$F:$F,Financials!F72),SUMIFS(Summary!$H:$H,Summary!$C:$C,Financials!C72,Summary!$E:$E,Financials!E72,Summary!$D:$D,"avg",Summary!$F:$F,Financials!F72))</f>
        <v>-700.95791172732049</v>
      </c>
      <c r="AN72" s="20">
        <f>Summary!I72</f>
        <v>5869058.3176879687</v>
      </c>
      <c r="AP72" s="12">
        <v>1</v>
      </c>
    </row>
    <row r="73" spans="1:42" x14ac:dyDescent="0.3">
      <c r="A73">
        <v>69</v>
      </c>
      <c r="B73" t="str">
        <f>Summary!B73</f>
        <v>MarinusPortland</v>
      </c>
      <c r="C73" t="str">
        <f>Summary!C73</f>
        <v>Wind</v>
      </c>
      <c r="D73" s="104">
        <f>Summary!D73</f>
        <v>0.25</v>
      </c>
      <c r="E73" t="str">
        <f>Summary!E73</f>
        <v>Cal-30</v>
      </c>
      <c r="F73" t="str">
        <f>Summary!F73</f>
        <v>Wartsila dual fuel</v>
      </c>
      <c r="G73" s="73">
        <f>SUMIFS(AL$5:AL73,$F$5:$F73,$F73,$D$5:$D73,$D73)</f>
        <v>-18793427.677708417</v>
      </c>
      <c r="H73" s="73">
        <f>SUMIFS(AM$5:AM73,$F$5:$F73,$F73,$D$5:$D73,$D73)</f>
        <v>20139124.081415772</v>
      </c>
      <c r="I73" s="20">
        <f>SUMIFS(AN$5:AN73,$F$5:$F73,$F73,$D$5:$D73,$D73)</f>
        <v>43422011.177478708</v>
      </c>
      <c r="J73" s="73">
        <f t="shared" si="16"/>
        <v>43422011.177478708</v>
      </c>
      <c r="K73" s="73">
        <f t="shared" si="17"/>
        <v>24628583.499770291</v>
      </c>
      <c r="L73" s="73">
        <f t="shared" si="18"/>
        <v>44767707.581186064</v>
      </c>
      <c r="M73" s="73">
        <f>-SUMIFS(FinParameters!$E$8:$E$39,FinParameters!$B$8:$B$39,Financials!$E73,FinParameters!$C$8:$C$39,Financials!$F73)</f>
        <v>-16404518.797906647</v>
      </c>
      <c r="N73" s="73">
        <f>-SUMIFS(FinParameters!$F$8:$F$39,FinParameters!$B$8:$B$39,Financials!$E73,FinParameters!$C$8:$C$39,Financials!$F73)</f>
        <v>-74000000</v>
      </c>
      <c r="O73" s="73">
        <f>SUMIFS(FinParameters!$G$8:$G$39,FinParameters!$B$8:$B$39,Financials!$E73,FinParameters!$C$8:$C$39,Financials!$F73)</f>
        <v>15210532.99378133</v>
      </c>
      <c r="P73" s="73">
        <f t="shared" si="19"/>
        <v>27017492.379572064</v>
      </c>
      <c r="Q73" s="73">
        <f>P73/SUMIFS(FinParameters!$H$8:$H$39,FinParameters!$B$8:$B$39,Financials!$E73,FinParameters!$C$8:$C$39,Financials!$F73)</f>
        <v>10416412.88415751</v>
      </c>
      <c r="R73" s="73">
        <f t="shared" si="31"/>
        <v>-31771974.626646608</v>
      </c>
      <c r="S73" s="12">
        <f t="shared" si="20"/>
        <v>-0.54043651430426831</v>
      </c>
      <c r="T73" s="114">
        <f t="shared" si="21"/>
        <v>-18793427.677708417</v>
      </c>
      <c r="U73" s="73">
        <f>T73/SUMIFS(FinParameters!$L$8:$L$39,FinParameters!$B$8:$B$39,Financials!$E73,FinParameters!$C$8:$C$39,Financials!$F73)</f>
        <v>-14681395.664773863</v>
      </c>
      <c r="V73" s="73">
        <f t="shared" si="22"/>
        <v>-14681395.664773863</v>
      </c>
      <c r="W73" s="12"/>
      <c r="X73" s="73">
        <f t="shared" si="23"/>
        <v>8224064.7018636446</v>
      </c>
      <c r="Y73" s="73">
        <f t="shared" si="24"/>
        <v>-4264982.7806163523</v>
      </c>
      <c r="Z73" s="73">
        <f t="shared" si="24"/>
        <v>-46453370.291420475</v>
      </c>
      <c r="AA73" s="12">
        <f t="shared" si="25"/>
        <v>-0.79016484851796154</v>
      </c>
      <c r="AB73" s="114">
        <f t="shared" si="26"/>
        <v>20139124.081415772</v>
      </c>
      <c r="AC73" s="73">
        <f>AB73/SUMIFS(FinParameters!$L$8:$L$39,FinParameters!$B$8:$B$39,Financials!$E73,FinParameters!$C$8:$C$39,Financials!$F73)</f>
        <v>15732651.544558108</v>
      </c>
      <c r="AD73" s="73">
        <f t="shared" si="27"/>
        <v>15732651.544558108</v>
      </c>
      <c r="AE73" s="12"/>
      <c r="AF73" s="73">
        <f t="shared" si="28"/>
        <v>28363188.783279419</v>
      </c>
      <c r="AG73" s="73">
        <f t="shared" si="29"/>
        <v>11467668.763941756</v>
      </c>
      <c r="AH73" s="73">
        <f t="shared" si="29"/>
        <v>-30720718.746862367</v>
      </c>
      <c r="AI73" s="12">
        <f t="shared" si="30"/>
        <v>-0.522554809752107</v>
      </c>
      <c r="AL73" s="73">
        <f>Summary!G73</f>
        <v>-4181822.0727730361</v>
      </c>
      <c r="AM73" s="73">
        <f>IF(D73&lt;&gt;"avg",SUMIFS(Summary!$H:$H,Summary!$C:$C,Financials!C73,Summary!$E:$E,Financials!E73,Summary!$D:$D,1-Financials!D73,Summary!$F:$F,Financials!F73),SUMIFS(Summary!$H:$H,Summary!$C:$C,Financials!C73,Summary!$E:$E,Financials!E73,Summary!$D:$D,"avg",Summary!$F:$F,Financials!F73))</f>
        <v>2574591.9525325187</v>
      </c>
      <c r="AN73" s="20">
        <f>Summary!I73</f>
        <v>5018330.4985661814</v>
      </c>
      <c r="AP73" s="12">
        <v>1</v>
      </c>
    </row>
    <row r="74" spans="1:42" x14ac:dyDescent="0.3">
      <c r="A74">
        <v>70</v>
      </c>
      <c r="B74" t="str">
        <f>Summary!B74</f>
        <v>MarinusPortland</v>
      </c>
      <c r="C74" t="str">
        <f>Summary!C74</f>
        <v>Wind</v>
      </c>
      <c r="D74" s="104">
        <f>Summary!D74</f>
        <v>0.05</v>
      </c>
      <c r="E74" t="str">
        <f>Summary!E74</f>
        <v>Cal-30</v>
      </c>
      <c r="F74" t="str">
        <f>Summary!F74</f>
        <v>Wartsila dual fuel</v>
      </c>
      <c r="G74" s="73">
        <f>SUMIFS(AL$5:AL74,$F$5:$F74,$F74,$D$5:$D74,$D74)</f>
        <v>-46991604.301486775</v>
      </c>
      <c r="H74" s="73">
        <f>SUMIFS(AM$5:AM74,$F$5:$F74,$F74,$D$5:$D74,$D74)</f>
        <v>46941266.188538857</v>
      </c>
      <c r="I74" s="20">
        <f>SUMIFS(AN$5:AN74,$F$5:$F74,$F74,$D$5:$D74,$D74)</f>
        <v>33686600.13015493</v>
      </c>
      <c r="J74" s="73">
        <f t="shared" si="16"/>
        <v>33686600.13015493</v>
      </c>
      <c r="K74" s="73">
        <f t="shared" si="17"/>
        <v>-13305004.171331845</v>
      </c>
      <c r="L74" s="73">
        <f t="shared" si="18"/>
        <v>33636262.017207012</v>
      </c>
      <c r="M74" s="73">
        <f>-SUMIFS(FinParameters!$E$8:$E$39,FinParameters!$B$8:$B$39,Financials!$E74,FinParameters!$C$8:$C$39,Financials!$F74)</f>
        <v>-16404518.797906647</v>
      </c>
      <c r="N74" s="73">
        <f>-SUMIFS(FinParameters!$F$8:$F$39,FinParameters!$B$8:$B$39,Financials!$E74,FinParameters!$C$8:$C$39,Financials!$F74)</f>
        <v>-74000000</v>
      </c>
      <c r="O74" s="73">
        <f>SUMIFS(FinParameters!$G$8:$G$39,FinParameters!$B$8:$B$39,Financials!$E74,FinParameters!$C$8:$C$39,Financials!$F74)</f>
        <v>15210532.99378133</v>
      </c>
      <c r="P74" s="73">
        <f t="shared" si="19"/>
        <v>17282081.332248285</v>
      </c>
      <c r="Q74" s="73">
        <f>P74/SUMIFS(FinParameters!$H$8:$H$39,FinParameters!$B$8:$B$39,Financials!$E74,FinParameters!$C$8:$C$39,Financials!$F74)</f>
        <v>6662990.4850237025</v>
      </c>
      <c r="R74" s="73">
        <f t="shared" si="31"/>
        <v>-41507385.673970386</v>
      </c>
      <c r="S74" s="12">
        <f t="shared" si="20"/>
        <v>-0.70603439336471263</v>
      </c>
      <c r="T74" s="114">
        <f t="shared" si="21"/>
        <v>-46991604.301486775</v>
      </c>
      <c r="U74" s="73">
        <f>T74/SUMIFS(FinParameters!$L$8:$L$39,FinParameters!$B$8:$B$39,Financials!$E74,FinParameters!$C$8:$C$39,Financials!$F74)</f>
        <v>-36709766.174849287</v>
      </c>
      <c r="V74" s="73">
        <f t="shared" si="22"/>
        <v>-36709766.174849287</v>
      </c>
      <c r="W74" s="12"/>
      <c r="X74" s="73">
        <f t="shared" si="23"/>
        <v>-29709522.96923849</v>
      </c>
      <c r="Y74" s="73">
        <f t="shared" si="24"/>
        <v>-30046775.689825583</v>
      </c>
      <c r="Z74" s="73">
        <f t="shared" si="24"/>
        <v>-78217151.848819673</v>
      </c>
      <c r="AA74" s="12">
        <f t="shared" si="25"/>
        <v>-1.3304619999454319</v>
      </c>
      <c r="AB74" s="114">
        <f t="shared" si="26"/>
        <v>46941266.188538857</v>
      </c>
      <c r="AC74" s="73">
        <f>AB74/SUMIFS(FinParameters!$L$8:$L$39,FinParameters!$B$8:$B$39,Financials!$E74,FinParameters!$C$8:$C$39,Financials!$F74)</f>
        <v>36670442.121468477</v>
      </c>
      <c r="AD74" s="73">
        <f t="shared" si="27"/>
        <v>36670442.121468477</v>
      </c>
      <c r="AE74" s="12"/>
      <c r="AF74" s="73">
        <f t="shared" si="28"/>
        <v>17231743.219300367</v>
      </c>
      <c r="AG74" s="73">
        <f t="shared" si="29"/>
        <v>6623666.4316428937</v>
      </c>
      <c r="AH74" s="73">
        <f t="shared" si="29"/>
        <v>-41546709.727351196</v>
      </c>
      <c r="AI74" s="12">
        <f t="shared" si="30"/>
        <v>-0.70670328960384077</v>
      </c>
      <c r="AL74" s="73">
        <f>Summary!G74</f>
        <v>-7563644.1725519486</v>
      </c>
      <c r="AM74" s="73">
        <f>IF(D74&lt;&gt;"avg",SUMIFS(Summary!$H:$H,Summary!$C:$C,Financials!C74,Summary!$E:$E,Financials!E74,Summary!$D:$D,1-Financials!D74,Summary!$F:$F,Financials!F74),SUMIFS(Summary!$H:$H,Summary!$C:$C,Financials!C74,Summary!$E:$E,Financials!E74,Summary!$D:$D,"avg",Summary!$F:$F,Financials!F74))</f>
        <v>5897538.5327206925</v>
      </c>
      <c r="AN74" s="20">
        <f>Summary!I74</f>
        <v>3902929.6680532512</v>
      </c>
      <c r="AP74" s="12">
        <v>1</v>
      </c>
    </row>
    <row r="75" spans="1:42" x14ac:dyDescent="0.3">
      <c r="A75">
        <v>71</v>
      </c>
      <c r="B75" t="str">
        <f>Summary!B75</f>
        <v>MarinusPortland</v>
      </c>
      <c r="C75" t="str">
        <f>Summary!C75</f>
        <v>Wind</v>
      </c>
      <c r="D75" s="104">
        <f>Summary!D75</f>
        <v>0</v>
      </c>
      <c r="E75" t="str">
        <f>Summary!E75</f>
        <v>Cal-30</v>
      </c>
      <c r="F75" t="str">
        <f>Summary!F75</f>
        <v>Wartsila dual fuel</v>
      </c>
      <c r="G75" s="73">
        <f>SUMIFS(AL$5:AL75,$F$5:$F75,$F75,$D$5:$D75,$D75)</f>
        <v>-89507083.268514484</v>
      </c>
      <c r="H75" s="73">
        <f>SUMIFS(AM$5:AM75,$F$5:$F75,$F75,$D$5:$D75,$D75)</f>
        <v>100726250.4022548</v>
      </c>
      <c r="I75" s="20">
        <f>SUMIFS(AN$5:AN75,$F$5:$F75,$F75,$D$5:$D75,$D75)</f>
        <v>18003355.812418457</v>
      </c>
      <c r="J75" s="73">
        <f t="shared" si="16"/>
        <v>18003355.812418457</v>
      </c>
      <c r="K75" s="73">
        <f t="shared" si="17"/>
        <v>-71503727.456096023</v>
      </c>
      <c r="L75" s="73">
        <f t="shared" si="18"/>
        <v>29222522.946158778</v>
      </c>
      <c r="M75" s="73">
        <f>-SUMIFS(FinParameters!$E$8:$E$39,FinParameters!$B$8:$B$39,Financials!$E75,FinParameters!$C$8:$C$39,Financials!$F75)</f>
        <v>-16404518.797906647</v>
      </c>
      <c r="N75" s="73">
        <f>-SUMIFS(FinParameters!$F$8:$F$39,FinParameters!$B$8:$B$39,Financials!$E75,FinParameters!$C$8:$C$39,Financials!$F75)</f>
        <v>-74000000</v>
      </c>
      <c r="O75" s="73">
        <f>SUMIFS(FinParameters!$G$8:$G$39,FinParameters!$B$8:$B$39,Financials!$E75,FinParameters!$C$8:$C$39,Financials!$F75)</f>
        <v>15210532.99378133</v>
      </c>
      <c r="P75" s="73">
        <f t="shared" si="19"/>
        <v>1598837.0145118106</v>
      </c>
      <c r="Q75" s="73">
        <f>P75/SUMIFS(FinParameters!$H$8:$H$39,FinParameters!$B$8:$B$39,Financials!$E75,FinParameters!$C$8:$C$39,Financials!$F75)</f>
        <v>616420.88183657487</v>
      </c>
      <c r="R75" s="73">
        <f t="shared" si="31"/>
        <v>-57190629.991706863</v>
      </c>
      <c r="S75" s="12">
        <f t="shared" si="20"/>
        <v>-0.97280402262632037</v>
      </c>
      <c r="T75" s="114">
        <f t="shared" si="21"/>
        <v>-89507083.268514484</v>
      </c>
      <c r="U75" s="73">
        <f>T75/SUMIFS(FinParameters!$L$8:$L$39,FinParameters!$B$8:$B$39,Financials!$E75,FinParameters!$C$8:$C$39,Financials!$F75)</f>
        <v>-69922790.392495111</v>
      </c>
      <c r="V75" s="73">
        <f t="shared" si="22"/>
        <v>-69922790.392495111</v>
      </c>
      <c r="W75" s="12"/>
      <c r="X75" s="73">
        <f t="shared" si="23"/>
        <v>-87908246.254002675</v>
      </c>
      <c r="Y75" s="73">
        <f t="shared" si="24"/>
        <v>-69306369.510658532</v>
      </c>
      <c r="Z75" s="73">
        <f t="shared" si="24"/>
        <v>-127113420.38420197</v>
      </c>
      <c r="AA75" s="12">
        <f t="shared" si="25"/>
        <v>-2.1621801805203655</v>
      </c>
      <c r="AB75" s="114">
        <f t="shared" si="26"/>
        <v>100726250.4022548</v>
      </c>
      <c r="AC75" s="73">
        <f>AB75/SUMIFS(FinParameters!$L$8:$L$39,FinParameters!$B$8:$B$39,Financials!$E75,FinParameters!$C$8:$C$39,Financials!$F75)</f>
        <v>78687185.826066852</v>
      </c>
      <c r="AD75" s="73">
        <f t="shared" si="27"/>
        <v>78687185.826066852</v>
      </c>
      <c r="AE75" s="12"/>
      <c r="AF75" s="73">
        <f t="shared" si="28"/>
        <v>12818004.14825213</v>
      </c>
      <c r="AG75" s="73">
        <f t="shared" si="29"/>
        <v>9380816.3154083192</v>
      </c>
      <c r="AH75" s="73">
        <f t="shared" si="29"/>
        <v>-48426234.558135122</v>
      </c>
      <c r="AI75" s="12">
        <f t="shared" si="30"/>
        <v>-0.82372297324982824</v>
      </c>
      <c r="AL75" s="73">
        <f>Summary!G75</f>
        <v>-10923820.989063902</v>
      </c>
      <c r="AM75" s="73">
        <f>IF(D75&lt;&gt;"avg",SUMIFS(Summary!$H:$H,Summary!$C:$C,Financials!C75,Summary!$E:$E,Financials!E75,Summary!$D:$D,1-Financials!D75,Summary!$F:$F,Financials!F75),SUMIFS(Summary!$H:$H,Summary!$C:$C,Financials!C75,Summary!$E:$E,Financials!E75,Summary!$D:$D,"avg",Summary!$F:$F,Financials!F75))</f>
        <v>11597644.230425859</v>
      </c>
      <c r="AN75" s="20">
        <f>Summary!I75</f>
        <v>2323442.7718474972</v>
      </c>
      <c r="AP75" s="12">
        <v>1</v>
      </c>
    </row>
    <row r="76" spans="1:42" x14ac:dyDescent="0.3">
      <c r="A76">
        <v>72</v>
      </c>
      <c r="B76" t="str">
        <f>Summary!B76</f>
        <v>MarinusPortland</v>
      </c>
      <c r="C76" t="str">
        <f>Summary!C76</f>
        <v>Wind</v>
      </c>
      <c r="D76" s="104" t="str">
        <f>Summary!D76</f>
        <v>avg</v>
      </c>
      <c r="E76" t="str">
        <f>Summary!E76</f>
        <v>Cal-30</v>
      </c>
      <c r="F76" t="str">
        <f>Summary!F76</f>
        <v>Wartsila dual fuel</v>
      </c>
      <c r="G76" s="73">
        <f>SUMIFS(AL$5:AL76,$F$5:$F76,$F76,$D$5:$D76,$D76)</f>
        <v>12038840.809244731</v>
      </c>
      <c r="H76" s="73">
        <f>SUMIFS(AM$5:AM76,$F$5:$F76,$F76,$D$5:$D76,$D76)</f>
        <v>-1176843.1437183905</v>
      </c>
      <c r="I76" s="20">
        <f>SUMIFS(AN$5:AN76,$F$5:$F76,$F76,$D$5:$D76,$D76)</f>
        <v>52064473.200316593</v>
      </c>
      <c r="J76" s="73">
        <f t="shared" si="16"/>
        <v>52064473.200316593</v>
      </c>
      <c r="K76" s="73">
        <f t="shared" si="17"/>
        <v>64103314.009561323</v>
      </c>
      <c r="L76" s="73">
        <f t="shared" si="18"/>
        <v>62926470.865842938</v>
      </c>
      <c r="M76" s="73">
        <f>-SUMIFS(FinParameters!$E$8:$E$39,FinParameters!$B$8:$B$39,Financials!$E76,FinParameters!$C$8:$C$39,Financials!$F76)</f>
        <v>-16404518.797906647</v>
      </c>
      <c r="N76" s="73">
        <f>-SUMIFS(FinParameters!$F$8:$F$39,FinParameters!$B$8:$B$39,Financials!$E76,FinParameters!$C$8:$C$39,Financials!$F76)</f>
        <v>-74000000</v>
      </c>
      <c r="O76" s="73">
        <f>SUMIFS(FinParameters!$G$8:$G$39,FinParameters!$B$8:$B$39,Financials!$E76,FinParameters!$C$8:$C$39,Financials!$F76)</f>
        <v>15210532.99378133</v>
      </c>
      <c r="P76" s="73">
        <f t="shared" si="19"/>
        <v>35659954.402409948</v>
      </c>
      <c r="Q76" s="73">
        <f>P76/SUMIFS(FinParameters!$H$8:$H$39,FinParameters!$B$8:$B$39,Financials!$E76,FinParameters!$C$8:$C$39,Financials!$F76)</f>
        <v>13748456.121212231</v>
      </c>
      <c r="R76" s="73">
        <f t="shared" si="31"/>
        <v>-23129512.603808723</v>
      </c>
      <c r="S76" s="12">
        <f t="shared" si="20"/>
        <v>-0.39342953392249863</v>
      </c>
      <c r="T76" s="114">
        <f t="shared" si="21"/>
        <v>12038840.809244731</v>
      </c>
      <c r="U76" s="73">
        <f>T76/SUMIFS(FinParameters!$L$8:$L$39,FinParameters!$B$8:$B$39,Financials!$E76,FinParameters!$C$8:$C$39,Financials!$F76)</f>
        <v>9404723.1988124456</v>
      </c>
      <c r="V76" s="73">
        <f t="shared" si="22"/>
        <v>9404723.1988124456</v>
      </c>
      <c r="W76" s="12"/>
      <c r="X76" s="73">
        <f t="shared" si="23"/>
        <v>47698795.211654678</v>
      </c>
      <c r="Y76" s="73">
        <f t="shared" si="24"/>
        <v>23153179.320024677</v>
      </c>
      <c r="Z76" s="73">
        <f t="shared" si="24"/>
        <v>-13724789.404996278</v>
      </c>
      <c r="AA76" s="12">
        <f t="shared" si="25"/>
        <v>-0.23345660547567965</v>
      </c>
      <c r="AB76" s="114">
        <f t="shared" si="26"/>
        <v>-1176843.1437183905</v>
      </c>
      <c r="AC76" s="73">
        <f>AB76/SUMIFS(FinParameters!$L$8:$L$39,FinParameters!$B$8:$B$39,Financials!$E76,FinParameters!$C$8:$C$39,Financials!$F76)</f>
        <v>-919347.98295468709</v>
      </c>
      <c r="AD76" s="73">
        <f t="shared" si="27"/>
        <v>-919347.98295468709</v>
      </c>
      <c r="AE76" s="12"/>
      <c r="AF76" s="73">
        <f t="shared" si="28"/>
        <v>46521952.067936286</v>
      </c>
      <c r="AG76" s="73">
        <f t="shared" si="29"/>
        <v>22233831.337069988</v>
      </c>
      <c r="AH76" s="73">
        <f t="shared" si="29"/>
        <v>-14644137.387950964</v>
      </c>
      <c r="AI76" s="12">
        <f t="shared" si="30"/>
        <v>-0.24909457652340897</v>
      </c>
      <c r="AL76" s="73">
        <f>Summary!G76</f>
        <v>-1093677.876296662</v>
      </c>
      <c r="AM76" s="73">
        <f>IF(D76&lt;&gt;"avg",SUMIFS(Summary!$H:$H,Summary!$C:$C,Financials!C76,Summary!$E:$E,Financials!E76,Summary!$D:$D,1-Financials!D76,Summary!$F:$F,Financials!F76),SUMIFS(Summary!$H:$H,Summary!$C:$C,Financials!C76,Summary!$E:$E,Financials!E76,Summary!$D:$D,"avg",Summary!$F:$F,Financials!F76))</f>
        <v>-220152.29276093279</v>
      </c>
      <c r="AN76" s="20">
        <f>Summary!I76</f>
        <v>5969394.7646103185</v>
      </c>
      <c r="AP76" s="12">
        <v>1</v>
      </c>
    </row>
    <row r="77" spans="1:42" x14ac:dyDescent="0.3">
      <c r="A77">
        <v>73</v>
      </c>
      <c r="B77" t="str">
        <f>Summary!B77</f>
        <v>MarinusPortland</v>
      </c>
      <c r="C77" t="str">
        <f>Summary!C77</f>
        <v>Wind</v>
      </c>
      <c r="D77" s="104">
        <f>Summary!D77</f>
        <v>1</v>
      </c>
      <c r="E77" t="str">
        <f>Summary!E77</f>
        <v>Cal-31</v>
      </c>
      <c r="F77" t="str">
        <f>Summary!F77</f>
        <v>Wartsila dual fuel</v>
      </c>
      <c r="G77" s="73">
        <f>SUMIFS(AL$5:AL77,$F$5:$F77,$F77,$D$5:$D77,$D77)</f>
        <v>201637693.26298553</v>
      </c>
      <c r="H77" s="73">
        <f>SUMIFS(AM$5:AM77,$F$5:$F77,$F77,$D$5:$D77,$D77)</f>
        <v>-149196053.82595423</v>
      </c>
      <c r="I77" s="20">
        <f>SUMIFS(AN$5:AN77,$F$5:$F77,$F77,$D$5:$D77,$D77)</f>
        <v>122599413.75942667</v>
      </c>
      <c r="J77" s="73">
        <f t="shared" si="16"/>
        <v>122599413.75942667</v>
      </c>
      <c r="K77" s="73">
        <f t="shared" si="17"/>
        <v>324237107.02241218</v>
      </c>
      <c r="L77" s="73">
        <f t="shared" si="18"/>
        <v>175041053.19645798</v>
      </c>
      <c r="M77" s="73">
        <f>-SUMIFS(FinParameters!$E$8:$E$39,FinParameters!$B$8:$B$39,Financials!$E77,FinParameters!$C$8:$C$39,Financials!$F77)</f>
        <v>-18253381.767854311</v>
      </c>
      <c r="N77" s="73">
        <f>-SUMIFS(FinParameters!$F$8:$F$39,FinParameters!$B$8:$B$39,Financials!$E77,FinParameters!$C$8:$C$39,Financials!$F77)</f>
        <v>-74000000</v>
      </c>
      <c r="O77" s="73">
        <f>SUMIFS(FinParameters!$G$8:$G$39,FinParameters!$B$8:$B$39,Financials!$E77,FinParameters!$C$8:$C$39,Financials!$F77)</f>
        <v>12894383.651546447</v>
      </c>
      <c r="P77" s="73">
        <f t="shared" si="19"/>
        <v>104346031.99157235</v>
      </c>
      <c r="Q77" s="73">
        <f>P77/SUMIFS(FinParameters!$H$8:$H$39,FinParameters!$B$8:$B$39,Financials!$E77,FinParameters!$C$8:$C$39,Financials!$F77)</f>
        <v>36572647.648136288</v>
      </c>
      <c r="R77" s="73">
        <f t="shared" si="31"/>
        <v>43240415.643118799</v>
      </c>
      <c r="S77" s="12">
        <f t="shared" si="20"/>
        <v>0.70763406421663755</v>
      </c>
      <c r="T77" s="114">
        <f t="shared" si="21"/>
        <v>201637693.26298553</v>
      </c>
      <c r="U77" s="73">
        <f>T77/SUMIFS(FinParameters!$L$8:$L$39,FinParameters!$B$8:$B$39,Financials!$E77,FinParameters!$C$8:$C$39,Financials!$F77)</f>
        <v>153677115.80947</v>
      </c>
      <c r="V77" s="73">
        <f t="shared" si="22"/>
        <v>153677115.80947</v>
      </c>
      <c r="W77" s="12"/>
      <c r="X77" s="73">
        <f t="shared" si="23"/>
        <v>305983725.25455785</v>
      </c>
      <c r="Y77" s="73">
        <f t="shared" si="24"/>
        <v>190249763.45760629</v>
      </c>
      <c r="Z77" s="73">
        <f t="shared" si="24"/>
        <v>196917531.4525888</v>
      </c>
      <c r="AA77" s="12">
        <f t="shared" si="25"/>
        <v>3.2225766340309954</v>
      </c>
      <c r="AB77" s="114">
        <f t="shared" si="26"/>
        <v>-149196053.82595423</v>
      </c>
      <c r="AC77" s="73">
        <f>AB77/SUMIFS(FinParameters!$L$8:$L$39,FinParameters!$B$8:$B$39,Financials!$E77,FinParameters!$C$8:$C$39,Financials!$F77)</f>
        <v>-113708993.94402052</v>
      </c>
      <c r="AD77" s="73">
        <f t="shared" si="27"/>
        <v>-113708993.94402052</v>
      </c>
      <c r="AE77" s="12"/>
      <c r="AF77" s="73">
        <f t="shared" si="28"/>
        <v>156787671.42860362</v>
      </c>
      <c r="AG77" s="73">
        <f t="shared" si="29"/>
        <v>76540769.513585761</v>
      </c>
      <c r="AH77" s="73">
        <f t="shared" si="29"/>
        <v>83208537.508568272</v>
      </c>
      <c r="AI77" s="12">
        <f t="shared" si="30"/>
        <v>1.3617166879403237</v>
      </c>
      <c r="AL77" s="73">
        <f>Summary!G77</f>
        <v>19903436.755312122</v>
      </c>
      <c r="AM77" s="73">
        <f>IF(D77&lt;&gt;"avg",SUMIFS(Summary!$H:$H,Summary!$C:$C,Financials!C77,Summary!$E:$E,Financials!E77,Summary!$D:$D,1-Financials!D77,Summary!$F:$F,Financials!F77),SUMIFS(Summary!$H:$H,Summary!$C:$C,Financials!C77,Summary!$E:$E,Financials!E77,Summary!$D:$D,"avg",Summary!$F:$F,Financials!F77))</f>
        <v>-18861587.799728066</v>
      </c>
      <c r="AN77" s="20">
        <f>Summary!I77</f>
        <v>13256226.749818075</v>
      </c>
      <c r="AP77" s="12">
        <v>1</v>
      </c>
    </row>
    <row r="78" spans="1:42" x14ac:dyDescent="0.3">
      <c r="A78">
        <v>74</v>
      </c>
      <c r="B78" t="str">
        <f>Summary!B78</f>
        <v>MarinusPortland</v>
      </c>
      <c r="C78" t="str">
        <f>Summary!C78</f>
        <v>Wind</v>
      </c>
      <c r="D78" s="104">
        <f>Summary!D78</f>
        <v>0.95</v>
      </c>
      <c r="E78" t="str">
        <f>Summary!E78</f>
        <v>Cal-31</v>
      </c>
      <c r="F78" t="str">
        <f>Summary!F78</f>
        <v>Wartsila dual fuel</v>
      </c>
      <c r="G78" s="73">
        <f>SUMIFS(AL$5:AL78,$F$5:$F78,$F78,$D$5:$D78,$D78)</f>
        <v>97737785.06924057</v>
      </c>
      <c r="H78" s="73">
        <f>SUMIFS(AM$5:AM78,$F$5:$F78,$F78,$D$5:$D78,$D78)</f>
        <v>-62707861.606753163</v>
      </c>
      <c r="I78" s="20">
        <f>SUMIFS(AN$5:AN78,$F$5:$F78,$F78,$D$5:$D78,$D78)</f>
        <v>83722844.587557107</v>
      </c>
      <c r="J78" s="73">
        <f t="shared" si="16"/>
        <v>83722844.587557107</v>
      </c>
      <c r="K78" s="73">
        <f t="shared" si="17"/>
        <v>181460629.65679768</v>
      </c>
      <c r="L78" s="73">
        <f t="shared" si="18"/>
        <v>118752768.05004451</v>
      </c>
      <c r="M78" s="73">
        <f>-SUMIFS(FinParameters!$E$8:$E$39,FinParameters!$B$8:$B$39,Financials!$E78,FinParameters!$C$8:$C$39,Financials!$F78)</f>
        <v>-18253381.767854311</v>
      </c>
      <c r="N78" s="73">
        <f>-SUMIFS(FinParameters!$F$8:$F$39,FinParameters!$B$8:$B$39,Financials!$E78,FinParameters!$C$8:$C$39,Financials!$F78)</f>
        <v>-74000000</v>
      </c>
      <c r="O78" s="73">
        <f>SUMIFS(FinParameters!$G$8:$G$39,FinParameters!$B$8:$B$39,Financials!$E78,FinParameters!$C$8:$C$39,Financials!$F78)</f>
        <v>12894383.651546447</v>
      </c>
      <c r="P78" s="73">
        <f t="shared" si="19"/>
        <v>65469462.819702797</v>
      </c>
      <c r="Q78" s="73">
        <f>P78/SUMIFS(FinParameters!$H$8:$H$39,FinParameters!$B$8:$B$39,Financials!$E78,FinParameters!$C$8:$C$39,Financials!$F78)</f>
        <v>22946647.320629653</v>
      </c>
      <c r="R78" s="73">
        <f t="shared" si="31"/>
        <v>4363846.4712492432</v>
      </c>
      <c r="S78" s="12">
        <f t="shared" si="20"/>
        <v>7.1414818015491349E-2</v>
      </c>
      <c r="T78" s="114">
        <f t="shared" si="21"/>
        <v>97737785.06924057</v>
      </c>
      <c r="U78" s="73">
        <f>T78/SUMIFS(FinParameters!$L$8:$L$39,FinParameters!$B$8:$B$39,Financials!$E78,FinParameters!$C$8:$C$39,Financials!$F78)</f>
        <v>74490342.911515504</v>
      </c>
      <c r="V78" s="73">
        <f t="shared" si="22"/>
        <v>74490342.911515504</v>
      </c>
      <c r="W78" s="12"/>
      <c r="X78" s="73">
        <f t="shared" si="23"/>
        <v>163207247.88894337</v>
      </c>
      <c r="Y78" s="73">
        <f t="shared" si="24"/>
        <v>97436990.23214516</v>
      </c>
      <c r="Z78" s="73">
        <f t="shared" si="24"/>
        <v>78854189.382764742</v>
      </c>
      <c r="AA78" s="12">
        <f t="shared" si="25"/>
        <v>1.2904573113721709</v>
      </c>
      <c r="AB78" s="114">
        <f t="shared" si="26"/>
        <v>-62707861.606753163</v>
      </c>
      <c r="AC78" s="73">
        <f>AB78/SUMIFS(FinParameters!$L$8:$L$39,FinParameters!$B$8:$B$39,Financials!$E78,FinParameters!$C$8:$C$39,Financials!$F78)</f>
        <v>-47792469.524715781</v>
      </c>
      <c r="AD78" s="73">
        <f t="shared" si="27"/>
        <v>-47792469.524715781</v>
      </c>
      <c r="AE78" s="12"/>
      <c r="AF78" s="73">
        <f t="shared" si="28"/>
        <v>100499386.2821902</v>
      </c>
      <c r="AG78" s="73">
        <f t="shared" si="29"/>
        <v>49644520.707429379</v>
      </c>
      <c r="AH78" s="73">
        <f t="shared" si="29"/>
        <v>31061719.858048961</v>
      </c>
      <c r="AI78" s="12">
        <f t="shared" si="30"/>
        <v>0.50832839457702428</v>
      </c>
      <c r="AL78" s="73">
        <f>Summary!G78</f>
        <v>6988277.3993282923</v>
      </c>
      <c r="AM78" s="73">
        <f>IF(D78&lt;&gt;"avg",SUMIFS(Summary!$H:$H,Summary!$C:$C,Financials!C78,Summary!$E:$E,Financials!E78,Summary!$D:$D,1-Financials!D78,Summary!$F:$F,Financials!F78),SUMIFS(Summary!$H:$H,Summary!$C:$C,Financials!C78,Summary!$E:$E,Financials!E78,Summary!$D:$D,"avg",Summary!$F:$F,Financials!F78))</f>
        <v>-8700319.4330287892</v>
      </c>
      <c r="AN78" s="20">
        <f>Summary!I78</f>
        <v>8772971.5592536144</v>
      </c>
      <c r="AP78" s="12">
        <v>1</v>
      </c>
    </row>
    <row r="79" spans="1:42" x14ac:dyDescent="0.3">
      <c r="A79">
        <v>75</v>
      </c>
      <c r="B79" t="str">
        <f>Summary!B79</f>
        <v>MarinusPortland</v>
      </c>
      <c r="C79" t="str">
        <f>Summary!C79</f>
        <v>Wind</v>
      </c>
      <c r="D79" s="104">
        <f>Summary!D79</f>
        <v>0.75</v>
      </c>
      <c r="E79" t="str">
        <f>Summary!E79</f>
        <v>Cal-31</v>
      </c>
      <c r="F79" t="str">
        <f>Summary!F79</f>
        <v>Wartsila dual fuel</v>
      </c>
      <c r="G79" s="73">
        <f>SUMIFS(AL$5:AL79,$F$5:$F79,$F79,$D$5:$D79,$D79)</f>
        <v>41062375.718592227</v>
      </c>
      <c r="H79" s="73">
        <f>SUMIFS(AM$5:AM79,$F$5:$F79,$F79,$D$5:$D79,$D79)</f>
        <v>-24602043.565935627</v>
      </c>
      <c r="I79" s="20">
        <f>SUMIFS(AN$5:AN79,$F$5:$F79,$F79,$D$5:$D79,$D79)</f>
        <v>66708682.786677189</v>
      </c>
      <c r="J79" s="73">
        <f t="shared" si="16"/>
        <v>66708682.786677189</v>
      </c>
      <c r="K79" s="73">
        <f t="shared" si="17"/>
        <v>107771058.50526941</v>
      </c>
      <c r="L79" s="73">
        <f t="shared" si="18"/>
        <v>83169014.939333797</v>
      </c>
      <c r="M79" s="73">
        <f>-SUMIFS(FinParameters!$E$8:$E$39,FinParameters!$B$8:$B$39,Financials!$E79,FinParameters!$C$8:$C$39,Financials!$F79)</f>
        <v>-18253381.767854311</v>
      </c>
      <c r="N79" s="73">
        <f>-SUMIFS(FinParameters!$F$8:$F$39,FinParameters!$B$8:$B$39,Financials!$E79,FinParameters!$C$8:$C$39,Financials!$F79)</f>
        <v>-74000000</v>
      </c>
      <c r="O79" s="73">
        <f>SUMIFS(FinParameters!$G$8:$G$39,FinParameters!$B$8:$B$39,Financials!$E79,FinParameters!$C$8:$C$39,Financials!$F79)</f>
        <v>12894383.651546447</v>
      </c>
      <c r="P79" s="73">
        <f t="shared" si="19"/>
        <v>48455301.018822879</v>
      </c>
      <c r="Q79" s="73">
        <f>P79/SUMIFS(FinParameters!$H$8:$H$39,FinParameters!$B$8:$B$39,Financials!$E79,FinParameters!$C$8:$C$39,Financials!$F79)</f>
        <v>16983287.404631905</v>
      </c>
      <c r="R79" s="73">
        <f t="shared" si="31"/>
        <v>-12650315.329630675</v>
      </c>
      <c r="S79" s="12">
        <f t="shared" si="20"/>
        <v>-0.20702377433675664</v>
      </c>
      <c r="T79" s="114">
        <f t="shared" si="21"/>
        <v>41062375.718592227</v>
      </c>
      <c r="U79" s="73">
        <f>T79/SUMIFS(FinParameters!$L$8:$L$39,FinParameters!$B$8:$B$39,Financials!$E79,FinParameters!$C$8:$C$39,Financials!$F79)</f>
        <v>31295475.397488356</v>
      </c>
      <c r="V79" s="73">
        <f t="shared" si="22"/>
        <v>31295475.397488356</v>
      </c>
      <c r="W79" s="12"/>
      <c r="X79" s="73">
        <f t="shared" si="23"/>
        <v>89517676.737415105</v>
      </c>
      <c r="Y79" s="73">
        <f t="shared" si="24"/>
        <v>48278762.802120261</v>
      </c>
      <c r="Z79" s="73">
        <f t="shared" si="24"/>
        <v>18645160.067857683</v>
      </c>
      <c r="AA79" s="12">
        <f t="shared" si="25"/>
        <v>0.30513005484690692</v>
      </c>
      <c r="AB79" s="114">
        <f t="shared" si="26"/>
        <v>-24602043.565935627</v>
      </c>
      <c r="AC79" s="73">
        <f>AB79/SUMIFS(FinParameters!$L$8:$L$39,FinParameters!$B$8:$B$39,Financials!$E79,FinParameters!$C$8:$C$39,Financials!$F79)</f>
        <v>-18750319.134532318</v>
      </c>
      <c r="AD79" s="73">
        <f t="shared" si="27"/>
        <v>-18750319.134532318</v>
      </c>
      <c r="AE79" s="12"/>
      <c r="AF79" s="73">
        <f t="shared" si="28"/>
        <v>64915633.171479478</v>
      </c>
      <c r="AG79" s="73">
        <f t="shared" si="29"/>
        <v>29528443.667587943</v>
      </c>
      <c r="AH79" s="73">
        <f t="shared" si="29"/>
        <v>-105159.06667463481</v>
      </c>
      <c r="AI79" s="12">
        <f t="shared" si="30"/>
        <v>-1.7209394644670196E-3</v>
      </c>
      <c r="AL79" s="73">
        <f>Summary!G79</f>
        <v>2009461.7223529855</v>
      </c>
      <c r="AM79" s="73">
        <f>IF(D79&lt;&gt;"avg",SUMIFS(Summary!$H:$H,Summary!$C:$C,Financials!C79,Summary!$E:$E,Financials!E79,Summary!$D:$D,1-Financials!D79,Summary!$F:$F,Financials!F79),SUMIFS(Summary!$H:$H,Summary!$C:$C,Financials!C79,Summary!$E:$E,Financials!E79,Summary!$D:$D,"avg",Summary!$F:$F,Financials!F79))</f>
        <v>-3391208.5692786914</v>
      </c>
      <c r="AN79" s="20">
        <f>Summary!I79</f>
        <v>6999487.5163088944</v>
      </c>
      <c r="AP79" s="12">
        <v>1</v>
      </c>
    </row>
    <row r="80" spans="1:42" x14ac:dyDescent="0.3">
      <c r="A80">
        <v>76</v>
      </c>
      <c r="B80" t="str">
        <f>Summary!B80</f>
        <v>MarinusPortland</v>
      </c>
      <c r="C80" t="str">
        <f>Summary!C80</f>
        <v>Wind</v>
      </c>
      <c r="D80" s="104">
        <f>Summary!D80</f>
        <v>0.5</v>
      </c>
      <c r="E80" t="str">
        <f>Summary!E80</f>
        <v>Cal-31</v>
      </c>
      <c r="F80" t="str">
        <f>Summary!F80</f>
        <v>Wartsila dual fuel</v>
      </c>
      <c r="G80" s="73">
        <f>SUMIFS(AL$5:AL80,$F$5:$F80,$F80,$D$5:$D80,$D80)</f>
        <v>3734156.266877885</v>
      </c>
      <c r="H80" s="73">
        <f>SUMIFS(AM$5:AM80,$F$5:$F80,$F80,$D$5:$D80,$D80)</f>
        <v>256140.70532760385</v>
      </c>
      <c r="I80" s="20">
        <f>SUMIFS(AN$5:AN80,$F$5:$F80,$F80,$D$5:$D80,$D80)</f>
        <v>57078683.828522727</v>
      </c>
      <c r="J80" s="73">
        <f t="shared" si="16"/>
        <v>57078683.828522727</v>
      </c>
      <c r="K80" s="73">
        <f t="shared" si="17"/>
        <v>60812840.095400609</v>
      </c>
      <c r="L80" s="73">
        <f t="shared" si="18"/>
        <v>61068980.800728217</v>
      </c>
      <c r="M80" s="73">
        <f>-SUMIFS(FinParameters!$E$8:$E$39,FinParameters!$B$8:$B$39,Financials!$E80,FinParameters!$C$8:$C$39,Financials!$F80)</f>
        <v>-18253381.767854311</v>
      </c>
      <c r="N80" s="73">
        <f>-SUMIFS(FinParameters!$F$8:$F$39,FinParameters!$B$8:$B$39,Financials!$E80,FinParameters!$C$8:$C$39,Financials!$F80)</f>
        <v>-74000000</v>
      </c>
      <c r="O80" s="73">
        <f>SUMIFS(FinParameters!$G$8:$G$39,FinParameters!$B$8:$B$39,Financials!$E80,FinParameters!$C$8:$C$39,Financials!$F80)</f>
        <v>12894383.651546447</v>
      </c>
      <c r="P80" s="73">
        <f t="shared" si="19"/>
        <v>38825302.060668416</v>
      </c>
      <c r="Q80" s="73">
        <f>P80/SUMIFS(FinParameters!$H$8:$H$39,FinParameters!$B$8:$B$39,Financials!$E80,FinParameters!$C$8:$C$39,Financials!$F80)</f>
        <v>13608031.517786603</v>
      </c>
      <c r="R80" s="73">
        <f t="shared" si="31"/>
        <v>-22280314.287785135</v>
      </c>
      <c r="S80" s="12">
        <f t="shared" si="20"/>
        <v>-0.36461974560132232</v>
      </c>
      <c r="T80" s="114">
        <f t="shared" si="21"/>
        <v>3734156.266877885</v>
      </c>
      <c r="U80" s="73">
        <f>T80/SUMIFS(FinParameters!$L$8:$L$39,FinParameters!$B$8:$B$39,Financials!$E80,FinParameters!$C$8:$C$39,Financials!$F80)</f>
        <v>2845967.7146137683</v>
      </c>
      <c r="V80" s="73">
        <f t="shared" si="22"/>
        <v>2845967.7146137683</v>
      </c>
      <c r="W80" s="12"/>
      <c r="X80" s="73">
        <f t="shared" si="23"/>
        <v>42559458.327546299</v>
      </c>
      <c r="Y80" s="73">
        <f t="shared" si="24"/>
        <v>16453999.232400373</v>
      </c>
      <c r="Z80" s="73">
        <f t="shared" si="24"/>
        <v>-19434346.573171366</v>
      </c>
      <c r="AA80" s="12">
        <f t="shared" si="25"/>
        <v>-0.31804517709710012</v>
      </c>
      <c r="AB80" s="114">
        <f t="shared" si="26"/>
        <v>256140.70532760385</v>
      </c>
      <c r="AC80" s="73">
        <f>AB80/SUMIFS(FinParameters!$L$8:$L$39,FinParameters!$B$8:$B$39,Financials!$E80,FinParameters!$C$8:$C$39,Financials!$F80)</f>
        <v>195216.30206714597</v>
      </c>
      <c r="AD80" s="73">
        <f t="shared" si="27"/>
        <v>195216.30206714597</v>
      </c>
      <c r="AE80" s="12"/>
      <c r="AF80" s="73">
        <f t="shared" si="28"/>
        <v>42815599.032873899</v>
      </c>
      <c r="AG80" s="73">
        <f t="shared" si="29"/>
        <v>16649215.534467518</v>
      </c>
      <c r="AH80" s="73">
        <f t="shared" si="29"/>
        <v>-19239130.27110422</v>
      </c>
      <c r="AI80" s="12">
        <f t="shared" si="30"/>
        <v>-0.31485044126538986</v>
      </c>
      <c r="AL80" s="73">
        <f>Summary!G80</f>
        <v>-1331513.4535291225</v>
      </c>
      <c r="AM80" s="73">
        <f>IF(D80&lt;&gt;"avg",SUMIFS(Summary!$H:$H,Summary!$C:$C,Financials!C80,Summary!$E:$E,Financials!E80,Summary!$D:$D,1-Financials!D80,Summary!$F:$F,Financials!F80),SUMIFS(Summary!$H:$H,Summary!$C:$C,Financials!C80,Summary!$E:$E,Financials!E80,Summary!$D:$D,"avg",Summary!$F:$F,Financials!F80))</f>
        <v>-574.24896118991023</v>
      </c>
      <c r="AN80" s="20">
        <f>Summary!I80</f>
        <v>6082478.4508343497</v>
      </c>
      <c r="AP80" s="12">
        <v>1</v>
      </c>
    </row>
    <row r="81" spans="1:42" x14ac:dyDescent="0.3">
      <c r="A81">
        <v>77</v>
      </c>
      <c r="B81" t="str">
        <f>Summary!B81</f>
        <v>MarinusPortland</v>
      </c>
      <c r="C81" t="str">
        <f>Summary!C81</f>
        <v>Wind</v>
      </c>
      <c r="D81" s="104">
        <f>Summary!D81</f>
        <v>0.25</v>
      </c>
      <c r="E81" t="str">
        <f>Summary!E81</f>
        <v>Cal-31</v>
      </c>
      <c r="F81" t="str">
        <f>Summary!F81</f>
        <v>Wartsila dual fuel</v>
      </c>
      <c r="G81" s="73">
        <f>SUMIFS(AL$5:AL81,$F$5:$F81,$F81,$D$5:$D81,$D81)</f>
        <v>-22950420.035723366</v>
      </c>
      <c r="H81" s="73">
        <f>SUMIFS(AM$5:AM81,$F$5:$F81,$F81,$D$5:$D81,$D81)</f>
        <v>23322923.752809886</v>
      </c>
      <c r="I81" s="20">
        <f>SUMIFS(AN$5:AN81,$F$5:$F81,$F81,$D$5:$D81,$D81)</f>
        <v>48670565.928475708</v>
      </c>
      <c r="J81" s="73">
        <f t="shared" si="16"/>
        <v>48670565.928475708</v>
      </c>
      <c r="K81" s="73">
        <f t="shared" si="17"/>
        <v>25720145.892752342</v>
      </c>
      <c r="L81" s="73">
        <f t="shared" si="18"/>
        <v>49043069.645562232</v>
      </c>
      <c r="M81" s="73">
        <f>-SUMIFS(FinParameters!$E$8:$E$39,FinParameters!$B$8:$B$39,Financials!$E81,FinParameters!$C$8:$C$39,Financials!$F81)</f>
        <v>-18253381.767854311</v>
      </c>
      <c r="N81" s="73">
        <f>-SUMIFS(FinParameters!$F$8:$F$39,FinParameters!$B$8:$B$39,Financials!$E81,FinParameters!$C$8:$C$39,Financials!$F81)</f>
        <v>-74000000</v>
      </c>
      <c r="O81" s="73">
        <f>SUMIFS(FinParameters!$G$8:$G$39,FinParameters!$B$8:$B$39,Financials!$E81,FinParameters!$C$8:$C$39,Financials!$F81)</f>
        <v>12894383.651546447</v>
      </c>
      <c r="P81" s="73">
        <f t="shared" si="19"/>
        <v>30417184.160621397</v>
      </c>
      <c r="Q81" s="73">
        <f>P81/SUMIFS(FinParameters!$H$8:$H$39,FinParameters!$B$8:$B$39,Financials!$E81,FinParameters!$C$8:$C$39,Financials!$F81)</f>
        <v>10661037.487699829</v>
      </c>
      <c r="R81" s="73">
        <f t="shared" si="31"/>
        <v>-30688432.187832154</v>
      </c>
      <c r="S81" s="12">
        <f t="shared" si="20"/>
        <v>-0.50221950160574413</v>
      </c>
      <c r="T81" s="114">
        <f t="shared" si="21"/>
        <v>-22950420.035723366</v>
      </c>
      <c r="U81" s="73">
        <f>T81/SUMIFS(FinParameters!$L$8:$L$39,FinParameters!$B$8:$B$39,Financials!$E81,FinParameters!$C$8:$C$39,Financials!$F81)</f>
        <v>-17491542.878869466</v>
      </c>
      <c r="V81" s="73">
        <f t="shared" si="22"/>
        <v>-17491542.878869466</v>
      </c>
      <c r="W81" s="12"/>
      <c r="X81" s="73">
        <f t="shared" si="23"/>
        <v>7466764.1248980314</v>
      </c>
      <c r="Y81" s="73">
        <f t="shared" si="24"/>
        <v>-6830505.3911696374</v>
      </c>
      <c r="Z81" s="73">
        <f t="shared" si="24"/>
        <v>-48179975.066701621</v>
      </c>
      <c r="AA81" s="12">
        <f t="shared" si="25"/>
        <v>-0.78847048677090958</v>
      </c>
      <c r="AB81" s="114">
        <f t="shared" si="26"/>
        <v>23322923.752809886</v>
      </c>
      <c r="AC81" s="73">
        <f>AB81/SUMIFS(FinParameters!$L$8:$L$39,FinParameters!$B$8:$B$39,Financials!$E81,FinParameters!$C$8:$C$39,Financials!$F81)</f>
        <v>17775444.643186424</v>
      </c>
      <c r="AD81" s="73">
        <f t="shared" si="27"/>
        <v>17775444.643186424</v>
      </c>
      <c r="AE81" s="12"/>
      <c r="AF81" s="73">
        <f t="shared" si="28"/>
        <v>30789687.877707917</v>
      </c>
      <c r="AG81" s="73">
        <f t="shared" si="29"/>
        <v>10944939.252016786</v>
      </c>
      <c r="AH81" s="73">
        <f t="shared" si="29"/>
        <v>-30404530.423515197</v>
      </c>
      <c r="AI81" s="12">
        <f t="shared" si="30"/>
        <v>-0.49757341862217658</v>
      </c>
      <c r="AL81" s="73">
        <f>Summary!G81</f>
        <v>-4156992.3580149505</v>
      </c>
      <c r="AM81" s="73">
        <f>IF(D81&lt;&gt;"avg",SUMIFS(Summary!$H:$H,Summary!$C:$C,Financials!C81,Summary!$E:$E,Financials!E81,Summary!$D:$D,1-Financials!D81,Summary!$F:$F,Financials!F81),SUMIFS(Summary!$H:$H,Summary!$C:$C,Financials!C81,Summary!$E:$E,Financials!E81,Summary!$D:$D,"avg",Summary!$F:$F,Financials!F81))</f>
        <v>3183799.6713941144</v>
      </c>
      <c r="AN81" s="20">
        <f>Summary!I81</f>
        <v>5248554.7509970022</v>
      </c>
      <c r="AP81" s="12">
        <v>1</v>
      </c>
    </row>
    <row r="82" spans="1:42" x14ac:dyDescent="0.3">
      <c r="A82">
        <v>78</v>
      </c>
      <c r="B82" t="str">
        <f>Summary!B82</f>
        <v>MarinusPortland</v>
      </c>
      <c r="C82" t="str">
        <f>Summary!C82</f>
        <v>Wind</v>
      </c>
      <c r="D82" s="104">
        <f>Summary!D82</f>
        <v>0.05</v>
      </c>
      <c r="E82" t="str">
        <f>Summary!E82</f>
        <v>Cal-31</v>
      </c>
      <c r="F82" t="str">
        <f>Summary!F82</f>
        <v>Wartsila dual fuel</v>
      </c>
      <c r="G82" s="73">
        <f>SUMIFS(AL$5:AL82,$F$5:$F82,$F82,$D$5:$D82,$D82)</f>
        <v>-54136815.490367346</v>
      </c>
      <c r="H82" s="73">
        <f>SUMIFS(AM$5:AM82,$F$5:$F82,$F82,$D$5:$D82,$D82)</f>
        <v>54260676.899709232</v>
      </c>
      <c r="I82" s="20">
        <f>SUMIFS(AN$5:AN82,$F$5:$F82,$F82,$D$5:$D82,$D82)</f>
        <v>37869078.267667226</v>
      </c>
      <c r="J82" s="73">
        <f t="shared" si="16"/>
        <v>37869078.267667226</v>
      </c>
      <c r="K82" s="73">
        <f t="shared" si="17"/>
        <v>-16267737.222700119</v>
      </c>
      <c r="L82" s="73">
        <f t="shared" si="18"/>
        <v>37992939.677009113</v>
      </c>
      <c r="M82" s="73">
        <f>-SUMIFS(FinParameters!$E$8:$E$39,FinParameters!$B$8:$B$39,Financials!$E82,FinParameters!$C$8:$C$39,Financials!$F82)</f>
        <v>-18253381.767854311</v>
      </c>
      <c r="N82" s="73">
        <f>-SUMIFS(FinParameters!$F$8:$F$39,FinParameters!$B$8:$B$39,Financials!$E82,FinParameters!$C$8:$C$39,Financials!$F82)</f>
        <v>-74000000</v>
      </c>
      <c r="O82" s="73">
        <f>SUMIFS(FinParameters!$G$8:$G$39,FinParameters!$B$8:$B$39,Financials!$E82,FinParameters!$C$8:$C$39,Financials!$F82)</f>
        <v>12894383.651546447</v>
      </c>
      <c r="P82" s="73">
        <f t="shared" si="19"/>
        <v>19615696.499812916</v>
      </c>
      <c r="Q82" s="73">
        <f>P82/SUMIFS(FinParameters!$H$8:$H$39,FinParameters!$B$8:$B$39,Financials!$E82,FinParameters!$C$8:$C$39,Financials!$F82)</f>
        <v>6875181.9572629239</v>
      </c>
      <c r="R82" s="73">
        <f t="shared" si="31"/>
        <v>-41489919.848640636</v>
      </c>
      <c r="S82" s="12">
        <f t="shared" si="20"/>
        <v>-0.67898701180011345</v>
      </c>
      <c r="T82" s="114">
        <f t="shared" si="21"/>
        <v>-54136815.490367346</v>
      </c>
      <c r="U82" s="73">
        <f>T82/SUMIFS(FinParameters!$L$8:$L$39,FinParameters!$B$8:$B$39,Financials!$E82,FinParameters!$C$8:$C$39,Financials!$F82)</f>
        <v>-41260091.449361533</v>
      </c>
      <c r="V82" s="73">
        <f t="shared" si="22"/>
        <v>-41260091.449361533</v>
      </c>
      <c r="W82" s="12"/>
      <c r="X82" s="73">
        <f t="shared" si="23"/>
        <v>-34521118.99055443</v>
      </c>
      <c r="Y82" s="73">
        <f t="shared" si="24"/>
        <v>-34384909.492098607</v>
      </c>
      <c r="Z82" s="73">
        <f t="shared" si="24"/>
        <v>-82750011.298002169</v>
      </c>
      <c r="AA82" s="12">
        <f t="shared" si="25"/>
        <v>-1.3542128570657384</v>
      </c>
      <c r="AB82" s="114">
        <f t="shared" si="26"/>
        <v>54260676.899709232</v>
      </c>
      <c r="AC82" s="73">
        <f>AB82/SUMIFS(FinParameters!$L$8:$L$39,FinParameters!$B$8:$B$39,Financials!$E82,FinParameters!$C$8:$C$39,Financials!$F82)</f>
        <v>41354491.776203848</v>
      </c>
      <c r="AD82" s="73">
        <f t="shared" si="27"/>
        <v>41354491.776203848</v>
      </c>
      <c r="AE82" s="12"/>
      <c r="AF82" s="73">
        <f t="shared" si="28"/>
        <v>19739557.909154803</v>
      </c>
      <c r="AG82" s="73">
        <f t="shared" si="29"/>
        <v>6969582.2841052413</v>
      </c>
      <c r="AH82" s="73">
        <f t="shared" si="29"/>
        <v>-41395519.52179832</v>
      </c>
      <c r="AI82" s="12">
        <f t="shared" si="30"/>
        <v>-0.67744214027301841</v>
      </c>
      <c r="AL82" s="73">
        <f>Summary!G82</f>
        <v>-7145211.1888805712</v>
      </c>
      <c r="AM82" s="73">
        <f>IF(D82&lt;&gt;"avg",SUMIFS(Summary!$H:$H,Summary!$C:$C,Financials!C82,Summary!$E:$E,Financials!E82,Summary!$D:$D,1-Financials!D82,Summary!$F:$F,Financials!F82),SUMIFS(Summary!$H:$H,Summary!$C:$C,Financials!C82,Summary!$E:$E,Financials!E82,Summary!$D:$D,"avg",Summary!$F:$F,Financials!F82))</f>
        <v>7319410.7111703753</v>
      </c>
      <c r="AN82" s="20">
        <f>Summary!I82</f>
        <v>4182478.1375122978</v>
      </c>
      <c r="AP82" s="12">
        <v>1</v>
      </c>
    </row>
    <row r="83" spans="1:42" x14ac:dyDescent="0.3">
      <c r="A83">
        <v>79</v>
      </c>
      <c r="B83" t="str">
        <f>Summary!B83</f>
        <v>MarinusPortland</v>
      </c>
      <c r="C83" t="str">
        <f>Summary!C83</f>
        <v>Wind</v>
      </c>
      <c r="D83" s="104">
        <f>Summary!D83</f>
        <v>0</v>
      </c>
      <c r="E83" t="str">
        <f>Summary!E83</f>
        <v>Cal-31</v>
      </c>
      <c r="F83" t="str">
        <f>Summary!F83</f>
        <v>Wartsila dual fuel</v>
      </c>
      <c r="G83" s="73">
        <f>SUMIFS(AL$5:AL83,$F$5:$F83,$F83,$D$5:$D83,$D83)</f>
        <v>-101025668.91555886</v>
      </c>
      <c r="H83" s="73">
        <f>SUMIFS(AM$5:AM83,$F$5:$F83,$F83,$D$5:$D83,$D83)</f>
        <v>116774874.43625681</v>
      </c>
      <c r="I83" s="20">
        <f>SUMIFS(AN$5:AN83,$F$5:$F83,$F83,$D$5:$D83,$D83)</f>
        <v>20279462.967150267</v>
      </c>
      <c r="J83" s="73">
        <f t="shared" si="16"/>
        <v>20279462.967150267</v>
      </c>
      <c r="K83" s="73">
        <f t="shared" si="17"/>
        <v>-80746205.948408589</v>
      </c>
      <c r="L83" s="73">
        <f t="shared" si="18"/>
        <v>36028668.487848222</v>
      </c>
      <c r="M83" s="73">
        <f>-SUMIFS(FinParameters!$E$8:$E$39,FinParameters!$B$8:$B$39,Financials!$E83,FinParameters!$C$8:$C$39,Financials!$F83)</f>
        <v>-18253381.767854311</v>
      </c>
      <c r="N83" s="73">
        <f>-SUMIFS(FinParameters!$F$8:$F$39,FinParameters!$B$8:$B$39,Financials!$E83,FinParameters!$C$8:$C$39,Financials!$F83)</f>
        <v>-74000000</v>
      </c>
      <c r="O83" s="73">
        <f>SUMIFS(FinParameters!$G$8:$G$39,FinParameters!$B$8:$B$39,Financials!$E83,FinParameters!$C$8:$C$39,Financials!$F83)</f>
        <v>12894383.651546447</v>
      </c>
      <c r="P83" s="73">
        <f t="shared" si="19"/>
        <v>2026081.1992959566</v>
      </c>
      <c r="Q83" s="73">
        <f>P83/SUMIFS(FinParameters!$H$8:$H$39,FinParameters!$B$8:$B$39,Financials!$E83,FinParameters!$C$8:$C$39,Financials!$F83)</f>
        <v>710129.10020717548</v>
      </c>
      <c r="R83" s="73">
        <f t="shared" si="31"/>
        <v>-59079535.149157599</v>
      </c>
      <c r="S83" s="12">
        <f t="shared" si="20"/>
        <v>-0.96684296271978887</v>
      </c>
      <c r="T83" s="114">
        <f t="shared" si="21"/>
        <v>-101025668.91555886</v>
      </c>
      <c r="U83" s="73">
        <f>T83/SUMIFS(FinParameters!$L$8:$L$39,FinParameters!$B$8:$B$39,Financials!$E83,FinParameters!$C$8:$C$39,Financials!$F83)</f>
        <v>-76996186.429372758</v>
      </c>
      <c r="V83" s="73">
        <f t="shared" si="22"/>
        <v>-76996186.429372758</v>
      </c>
      <c r="W83" s="12"/>
      <c r="X83" s="73">
        <f t="shared" si="23"/>
        <v>-98999587.716262907</v>
      </c>
      <c r="Y83" s="73">
        <f t="shared" si="24"/>
        <v>-76286057.329165578</v>
      </c>
      <c r="Z83" s="73">
        <f t="shared" si="24"/>
        <v>-136075721.57853037</v>
      </c>
      <c r="AA83" s="12">
        <f t="shared" si="25"/>
        <v>-2.2268938554283015</v>
      </c>
      <c r="AB83" s="114">
        <f t="shared" si="26"/>
        <v>116774874.43625681</v>
      </c>
      <c r="AC83" s="73">
        <f>AB83/SUMIFS(FinParameters!$L$8:$L$39,FinParameters!$B$8:$B$39,Financials!$E83,FinParameters!$C$8:$C$39,Financials!$F83)</f>
        <v>88999361.240318358</v>
      </c>
      <c r="AD83" s="73">
        <f t="shared" si="27"/>
        <v>88999361.240318358</v>
      </c>
      <c r="AE83" s="12"/>
      <c r="AF83" s="73">
        <f t="shared" si="28"/>
        <v>17775286.719993904</v>
      </c>
      <c r="AG83" s="73">
        <f t="shared" si="29"/>
        <v>12713303.91115278</v>
      </c>
      <c r="AH83" s="73">
        <f t="shared" si="29"/>
        <v>-47076360.338212013</v>
      </c>
      <c r="AI83" s="12">
        <f t="shared" si="30"/>
        <v>-0.77040971274653403</v>
      </c>
      <c r="AL83" s="73">
        <f>Summary!G83</f>
        <v>-11518585.64704437</v>
      </c>
      <c r="AM83" s="73">
        <f>IF(D83&lt;&gt;"avg",SUMIFS(Summary!$H:$H,Summary!$C:$C,Financials!C83,Summary!$E:$E,Financials!E83,Summary!$D:$D,1-Financials!D83,Summary!$F:$F,Financials!F83),SUMIFS(Summary!$H:$H,Summary!$C:$C,Financials!C83,Summary!$E:$E,Financials!E83,Summary!$D:$D,"avg",Summary!$F:$F,Financials!F83))</f>
        <v>16048624.034002012</v>
      </c>
      <c r="AN83" s="20">
        <f>Summary!I83</f>
        <v>2276107.1547318092</v>
      </c>
      <c r="AP83" s="12">
        <v>1</v>
      </c>
    </row>
    <row r="84" spans="1:42" x14ac:dyDescent="0.3">
      <c r="A84">
        <v>80</v>
      </c>
      <c r="B84" t="str">
        <f>Summary!B84</f>
        <v>MarinusPortland</v>
      </c>
      <c r="C84" t="str">
        <f>Summary!C84</f>
        <v>Wind</v>
      </c>
      <c r="D84" s="104" t="str">
        <f>Summary!D84</f>
        <v>avg</v>
      </c>
      <c r="E84" t="str">
        <f>Summary!E84</f>
        <v>Cal-31</v>
      </c>
      <c r="F84" t="str">
        <f>Summary!F84</f>
        <v>Wartsila dual fuel</v>
      </c>
      <c r="G84" s="73">
        <f>SUMIFS(AL$5:AL84,$F$5:$F84,$F84,$D$5:$D84,$D84)</f>
        <v>11174503.120828234</v>
      </c>
      <c r="H84" s="73">
        <f>SUMIFS(AM$5:AM84,$F$5:$F84,$F84,$D$5:$D84,$D84)</f>
        <v>-1417607.7170497158</v>
      </c>
      <c r="I84" s="20">
        <f>SUMIFS(AN$5:AN84,$F$5:$F84,$F84,$D$5:$D84,$D84)</f>
        <v>58265865.042942941</v>
      </c>
      <c r="J84" s="73">
        <f t="shared" si="16"/>
        <v>58265865.042942941</v>
      </c>
      <c r="K84" s="73">
        <f t="shared" si="17"/>
        <v>69440368.163771182</v>
      </c>
      <c r="L84" s="73">
        <f t="shared" si="18"/>
        <v>68022760.446721464</v>
      </c>
      <c r="M84" s="73">
        <f>-SUMIFS(FinParameters!$E$8:$E$39,FinParameters!$B$8:$B$39,Financials!$E84,FinParameters!$C$8:$C$39,Financials!$F84)</f>
        <v>-18253381.767854311</v>
      </c>
      <c r="N84" s="73">
        <f>-SUMIFS(FinParameters!$F$8:$F$39,FinParameters!$B$8:$B$39,Financials!$E84,FinParameters!$C$8:$C$39,Financials!$F84)</f>
        <v>-74000000</v>
      </c>
      <c r="O84" s="73">
        <f>SUMIFS(FinParameters!$G$8:$G$39,FinParameters!$B$8:$B$39,Financials!$E84,FinParameters!$C$8:$C$39,Financials!$F84)</f>
        <v>12894383.651546447</v>
      </c>
      <c r="P84" s="73">
        <f t="shared" si="19"/>
        <v>40012483.275088631</v>
      </c>
      <c r="Q84" s="73">
        <f>P84/SUMIFS(FinParameters!$H$8:$H$39,FinParameters!$B$8:$B$39,Financials!$E84,FinParameters!$C$8:$C$39,Financials!$F84)</f>
        <v>14024131.291019799</v>
      </c>
      <c r="R84" s="73">
        <f t="shared" si="31"/>
        <v>-21093133.073364921</v>
      </c>
      <c r="S84" s="12">
        <f t="shared" si="20"/>
        <v>-0.34519139702448548</v>
      </c>
      <c r="T84" s="114">
        <f t="shared" si="21"/>
        <v>11174503.120828234</v>
      </c>
      <c r="U84" s="73">
        <f>T84/SUMIFS(FinParameters!$L$8:$L$39,FinParameters!$B$8:$B$39,Financials!$E84,FinParameters!$C$8:$C$39,Financials!$F84)</f>
        <v>8516589.2468977254</v>
      </c>
      <c r="V84" s="73">
        <f t="shared" si="22"/>
        <v>8516589.2468977254</v>
      </c>
      <c r="W84" s="12"/>
      <c r="X84" s="73">
        <f t="shared" si="23"/>
        <v>51186986.395916872</v>
      </c>
      <c r="Y84" s="73">
        <f t="shared" si="24"/>
        <v>22540720.537917525</v>
      </c>
      <c r="Z84" s="73">
        <f t="shared" si="24"/>
        <v>-12576543.826467196</v>
      </c>
      <c r="AA84" s="12">
        <f t="shared" si="25"/>
        <v>-0.20581649573338245</v>
      </c>
      <c r="AB84" s="114">
        <f t="shared" si="26"/>
        <v>-1417607.7170497158</v>
      </c>
      <c r="AC84" s="73">
        <f>AB84/SUMIFS(FinParameters!$L$8:$L$39,FinParameters!$B$8:$B$39,Financials!$E84,FinParameters!$C$8:$C$39,Financials!$F84)</f>
        <v>-1080422.3247154099</v>
      </c>
      <c r="AD84" s="73">
        <f t="shared" si="27"/>
        <v>-1080422.3247154099</v>
      </c>
      <c r="AE84" s="12"/>
      <c r="AF84" s="73">
        <f t="shared" si="28"/>
        <v>49769378.678867154</v>
      </c>
      <c r="AG84" s="73">
        <f t="shared" si="29"/>
        <v>21460298.213202115</v>
      </c>
      <c r="AH84" s="73">
        <f t="shared" si="29"/>
        <v>-13656966.151182605</v>
      </c>
      <c r="AI84" s="12">
        <f t="shared" si="30"/>
        <v>-0.22349772356936928</v>
      </c>
      <c r="AL84" s="73">
        <f>Summary!G84</f>
        <v>-864337.68841649778</v>
      </c>
      <c r="AM84" s="73">
        <f>IF(D84&lt;&gt;"avg",SUMIFS(Summary!$H:$H,Summary!$C:$C,Financials!C84,Summary!$E:$E,Financials!E84,Summary!$D:$D,1-Financials!D84,Summary!$F:$F,Financials!F84),SUMIFS(Summary!$H:$H,Summary!$C:$C,Financials!C84,Summary!$E:$E,Financials!E84,Summary!$D:$D,"avg",Summary!$F:$F,Financials!F84))</f>
        <v>-240764.57333132531</v>
      </c>
      <c r="AN84" s="20">
        <f>Summary!I84</f>
        <v>6201391.84262635</v>
      </c>
      <c r="AP84" s="12">
        <v>1</v>
      </c>
    </row>
    <row r="85" spans="1:42" x14ac:dyDescent="0.3">
      <c r="A85">
        <v>81</v>
      </c>
      <c r="B85" t="str">
        <f>Summary!B85</f>
        <v>MarinusPortland</v>
      </c>
      <c r="C85" t="str">
        <f>Summary!C85</f>
        <v>Wind</v>
      </c>
      <c r="D85" s="104">
        <f>Summary!D85</f>
        <v>1</v>
      </c>
      <c r="E85" t="str">
        <f>Summary!E85</f>
        <v>Cal-32</v>
      </c>
      <c r="F85" t="str">
        <f>Summary!F85</f>
        <v>Wartsila dual fuel</v>
      </c>
      <c r="G85" s="73">
        <f>SUMIFS(AL$5:AL85,$F$5:$F85,$F85,$D$5:$D85,$D85)</f>
        <v>216416686.75520951</v>
      </c>
      <c r="H85" s="73">
        <f>SUMIFS(AM$5:AM85,$F$5:$F85,$F85,$D$5:$D85,$D85)</f>
        <v>-170532993.01675022</v>
      </c>
      <c r="I85" s="20">
        <f>SUMIFS(AN$5:AN85,$F$5:$F85,$F85,$D$5:$D85,$D85)</f>
        <v>134991931.51079479</v>
      </c>
      <c r="J85" s="73">
        <f t="shared" si="16"/>
        <v>134991931.51079479</v>
      </c>
      <c r="K85" s="73">
        <f t="shared" si="17"/>
        <v>351408618.26600432</v>
      </c>
      <c r="L85" s="73">
        <f t="shared" si="18"/>
        <v>180875625.24925408</v>
      </c>
      <c r="M85" s="73">
        <f>-SUMIFS(FinParameters!$E$8:$E$39,FinParameters!$B$8:$B$39,Financials!$E85,FinParameters!$C$8:$C$39,Financials!$F85)</f>
        <v>-21273466.312050667</v>
      </c>
      <c r="N85" s="73">
        <f>-SUMIFS(FinParameters!$F$8:$F$39,FinParameters!$B$8:$B$39,Financials!$E85,FinParameters!$C$8:$C$39,Financials!$F85)</f>
        <v>-74000000</v>
      </c>
      <c r="O85" s="73">
        <f>SUMIFS(FinParameters!$G$8:$G$39,FinParameters!$B$8:$B$39,Financials!$E85,FinParameters!$C$8:$C$39,Financials!$F85)</f>
        <v>10930920.6864246</v>
      </c>
      <c r="P85" s="73">
        <f t="shared" si="19"/>
        <v>113718465.19874412</v>
      </c>
      <c r="Q85" s="73">
        <f>P85/SUMIFS(FinParameters!$H$8:$H$39,FinParameters!$B$8:$B$39,Financials!$E85,FinParameters!$C$8:$C$39,Financials!$F85)</f>
        <v>36234207.55504255</v>
      </c>
      <c r="R85" s="73">
        <f t="shared" si="31"/>
        <v>50649385.885168716</v>
      </c>
      <c r="S85" s="12">
        <f t="shared" si="20"/>
        <v>0.80307793353607126</v>
      </c>
      <c r="T85" s="114">
        <f t="shared" si="21"/>
        <v>216416686.75520951</v>
      </c>
      <c r="U85" s="73">
        <f>T85/SUMIFS(FinParameters!$L$8:$L$39,FinParameters!$B$8:$B$39,Financials!$E85,FinParameters!$C$8:$C$39,Financials!$F85)</f>
        <v>160917901.05884314</v>
      </c>
      <c r="V85" s="73">
        <f t="shared" si="22"/>
        <v>160917901.05884314</v>
      </c>
      <c r="W85" s="12"/>
      <c r="X85" s="73">
        <f t="shared" si="23"/>
        <v>330135151.95395368</v>
      </c>
      <c r="Y85" s="73">
        <f t="shared" si="24"/>
        <v>197152108.6138857</v>
      </c>
      <c r="Z85" s="73">
        <f t="shared" si="24"/>
        <v>211567286.94401187</v>
      </c>
      <c r="AA85" s="12">
        <f t="shared" si="25"/>
        <v>3.3545326687284103</v>
      </c>
      <c r="AB85" s="114">
        <f t="shared" si="26"/>
        <v>-170532993.01675022</v>
      </c>
      <c r="AC85" s="73">
        <f>AB85/SUMIFS(FinParameters!$L$8:$L$39,FinParameters!$B$8:$B$39,Financials!$E85,FinParameters!$C$8:$C$39,Financials!$F85)</f>
        <v>-126800810.55199514</v>
      </c>
      <c r="AD85" s="73">
        <f t="shared" si="27"/>
        <v>-126800810.55199514</v>
      </c>
      <c r="AE85" s="12"/>
      <c r="AF85" s="73">
        <f t="shared" si="28"/>
        <v>159602158.93720347</v>
      </c>
      <c r="AG85" s="73">
        <f t="shared" si="29"/>
        <v>70351298.061890557</v>
      </c>
      <c r="AH85" s="73">
        <f t="shared" si="29"/>
        <v>84766476.392016724</v>
      </c>
      <c r="AI85" s="12">
        <f t="shared" si="30"/>
        <v>1.3440259048425816</v>
      </c>
      <c r="AL85" s="73">
        <f>Summary!G85</f>
        <v>14778993.492223972</v>
      </c>
      <c r="AM85" s="73">
        <f>IF(D85&lt;&gt;"avg",SUMIFS(Summary!$H:$H,Summary!$C:$C,Financials!C85,Summary!$E:$E,Financials!E85,Summary!$D:$D,1-Financials!D85,Summary!$F:$F,Financials!F85),SUMIFS(Summary!$H:$H,Summary!$C:$C,Financials!C85,Summary!$E:$E,Financials!E85,Summary!$D:$D,"avg",Summary!$F:$F,Financials!F85))</f>
        <v>-21336939.190795988</v>
      </c>
      <c r="AN85" s="20">
        <f>Summary!I85</f>
        <v>12392517.751368126</v>
      </c>
      <c r="AP85" s="12">
        <v>1</v>
      </c>
    </row>
    <row r="86" spans="1:42" x14ac:dyDescent="0.3">
      <c r="A86">
        <v>82</v>
      </c>
      <c r="B86" t="str">
        <f>Summary!B86</f>
        <v>MarinusPortland</v>
      </c>
      <c r="C86" t="str">
        <f>Summary!C86</f>
        <v>Wind</v>
      </c>
      <c r="D86" s="104">
        <f>Summary!D86</f>
        <v>0.95</v>
      </c>
      <c r="E86" t="str">
        <f>Summary!E86</f>
        <v>Cal-32</v>
      </c>
      <c r="F86" t="str">
        <f>Summary!F86</f>
        <v>Wartsila dual fuel</v>
      </c>
      <c r="G86" s="73">
        <f>SUMIFS(AL$5:AL86,$F$5:$F86,$F86,$D$5:$D86,$D86)</f>
        <v>101582204.78403357</v>
      </c>
      <c r="H86" s="73">
        <f>SUMIFS(AM$5:AM86,$F$5:$F86,$F86,$D$5:$D86,$D86)</f>
        <v>-71221074.271378845</v>
      </c>
      <c r="I86" s="20">
        <f>SUMIFS(AN$5:AN86,$F$5:$F86,$F86,$D$5:$D86,$D86)</f>
        <v>91970945.980978876</v>
      </c>
      <c r="J86" s="73">
        <f t="shared" si="16"/>
        <v>91970945.980978876</v>
      </c>
      <c r="K86" s="73">
        <f t="shared" si="17"/>
        <v>193553150.76501244</v>
      </c>
      <c r="L86" s="73">
        <f t="shared" si="18"/>
        <v>122332076.4936336</v>
      </c>
      <c r="M86" s="73">
        <f>-SUMIFS(FinParameters!$E$8:$E$39,FinParameters!$B$8:$B$39,Financials!$E86,FinParameters!$C$8:$C$39,Financials!$F86)</f>
        <v>-21273466.312050667</v>
      </c>
      <c r="N86" s="73">
        <f>-SUMIFS(FinParameters!$F$8:$F$39,FinParameters!$B$8:$B$39,Financials!$E86,FinParameters!$C$8:$C$39,Financials!$F86)</f>
        <v>-74000000</v>
      </c>
      <c r="O86" s="73">
        <f>SUMIFS(FinParameters!$G$8:$G$39,FinParameters!$B$8:$B$39,Financials!$E86,FinParameters!$C$8:$C$39,Financials!$F86)</f>
        <v>10930920.6864246</v>
      </c>
      <c r="P86" s="73">
        <f t="shared" si="19"/>
        <v>70697479.668928206</v>
      </c>
      <c r="Q86" s="73">
        <f>P86/SUMIFS(FinParameters!$H$8:$H$39,FinParameters!$B$8:$B$39,Financials!$E86,FinParameters!$C$8:$C$39,Financials!$F86)</f>
        <v>22526395.756971896</v>
      </c>
      <c r="R86" s="73">
        <f t="shared" si="31"/>
        <v>7628400.3553528059</v>
      </c>
      <c r="S86" s="12">
        <f t="shared" si="20"/>
        <v>0.12095309521524629</v>
      </c>
      <c r="T86" s="114">
        <f t="shared" si="21"/>
        <v>101582204.78403357</v>
      </c>
      <c r="U86" s="73">
        <f>T86/SUMIFS(FinParameters!$L$8:$L$39,FinParameters!$B$8:$B$39,Financials!$E86,FinParameters!$C$8:$C$39,Financials!$F86)</f>
        <v>75532046.183045864</v>
      </c>
      <c r="V86" s="73">
        <f t="shared" si="22"/>
        <v>75532046.183045864</v>
      </c>
      <c r="W86" s="12"/>
      <c r="X86" s="73">
        <f t="shared" si="23"/>
        <v>172279684.45296177</v>
      </c>
      <c r="Y86" s="73">
        <f t="shared" si="24"/>
        <v>98058441.94001776</v>
      </c>
      <c r="Z86" s="73">
        <f t="shared" si="24"/>
        <v>83160446.538398668</v>
      </c>
      <c r="AA86" s="12">
        <f t="shared" si="25"/>
        <v>1.3185612893590897</v>
      </c>
      <c r="AB86" s="114">
        <f t="shared" si="26"/>
        <v>-71221074.271378845</v>
      </c>
      <c r="AC86" s="73">
        <f>AB86/SUMIFS(FinParameters!$L$8:$L$39,FinParameters!$B$8:$B$39,Financials!$E86,FinParameters!$C$8:$C$39,Financials!$F86)</f>
        <v>-52956848.91373276</v>
      </c>
      <c r="AD86" s="73">
        <f t="shared" si="27"/>
        <v>-52956848.91373276</v>
      </c>
      <c r="AE86" s="12"/>
      <c r="AF86" s="73">
        <f t="shared" si="28"/>
        <v>101058610.18158293</v>
      </c>
      <c r="AG86" s="73">
        <f t="shared" si="29"/>
        <v>45101593.026285</v>
      </c>
      <c r="AH86" s="73">
        <f t="shared" si="29"/>
        <v>30203597.624665909</v>
      </c>
      <c r="AI86" s="12">
        <f t="shared" si="30"/>
        <v>0.47889707529256237</v>
      </c>
      <c r="AL86" s="73">
        <f>Summary!G86</f>
        <v>3844419.7147929971</v>
      </c>
      <c r="AM86" s="73">
        <f>IF(D86&lt;&gt;"avg",SUMIFS(Summary!$H:$H,Summary!$C:$C,Financials!C86,Summary!$E:$E,Financials!E86,Summary!$D:$D,1-Financials!D86,Summary!$F:$F,Financials!F86),SUMIFS(Summary!$H:$H,Summary!$C:$C,Financials!C86,Summary!$E:$E,Financials!E86,Summary!$D:$D,"avg",Summary!$F:$F,Financials!F86))</f>
        <v>-8513212.6646256857</v>
      </c>
      <c r="AN86" s="20">
        <f>Summary!I86</f>
        <v>8248101.3934217738</v>
      </c>
      <c r="AP86" s="12">
        <v>1</v>
      </c>
    </row>
    <row r="87" spans="1:42" x14ac:dyDescent="0.3">
      <c r="A87">
        <v>83</v>
      </c>
      <c r="B87" t="str">
        <f>Summary!B87</f>
        <v>MarinusPortland</v>
      </c>
      <c r="C87" t="str">
        <f>Summary!C87</f>
        <v>Wind</v>
      </c>
      <c r="D87" s="104">
        <f>Summary!D87</f>
        <v>0.75</v>
      </c>
      <c r="E87" t="str">
        <f>Summary!E87</f>
        <v>Cal-32</v>
      </c>
      <c r="F87" t="str">
        <f>Summary!F87</f>
        <v>Wartsila dual fuel</v>
      </c>
      <c r="G87" s="73">
        <f>SUMIFS(AL$5:AL87,$F$5:$F87,$F87,$D$5:$D87,$D87)</f>
        <v>40535714.223024733</v>
      </c>
      <c r="H87" s="73">
        <f>SUMIFS(AM$5:AM87,$F$5:$F87,$F87,$D$5:$D87,$D87)</f>
        <v>-28029687.031497408</v>
      </c>
      <c r="I87" s="20">
        <f>SUMIFS(AN$5:AN87,$F$5:$F87,$F87,$D$5:$D87,$D87)</f>
        <v>73416709.596335277</v>
      </c>
      <c r="J87" s="73">
        <f t="shared" si="16"/>
        <v>73416709.596335277</v>
      </c>
      <c r="K87" s="73">
        <f t="shared" si="17"/>
        <v>113952423.81936002</v>
      </c>
      <c r="L87" s="73">
        <f t="shared" si="18"/>
        <v>85922736.787862599</v>
      </c>
      <c r="M87" s="73">
        <f>-SUMIFS(FinParameters!$E$8:$E$39,FinParameters!$B$8:$B$39,Financials!$E87,FinParameters!$C$8:$C$39,Financials!$F87)</f>
        <v>-21273466.312050667</v>
      </c>
      <c r="N87" s="73">
        <f>-SUMIFS(FinParameters!$F$8:$F$39,FinParameters!$B$8:$B$39,Financials!$E87,FinParameters!$C$8:$C$39,Financials!$F87)</f>
        <v>-74000000</v>
      </c>
      <c r="O87" s="73">
        <f>SUMIFS(FinParameters!$G$8:$G$39,FinParameters!$B$8:$B$39,Financials!$E87,FinParameters!$C$8:$C$39,Financials!$F87)</f>
        <v>10930920.6864246</v>
      </c>
      <c r="P87" s="73">
        <f t="shared" si="19"/>
        <v>52143243.284284607</v>
      </c>
      <c r="Q87" s="73">
        <f>P87/SUMIFS(FinParameters!$H$8:$H$39,FinParameters!$B$8:$B$39,Financials!$E87,FinParameters!$C$8:$C$39,Financials!$F87)</f>
        <v>16614444.245741658</v>
      </c>
      <c r="R87" s="73">
        <f t="shared" si="31"/>
        <v>-10925836.029290793</v>
      </c>
      <c r="S87" s="12">
        <f t="shared" si="20"/>
        <v>-0.17323601594004948</v>
      </c>
      <c r="T87" s="114">
        <f t="shared" si="21"/>
        <v>40535714.223024733</v>
      </c>
      <c r="U87" s="73">
        <f>T87/SUMIFS(FinParameters!$L$8:$L$39,FinParameters!$B$8:$B$39,Financials!$E87,FinParameters!$C$8:$C$39,Financials!$F87)</f>
        <v>30140568.865044862</v>
      </c>
      <c r="V87" s="73">
        <f t="shared" si="22"/>
        <v>30140568.865044862</v>
      </c>
      <c r="W87" s="12"/>
      <c r="X87" s="73">
        <f t="shared" si="23"/>
        <v>92678957.507309347</v>
      </c>
      <c r="Y87" s="73">
        <f t="shared" si="24"/>
        <v>46755013.11078652</v>
      </c>
      <c r="Z87" s="73">
        <f t="shared" si="24"/>
        <v>19214732.835754067</v>
      </c>
      <c r="AA87" s="12">
        <f t="shared" si="25"/>
        <v>0.30466169864664827</v>
      </c>
      <c r="AB87" s="114">
        <f t="shared" si="26"/>
        <v>-28029687.031497408</v>
      </c>
      <c r="AC87" s="73">
        <f>AB87/SUMIFS(FinParameters!$L$8:$L$39,FinParameters!$B$8:$B$39,Financials!$E87,FinParameters!$C$8:$C$39,Financials!$F87)</f>
        <v>-20841638.748248067</v>
      </c>
      <c r="AD87" s="73">
        <f t="shared" si="27"/>
        <v>-20841638.748248067</v>
      </c>
      <c r="AE87" s="12"/>
      <c r="AF87" s="73">
        <f t="shared" si="28"/>
        <v>64649270.475811943</v>
      </c>
      <c r="AG87" s="73">
        <f t="shared" si="29"/>
        <v>25913374.362538453</v>
      </c>
      <c r="AH87" s="73">
        <f t="shared" si="29"/>
        <v>-1626905.912494</v>
      </c>
      <c r="AI87" s="12">
        <f t="shared" si="30"/>
        <v>-2.5795618553509061E-2</v>
      </c>
      <c r="AL87" s="73">
        <f>Summary!G87</f>
        <v>-526661.49556749419</v>
      </c>
      <c r="AM87" s="73">
        <f>IF(D87&lt;&gt;"avg",SUMIFS(Summary!$H:$H,Summary!$C:$C,Financials!C87,Summary!$E:$E,Financials!E87,Summary!$D:$D,1-Financials!D87,Summary!$F:$F,Financials!F87),SUMIFS(Summary!$H:$H,Summary!$C:$C,Financials!C87,Summary!$E:$E,Financials!E87,Summary!$D:$D,"avg",Summary!$F:$F,Financials!F87))</f>
        <v>-3427643.4655617806</v>
      </c>
      <c r="AN87" s="20">
        <f>Summary!I87</f>
        <v>6708026.8096580822</v>
      </c>
      <c r="AP87" s="12">
        <v>1</v>
      </c>
    </row>
    <row r="88" spans="1:42" x14ac:dyDescent="0.3">
      <c r="A88">
        <v>84</v>
      </c>
      <c r="B88" t="str">
        <f>Summary!B88</f>
        <v>MarinusPortland</v>
      </c>
      <c r="C88" t="str">
        <f>Summary!C88</f>
        <v>Wind</v>
      </c>
      <c r="D88" s="104">
        <f>Summary!D88</f>
        <v>0.5</v>
      </c>
      <c r="E88" t="str">
        <f>Summary!E88</f>
        <v>Cal-32</v>
      </c>
      <c r="F88" t="str">
        <f>Summary!F88</f>
        <v>Wartsila dual fuel</v>
      </c>
      <c r="G88" s="73">
        <f>SUMIFS(AL$5:AL88,$F$5:$F88,$F88,$D$5:$D88,$D88)</f>
        <v>-58474.583103026729</v>
      </c>
      <c r="H88" s="73">
        <f>SUMIFS(AM$5:AM88,$F$5:$F88,$F88,$D$5:$D88,$D88)</f>
        <v>341523.48235187196</v>
      </c>
      <c r="I88" s="20">
        <f>SUMIFS(AN$5:AN88,$F$5:$F88,$F88,$D$5:$D88,$D88)</f>
        <v>62806368.298952892</v>
      </c>
      <c r="J88" s="73">
        <f t="shared" si="16"/>
        <v>62806368.298952892</v>
      </c>
      <c r="K88" s="73">
        <f t="shared" si="17"/>
        <v>62747893.715849869</v>
      </c>
      <c r="L88" s="73">
        <f t="shared" si="18"/>
        <v>63089417.198201738</v>
      </c>
      <c r="M88" s="73">
        <f>-SUMIFS(FinParameters!$E$8:$E$39,FinParameters!$B$8:$B$39,Financials!$E88,FinParameters!$C$8:$C$39,Financials!$F88)</f>
        <v>-21273466.312050667</v>
      </c>
      <c r="N88" s="73">
        <f>-SUMIFS(FinParameters!$F$8:$F$39,FinParameters!$B$8:$B$39,Financials!$E88,FinParameters!$C$8:$C$39,Financials!$F88)</f>
        <v>-74000000</v>
      </c>
      <c r="O88" s="73">
        <f>SUMIFS(FinParameters!$G$8:$G$39,FinParameters!$B$8:$B$39,Financials!$E88,FinParameters!$C$8:$C$39,Financials!$F88)</f>
        <v>10930920.6864246</v>
      </c>
      <c r="P88" s="73">
        <f t="shared" si="19"/>
        <v>41532901.986902222</v>
      </c>
      <c r="Q88" s="73">
        <f>P88/SUMIFS(FinParameters!$H$8:$H$39,FinParameters!$B$8:$B$39,Financials!$E88,FinParameters!$C$8:$C$39,Financials!$F88)</f>
        <v>13233662.521970743</v>
      </c>
      <c r="R88" s="73">
        <f t="shared" si="31"/>
        <v>-21536177.32667318</v>
      </c>
      <c r="S88" s="12">
        <f t="shared" si="20"/>
        <v>-0.34146966407416052</v>
      </c>
      <c r="T88" s="114">
        <f t="shared" si="21"/>
        <v>-58474.583103026729</v>
      </c>
      <c r="U88" s="73">
        <f>T88/SUMIFS(FinParameters!$L$8:$L$39,FinParameters!$B$8:$B$39,Financials!$E88,FinParameters!$C$8:$C$39,Financials!$F88)</f>
        <v>-43479.120391826495</v>
      </c>
      <c r="V88" s="73">
        <f t="shared" si="22"/>
        <v>-43479.120391826495</v>
      </c>
      <c r="W88" s="12"/>
      <c r="X88" s="73">
        <f t="shared" si="23"/>
        <v>41474427.403799206</v>
      </c>
      <c r="Y88" s="73">
        <f t="shared" si="24"/>
        <v>13190183.401578916</v>
      </c>
      <c r="Z88" s="73">
        <f t="shared" si="24"/>
        <v>-21579656.447065007</v>
      </c>
      <c r="AA88" s="12">
        <f t="shared" si="25"/>
        <v>-0.34215905292944493</v>
      </c>
      <c r="AB88" s="114">
        <f t="shared" si="26"/>
        <v>341523.48235187196</v>
      </c>
      <c r="AC88" s="73">
        <f>AB88/SUMIFS(FinParameters!$L$8:$L$39,FinParameters!$B$8:$B$39,Financials!$E88,FinParameters!$C$8:$C$39,Financials!$F88)</f>
        <v>253941.79518390202</v>
      </c>
      <c r="AD88" s="73">
        <f t="shared" si="27"/>
        <v>253941.79518390202</v>
      </c>
      <c r="AE88" s="12"/>
      <c r="AF88" s="73">
        <f t="shared" si="28"/>
        <v>41815950.886151075</v>
      </c>
      <c r="AG88" s="73">
        <f t="shared" si="29"/>
        <v>13444125.196762819</v>
      </c>
      <c r="AH88" s="73">
        <f t="shared" si="29"/>
        <v>-21325714.651881106</v>
      </c>
      <c r="AI88" s="12">
        <f t="shared" si="30"/>
        <v>-0.33813264572725132</v>
      </c>
      <c r="AL88" s="73">
        <f>Summary!G88</f>
        <v>-3792630.8499809117</v>
      </c>
      <c r="AM88" s="73">
        <f>IF(D88&lt;&gt;"avg",SUMIFS(Summary!$H:$H,Summary!$C:$C,Financials!C88,Summary!$E:$E,Financials!E88,Summary!$D:$D,1-Financials!D88,Summary!$F:$F,Financials!F88),SUMIFS(Summary!$H:$H,Summary!$C:$C,Financials!C88,Summary!$E:$E,Financials!E88,Summary!$D:$D,"avg",Summary!$F:$F,Financials!F88))</f>
        <v>85382.777024268114</v>
      </c>
      <c r="AN88" s="20">
        <f>Summary!I88</f>
        <v>5727684.4704301683</v>
      </c>
      <c r="AP88" s="12">
        <v>1</v>
      </c>
    </row>
    <row r="89" spans="1:42" x14ac:dyDescent="0.3">
      <c r="A89">
        <v>85</v>
      </c>
      <c r="B89" t="str">
        <f>Summary!B89</f>
        <v>MarinusPortland</v>
      </c>
      <c r="C89" t="str">
        <f>Summary!C89</f>
        <v>Wind</v>
      </c>
      <c r="D89" s="104">
        <f>Summary!D89</f>
        <v>0.25</v>
      </c>
      <c r="E89" t="str">
        <f>Summary!E89</f>
        <v>Cal-32</v>
      </c>
      <c r="F89" t="str">
        <f>Summary!F89</f>
        <v>Wartsila dual fuel</v>
      </c>
      <c r="G89" s="73">
        <f>SUMIFS(AL$5:AL89,$F$5:$F89,$F89,$D$5:$D89,$D89)</f>
        <v>-29419115.228606954</v>
      </c>
      <c r="H89" s="73">
        <f>SUMIFS(AM$5:AM89,$F$5:$F89,$F89,$D$5:$D89,$D89)</f>
        <v>26428063.070638657</v>
      </c>
      <c r="I89" s="20">
        <f>SUMIFS(AN$5:AN89,$F$5:$F89,$F89,$D$5:$D89,$D89)</f>
        <v>53573758.434269682</v>
      </c>
      <c r="J89" s="73">
        <f t="shared" si="16"/>
        <v>53573758.434269682</v>
      </c>
      <c r="K89" s="73">
        <f t="shared" si="17"/>
        <v>24154643.205662727</v>
      </c>
      <c r="L89" s="73">
        <f t="shared" si="18"/>
        <v>50582706.276301384</v>
      </c>
      <c r="M89" s="73">
        <f>-SUMIFS(FinParameters!$E$8:$E$39,FinParameters!$B$8:$B$39,Financials!$E89,FinParameters!$C$8:$C$39,Financials!$F89)</f>
        <v>-21273466.312050667</v>
      </c>
      <c r="N89" s="73">
        <f>-SUMIFS(FinParameters!$F$8:$F$39,FinParameters!$B$8:$B$39,Financials!$E89,FinParameters!$C$8:$C$39,Financials!$F89)</f>
        <v>-74000000</v>
      </c>
      <c r="O89" s="73">
        <f>SUMIFS(FinParameters!$G$8:$G$39,FinParameters!$B$8:$B$39,Financials!$E89,FinParameters!$C$8:$C$39,Financials!$F89)</f>
        <v>10930920.6864246</v>
      </c>
      <c r="P89" s="73">
        <f t="shared" si="19"/>
        <v>32300292.122219015</v>
      </c>
      <c r="Q89" s="73">
        <f>P89/SUMIFS(FinParameters!$H$8:$H$39,FinParameters!$B$8:$B$39,Financials!$E89,FinParameters!$C$8:$C$39,Financials!$F89)</f>
        <v>10291868.49118603</v>
      </c>
      <c r="R89" s="73">
        <f t="shared" si="31"/>
        <v>-30768787.191356391</v>
      </c>
      <c r="S89" s="12">
        <f t="shared" si="20"/>
        <v>-0.48785851206699821</v>
      </c>
      <c r="T89" s="114">
        <f t="shared" si="21"/>
        <v>-29419115.228606954</v>
      </c>
      <c r="U89" s="73">
        <f>T89/SUMIFS(FinParameters!$L$8:$L$39,FinParameters!$B$8:$B$39,Financials!$E89,FinParameters!$C$8:$C$39,Financials!$F89)</f>
        <v>-21874756.261056762</v>
      </c>
      <c r="V89" s="73">
        <f t="shared" si="22"/>
        <v>-21874756.261056762</v>
      </c>
      <c r="W89" s="12"/>
      <c r="X89" s="73">
        <f t="shared" si="23"/>
        <v>2881176.8936120607</v>
      </c>
      <c r="Y89" s="73">
        <f t="shared" si="24"/>
        <v>-11582887.769870732</v>
      </c>
      <c r="Z89" s="73">
        <f t="shared" si="24"/>
        <v>-52643543.452413157</v>
      </c>
      <c r="AA89" s="12">
        <f t="shared" si="25"/>
        <v>-0.8346965585254994</v>
      </c>
      <c r="AB89" s="114">
        <f t="shared" si="26"/>
        <v>26428063.070638657</v>
      </c>
      <c r="AC89" s="73">
        <f>AB89/SUMIFS(FinParameters!$L$8:$L$39,FinParameters!$B$8:$B$39,Financials!$E89,FinParameters!$C$8:$C$39,Financials!$F89)</f>
        <v>19650741.826521963</v>
      </c>
      <c r="AD89" s="73">
        <f t="shared" si="27"/>
        <v>19650741.826521963</v>
      </c>
      <c r="AE89" s="12"/>
      <c r="AF89" s="73">
        <f t="shared" si="28"/>
        <v>29309239.964250717</v>
      </c>
      <c r="AG89" s="73">
        <f t="shared" si="29"/>
        <v>8067854.0566512309</v>
      </c>
      <c r="AH89" s="73">
        <f t="shared" si="29"/>
        <v>-32992801.625891194</v>
      </c>
      <c r="AI89" s="12">
        <f t="shared" si="30"/>
        <v>-0.52312166254803094</v>
      </c>
      <c r="AL89" s="73">
        <f>Summary!G89</f>
        <v>-6468695.1928835874</v>
      </c>
      <c r="AM89" s="73">
        <f>IF(D89&lt;&gt;"avg",SUMIFS(Summary!$H:$H,Summary!$C:$C,Financials!C89,Summary!$E:$E,Financials!E89,Summary!$D:$D,1-Financials!D89,Summary!$F:$F,Financials!F89),SUMIFS(Summary!$H:$H,Summary!$C:$C,Financials!C89,Summary!$E:$E,Financials!E89,Summary!$D:$D,"avg",Summary!$F:$F,Financials!F89))</f>
        <v>3105139.3178287721</v>
      </c>
      <c r="AN89" s="20">
        <f>Summary!I89</f>
        <v>4903192.5057939701</v>
      </c>
      <c r="AP89" s="12">
        <v>1</v>
      </c>
    </row>
    <row r="90" spans="1:42" x14ac:dyDescent="0.3">
      <c r="A90">
        <v>86</v>
      </c>
      <c r="B90" t="str">
        <f>Summary!B90</f>
        <v>MarinusPortland</v>
      </c>
      <c r="C90" t="str">
        <f>Summary!C90</f>
        <v>Wind</v>
      </c>
      <c r="D90" s="104">
        <f>Summary!D90</f>
        <v>0.05</v>
      </c>
      <c r="E90" t="str">
        <f>Summary!E90</f>
        <v>Cal-32</v>
      </c>
      <c r="F90" t="str">
        <f>Summary!F90</f>
        <v>Wartsila dual fuel</v>
      </c>
      <c r="G90" s="73">
        <f>SUMIFS(AL$5:AL90,$F$5:$F90,$F90,$D$5:$D90,$D90)</f>
        <v>-63573010.067096964</v>
      </c>
      <c r="H90" s="73">
        <f>SUMIFS(AM$5:AM90,$F$5:$F90,$F90,$D$5:$D90,$D90)</f>
        <v>61320943.156968191</v>
      </c>
      <c r="I90" s="20">
        <f>SUMIFS(AN$5:AN90,$F$5:$F90,$F90,$D$5:$D90,$D90)</f>
        <v>41717157.178910002</v>
      </c>
      <c r="J90" s="73">
        <f t="shared" si="16"/>
        <v>41717157.178910002</v>
      </c>
      <c r="K90" s="73">
        <f t="shared" si="17"/>
        <v>-21855852.888186961</v>
      </c>
      <c r="L90" s="73">
        <f t="shared" si="18"/>
        <v>39465090.26878123</v>
      </c>
      <c r="M90" s="73">
        <f>-SUMIFS(FinParameters!$E$8:$E$39,FinParameters!$B$8:$B$39,Financials!$E90,FinParameters!$C$8:$C$39,Financials!$F90)</f>
        <v>-21273466.312050667</v>
      </c>
      <c r="N90" s="73">
        <f>-SUMIFS(FinParameters!$F$8:$F$39,FinParameters!$B$8:$B$39,Financials!$E90,FinParameters!$C$8:$C$39,Financials!$F90)</f>
        <v>-74000000</v>
      </c>
      <c r="O90" s="73">
        <f>SUMIFS(FinParameters!$G$8:$G$39,FinParameters!$B$8:$B$39,Financials!$E90,FinParameters!$C$8:$C$39,Financials!$F90)</f>
        <v>10930920.6864246</v>
      </c>
      <c r="P90" s="73">
        <f t="shared" si="19"/>
        <v>20443690.866859335</v>
      </c>
      <c r="Q90" s="73">
        <f>P90/SUMIFS(FinParameters!$H$8:$H$39,FinParameters!$B$8:$B$39,Financials!$E90,FinParameters!$C$8:$C$39,Financials!$F90)</f>
        <v>6513989.9379251357</v>
      </c>
      <c r="R90" s="73">
        <f t="shared" si="31"/>
        <v>-42625388.44671607</v>
      </c>
      <c r="S90" s="12">
        <f t="shared" si="20"/>
        <v>-0.67585239725453072</v>
      </c>
      <c r="T90" s="114">
        <f t="shared" si="21"/>
        <v>-63573010.067096964</v>
      </c>
      <c r="U90" s="73">
        <f>T90/SUMIFS(FinParameters!$L$8:$L$39,FinParameters!$B$8:$B$39,Financials!$E90,FinParameters!$C$8:$C$39,Financials!$F90)</f>
        <v>-47270085.7654346</v>
      </c>
      <c r="V90" s="73">
        <f t="shared" si="22"/>
        <v>-47270085.7654346</v>
      </c>
      <c r="W90" s="12"/>
      <c r="X90" s="73">
        <f t="shared" si="23"/>
        <v>-43129319.200237632</v>
      </c>
      <c r="Y90" s="73">
        <f t="shared" si="24"/>
        <v>-40756095.827509463</v>
      </c>
      <c r="Z90" s="73">
        <f t="shared" si="24"/>
        <v>-89895474.212150663</v>
      </c>
      <c r="AA90" s="12">
        <f t="shared" si="25"/>
        <v>-1.4253493976849758</v>
      </c>
      <c r="AB90" s="114">
        <f t="shared" si="26"/>
        <v>61320943.156968191</v>
      </c>
      <c r="AC90" s="73">
        <f>AB90/SUMIFS(FinParameters!$L$8:$L$39,FinParameters!$B$8:$B$39,Financials!$E90,FinParameters!$C$8:$C$39,Financials!$F90)</f>
        <v>45595548.160892546</v>
      </c>
      <c r="AD90" s="73">
        <f t="shared" si="27"/>
        <v>45595548.160892546</v>
      </c>
      <c r="AE90" s="12"/>
      <c r="AF90" s="73">
        <f t="shared" si="28"/>
        <v>18191623.956730559</v>
      </c>
      <c r="AG90" s="73">
        <f t="shared" si="29"/>
        <v>4839452.3333830833</v>
      </c>
      <c r="AH90" s="73">
        <f t="shared" si="29"/>
        <v>-44299926.051258117</v>
      </c>
      <c r="AI90" s="12">
        <f t="shared" si="30"/>
        <v>-0.70240324630397311</v>
      </c>
      <c r="AL90" s="73">
        <f>Summary!G90</f>
        <v>-9436194.5767296143</v>
      </c>
      <c r="AM90" s="73">
        <f>IF(D90&lt;&gt;"avg",SUMIFS(Summary!$H:$H,Summary!$C:$C,Financials!C90,Summary!$E:$E,Financials!E90,Summary!$D:$D,1-Financials!D90,Summary!$F:$F,Financials!F90),SUMIFS(Summary!$H:$H,Summary!$C:$C,Financials!C90,Summary!$E:$E,Financials!E90,Summary!$D:$D,"avg",Summary!$F:$F,Financials!F90))</f>
        <v>7060266.2572589591</v>
      </c>
      <c r="AN90" s="20">
        <f>Summary!I90</f>
        <v>3848078.9112427747</v>
      </c>
      <c r="AP90" s="12">
        <v>1</v>
      </c>
    </row>
    <row r="91" spans="1:42" x14ac:dyDescent="0.3">
      <c r="A91">
        <v>87</v>
      </c>
      <c r="B91" t="str">
        <f>Summary!B91</f>
        <v>MarinusPortland</v>
      </c>
      <c r="C91" t="str">
        <f>Summary!C91</f>
        <v>Wind</v>
      </c>
      <c r="D91" s="104">
        <f>Summary!D91</f>
        <v>0</v>
      </c>
      <c r="E91" t="str">
        <f>Summary!E91</f>
        <v>Cal-32</v>
      </c>
      <c r="F91" t="str">
        <f>Summary!F91</f>
        <v>Wartsila dual fuel</v>
      </c>
      <c r="G91" s="73">
        <f>SUMIFS(AL$5:AL91,$F$5:$F91,$F91,$D$5:$D91,$D91)</f>
        <v>-114367576.00145237</v>
      </c>
      <c r="H91" s="73">
        <f>SUMIFS(AM$5:AM91,$F$5:$F91,$F91,$D$5:$D91,$D91)</f>
        <v>131711442.6338141</v>
      </c>
      <c r="I91" s="20">
        <f>SUMIFS(AN$5:AN91,$F$5:$F91,$F91,$D$5:$D91,$D91)</f>
        <v>22648643.311901409</v>
      </c>
      <c r="J91" s="73">
        <f t="shared" si="16"/>
        <v>22648643.311901409</v>
      </c>
      <c r="K91" s="73">
        <f t="shared" si="17"/>
        <v>-91718932.689550966</v>
      </c>
      <c r="L91" s="73">
        <f t="shared" si="18"/>
        <v>39992509.94426313</v>
      </c>
      <c r="M91" s="73">
        <f>-SUMIFS(FinParameters!$E$8:$E$39,FinParameters!$B$8:$B$39,Financials!$E91,FinParameters!$C$8:$C$39,Financials!$F91)</f>
        <v>-21273466.312050667</v>
      </c>
      <c r="N91" s="73">
        <f>-SUMIFS(FinParameters!$F$8:$F$39,FinParameters!$B$8:$B$39,Financials!$E91,FinParameters!$C$8:$C$39,Financials!$F91)</f>
        <v>-74000000</v>
      </c>
      <c r="O91" s="73">
        <f>SUMIFS(FinParameters!$G$8:$G$39,FinParameters!$B$8:$B$39,Financials!$E91,FinParameters!$C$8:$C$39,Financials!$F91)</f>
        <v>10930920.6864246</v>
      </c>
      <c r="P91" s="73">
        <f t="shared" si="19"/>
        <v>1375176.9998507425</v>
      </c>
      <c r="Q91" s="73">
        <f>P91/SUMIFS(FinParameters!$H$8:$H$39,FinParameters!$B$8:$B$39,Financials!$E91,FinParameters!$C$8:$C$39,Financials!$F91)</f>
        <v>438173.77195891686</v>
      </c>
      <c r="R91" s="73">
        <f t="shared" si="31"/>
        <v>-61693902.313724652</v>
      </c>
      <c r="S91" s="12">
        <f t="shared" si="20"/>
        <v>-0.97819570200139661</v>
      </c>
      <c r="T91" s="114">
        <f t="shared" si="21"/>
        <v>-114367576.00145237</v>
      </c>
      <c r="U91" s="73">
        <f>T91/SUMIFS(FinParameters!$L$8:$L$39,FinParameters!$B$8:$B$39,Financials!$E91,FinParameters!$C$8:$C$39,Financials!$F91)</f>
        <v>-85038684.194246516</v>
      </c>
      <c r="V91" s="73">
        <f t="shared" si="22"/>
        <v>-85038684.194246516</v>
      </c>
      <c r="W91" s="12"/>
      <c r="X91" s="73">
        <f t="shared" si="23"/>
        <v>-112992399.00160164</v>
      </c>
      <c r="Y91" s="73">
        <f t="shared" si="24"/>
        <v>-84600510.422287598</v>
      </c>
      <c r="Z91" s="73">
        <f t="shared" si="24"/>
        <v>-146732586.50797117</v>
      </c>
      <c r="AA91" s="12">
        <f t="shared" si="25"/>
        <v>-2.3265376330995129</v>
      </c>
      <c r="AB91" s="114">
        <f t="shared" si="26"/>
        <v>131711442.6338141</v>
      </c>
      <c r="AC91" s="73">
        <f>AB91/SUMIFS(FinParameters!$L$8:$L$39,FinParameters!$B$8:$B$39,Financials!$E91,FinParameters!$C$8:$C$39,Financials!$F91)</f>
        <v>97934818.298180044</v>
      </c>
      <c r="AD91" s="73">
        <f t="shared" si="27"/>
        <v>97934818.298180044</v>
      </c>
      <c r="AE91" s="12"/>
      <c r="AF91" s="73">
        <f t="shared" si="28"/>
        <v>18719043.63221246</v>
      </c>
      <c r="AG91" s="73">
        <f t="shared" si="29"/>
        <v>13334307.875892445</v>
      </c>
      <c r="AH91" s="73">
        <f t="shared" si="29"/>
        <v>-48797768.209791124</v>
      </c>
      <c r="AI91" s="12">
        <f t="shared" si="30"/>
        <v>-0.77371936836388178</v>
      </c>
      <c r="AL91" s="73">
        <f>Summary!G91</f>
        <v>-13341907.085893514</v>
      </c>
      <c r="AM91" s="73">
        <f>IF(D91&lt;&gt;"avg",SUMIFS(Summary!$H:$H,Summary!$C:$C,Financials!C91,Summary!$E:$E,Financials!E91,Summary!$D:$D,1-Financials!D91,Summary!$F:$F,Financials!F91),SUMIFS(Summary!$H:$H,Summary!$C:$C,Financials!C91,Summary!$E:$E,Financials!E91,Summary!$D:$D,"avg",Summary!$F:$F,Financials!F91))</f>
        <v>14936568.197557278</v>
      </c>
      <c r="AN91" s="20">
        <f>Summary!I91</f>
        <v>2369180.3447511434</v>
      </c>
      <c r="AP91" s="12">
        <v>1</v>
      </c>
    </row>
    <row r="92" spans="1:42" x14ac:dyDescent="0.3">
      <c r="A92">
        <v>88</v>
      </c>
      <c r="B92" t="str">
        <f>Summary!B92</f>
        <v>MarinusPortland</v>
      </c>
      <c r="C92" t="str">
        <f>Summary!C92</f>
        <v>Wind</v>
      </c>
      <c r="D92" s="104" t="str">
        <f>Summary!D92</f>
        <v>avg</v>
      </c>
      <c r="E92" t="str">
        <f>Summary!E92</f>
        <v>Cal-32</v>
      </c>
      <c r="F92" t="str">
        <f>Summary!F92</f>
        <v>Wartsila dual fuel</v>
      </c>
      <c r="G92" s="73">
        <f>SUMIFS(AL$5:AL92,$F$5:$F92,$F92,$D$5:$D92,$D92)</f>
        <v>7816853.3920148062</v>
      </c>
      <c r="H92" s="73">
        <f>SUMIFS(AM$5:AM92,$F$5:$F92,$F92,$D$5:$D92,$D92)</f>
        <v>-1675307.5189032557</v>
      </c>
      <c r="I92" s="20">
        <f>SUMIFS(AN$5:AN92,$F$5:$F92,$F92,$D$5:$D92,$D92)</f>
        <v>64122415.609625317</v>
      </c>
      <c r="J92" s="73">
        <f t="shared" si="16"/>
        <v>64122415.609625317</v>
      </c>
      <c r="K92" s="73">
        <f t="shared" si="17"/>
        <v>71939269.001640126</v>
      </c>
      <c r="L92" s="73">
        <f t="shared" si="18"/>
        <v>70263961.482736871</v>
      </c>
      <c r="M92" s="73">
        <f>-SUMIFS(FinParameters!$E$8:$E$39,FinParameters!$B$8:$B$39,Financials!$E92,FinParameters!$C$8:$C$39,Financials!$F92)</f>
        <v>-21273466.312050667</v>
      </c>
      <c r="N92" s="73">
        <f>-SUMIFS(FinParameters!$F$8:$F$39,FinParameters!$B$8:$B$39,Financials!$E92,FinParameters!$C$8:$C$39,Financials!$F92)</f>
        <v>-74000000</v>
      </c>
      <c r="O92" s="73">
        <f>SUMIFS(FinParameters!$G$8:$G$39,FinParameters!$B$8:$B$39,Financials!$E92,FinParameters!$C$8:$C$39,Financials!$F92)</f>
        <v>10930920.6864246</v>
      </c>
      <c r="P92" s="73">
        <f t="shared" si="19"/>
        <v>42848949.297574654</v>
      </c>
      <c r="Q92" s="73">
        <f>P92/SUMIFS(FinParameters!$H$8:$H$39,FinParameters!$B$8:$B$39,Financials!$E92,FinParameters!$C$8:$C$39,Financials!$F92)</f>
        <v>13652995.752715817</v>
      </c>
      <c r="R92" s="73">
        <f t="shared" si="31"/>
        <v>-20220130.016000748</v>
      </c>
      <c r="S92" s="12">
        <f t="shared" si="20"/>
        <v>-0.32060290456227469</v>
      </c>
      <c r="T92" s="114">
        <f t="shared" si="21"/>
        <v>7816853.3920148062</v>
      </c>
      <c r="U92" s="73">
        <f>T92/SUMIFS(FinParameters!$L$8:$L$39,FinParameters!$B$8:$B$39,Financials!$E92,FinParameters!$C$8:$C$39,Financials!$F92)</f>
        <v>5812267.3421689924</v>
      </c>
      <c r="V92" s="73">
        <f t="shared" si="22"/>
        <v>5812267.3421689924</v>
      </c>
      <c r="W92" s="12"/>
      <c r="X92" s="73">
        <f t="shared" si="23"/>
        <v>50665802.689589456</v>
      </c>
      <c r="Y92" s="73">
        <f t="shared" si="24"/>
        <v>19465263.094884809</v>
      </c>
      <c r="Z92" s="73">
        <f t="shared" si="24"/>
        <v>-14407862.673831755</v>
      </c>
      <c r="AA92" s="12">
        <f t="shared" si="25"/>
        <v>-0.22844574283694216</v>
      </c>
      <c r="AB92" s="114">
        <f t="shared" si="26"/>
        <v>-1675307.5189032557</v>
      </c>
      <c r="AC92" s="73">
        <f>AB92/SUMIFS(FinParameters!$L$8:$L$39,FinParameters!$B$8:$B$39,Financials!$E92,FinParameters!$C$8:$C$39,Financials!$F92)</f>
        <v>-1245684.7649411706</v>
      </c>
      <c r="AD92" s="73">
        <f t="shared" si="27"/>
        <v>-1245684.7649411706</v>
      </c>
      <c r="AE92" s="12"/>
      <c r="AF92" s="73">
        <f t="shared" si="28"/>
        <v>48990495.1706862</v>
      </c>
      <c r="AG92" s="73">
        <f t="shared" si="29"/>
        <v>18219578.329943638</v>
      </c>
      <c r="AH92" s="73">
        <f t="shared" si="29"/>
        <v>-15653547.438772926</v>
      </c>
      <c r="AI92" s="12">
        <f t="shared" si="30"/>
        <v>-0.24819685984227702</v>
      </c>
      <c r="AL92" s="73">
        <f>Summary!G92</f>
        <v>-3357649.7288134275</v>
      </c>
      <c r="AM92" s="73">
        <f>IF(D92&lt;&gt;"avg",SUMIFS(Summary!$H:$H,Summary!$C:$C,Financials!C92,Summary!$E:$E,Financials!E92,Summary!$D:$D,1-Financials!D92,Summary!$F:$F,Financials!F92),SUMIFS(Summary!$H:$H,Summary!$C:$C,Financials!C92,Summary!$E:$E,Financials!E92,Summary!$D:$D,"avg",Summary!$F:$F,Financials!F92))</f>
        <v>-257699.8018535398</v>
      </c>
      <c r="AN92" s="20">
        <f>Summary!I92</f>
        <v>5856550.5666823769</v>
      </c>
      <c r="AP92" s="12">
        <v>1</v>
      </c>
    </row>
    <row r="93" spans="1:42" x14ac:dyDescent="0.3">
      <c r="A93">
        <v>89</v>
      </c>
      <c r="B93" t="str">
        <f>Summary!B93</f>
        <v>MarinusPortland</v>
      </c>
      <c r="C93" t="str">
        <f>Summary!C93</f>
        <v>Wind</v>
      </c>
      <c r="D93" s="104">
        <f>Summary!D93</f>
        <v>1</v>
      </c>
      <c r="E93" t="str">
        <f>Summary!E93</f>
        <v>Cal-33</v>
      </c>
      <c r="F93" t="str">
        <f>Summary!F93</f>
        <v>Wartsila dual fuel</v>
      </c>
      <c r="G93" s="73">
        <f>SUMIFS(AL$5:AL93,$F$5:$F93,$F93,$D$5:$D93,$D93)</f>
        <v>232662493.21639121</v>
      </c>
      <c r="H93" s="73">
        <f>SUMIFS(AM$5:AM93,$F$5:$F93,$F93,$D$5:$D93,$D93)</f>
        <v>-188282407.25349849</v>
      </c>
      <c r="I93" s="20">
        <f>SUMIFS(AN$5:AN93,$F$5:$F93,$F93,$D$5:$D93,$D93)</f>
        <v>147961065.47568241</v>
      </c>
      <c r="J93" s="73">
        <f t="shared" si="16"/>
        <v>147961065.47568241</v>
      </c>
      <c r="K93" s="73">
        <f t="shared" si="17"/>
        <v>380623558.69207358</v>
      </c>
      <c r="L93" s="73">
        <f t="shared" si="18"/>
        <v>192341151.43857512</v>
      </c>
      <c r="M93" s="73">
        <f>-SUMIFS(FinParameters!$E$8:$E$39,FinParameters!$B$8:$B$39,Financials!$E93,FinParameters!$C$8:$C$39,Financials!$F93)</f>
        <v>-23215927.969851933</v>
      </c>
      <c r="N93" s="73">
        <f>-SUMIFS(FinParameters!$F$8:$F$39,FinParameters!$B$8:$B$39,Financials!$E93,FinParameters!$C$8:$C$39,Financials!$F93)</f>
        <v>-74000000</v>
      </c>
      <c r="O93" s="73">
        <f>SUMIFS(FinParameters!$G$8:$G$39,FinParameters!$B$8:$B$39,Financials!$E93,FinParameters!$C$8:$C$39,Financials!$F93)</f>
        <v>9266439.5819008537</v>
      </c>
      <c r="P93" s="73">
        <f t="shared" si="19"/>
        <v>124745137.50583047</v>
      </c>
      <c r="Q93" s="73">
        <f>P93/SUMIFS(FinParameters!$H$8:$H$39,FinParameters!$B$8:$B$39,Financials!$E93,FinParameters!$C$8:$C$39,Financials!$F93)</f>
        <v>36134222.880794197</v>
      </c>
      <c r="R93" s="73">
        <f t="shared" si="31"/>
        <v>60011577.087731317</v>
      </c>
      <c r="S93" s="12">
        <f t="shared" si="20"/>
        <v>0.9270550963075469</v>
      </c>
      <c r="T93" s="114">
        <f t="shared" si="21"/>
        <v>232662493.21639121</v>
      </c>
      <c r="U93" s="73">
        <f>T93/SUMIFS(FinParameters!$L$8:$L$39,FinParameters!$B$8:$B$39,Financials!$E93,FinParameters!$C$8:$C$39,Financials!$F93)</f>
        <v>168778113.22962135</v>
      </c>
      <c r="V93" s="73">
        <f t="shared" si="22"/>
        <v>168778113.22962135</v>
      </c>
      <c r="W93" s="12"/>
      <c r="X93" s="73">
        <f t="shared" si="23"/>
        <v>357407630.72222167</v>
      </c>
      <c r="Y93" s="73">
        <f t="shared" si="24"/>
        <v>204912336.11041555</v>
      </c>
      <c r="Z93" s="73">
        <f t="shared" si="24"/>
        <v>228789690.31735265</v>
      </c>
      <c r="AA93" s="12">
        <f t="shared" si="25"/>
        <v>3.534328852602155</v>
      </c>
      <c r="AB93" s="114">
        <f t="shared" si="26"/>
        <v>-188282407.25349849</v>
      </c>
      <c r="AC93" s="73">
        <f>AB93/SUMIFS(FinParameters!$L$8:$L$39,FinParameters!$B$8:$B$39,Financials!$E93,FinParameters!$C$8:$C$39,Financials!$F93)</f>
        <v>-136583894.5988647</v>
      </c>
      <c r="AD93" s="73">
        <f t="shared" si="27"/>
        <v>-136583894.5988647</v>
      </c>
      <c r="AE93" s="12"/>
      <c r="AF93" s="73">
        <f t="shared" si="28"/>
        <v>169125223.46872318</v>
      </c>
      <c r="AG93" s="73">
        <f t="shared" si="29"/>
        <v>68328441.511550844</v>
      </c>
      <c r="AH93" s="73">
        <f t="shared" si="29"/>
        <v>92205795.718487948</v>
      </c>
      <c r="AI93" s="12">
        <f t="shared" si="30"/>
        <v>1.4243893758191573</v>
      </c>
      <c r="AL93" s="73">
        <f>Summary!G93</f>
        <v>16245806.461181702</v>
      </c>
      <c r="AM93" s="73">
        <f>IF(D93&lt;&gt;"avg",SUMIFS(Summary!$H:$H,Summary!$C:$C,Financials!C93,Summary!$E:$E,Financials!E93,Summary!$D:$D,1-Financials!D93,Summary!$F:$F,Financials!F93),SUMIFS(Summary!$H:$H,Summary!$C:$C,Financials!C93,Summary!$E:$E,Financials!E93,Summary!$D:$D,"avg",Summary!$F:$F,Financials!F93))</f>
        <v>-17749414.236748271</v>
      </c>
      <c r="AN93" s="20">
        <f>Summary!I93</f>
        <v>12969133.964887621</v>
      </c>
      <c r="AP93" s="12">
        <v>1</v>
      </c>
    </row>
    <row r="94" spans="1:42" x14ac:dyDescent="0.3">
      <c r="A94">
        <v>90</v>
      </c>
      <c r="B94" t="str">
        <f>Summary!B94</f>
        <v>MarinusPortland</v>
      </c>
      <c r="C94" t="str">
        <f>Summary!C94</f>
        <v>Wind</v>
      </c>
      <c r="D94" s="104">
        <f>Summary!D94</f>
        <v>0.95</v>
      </c>
      <c r="E94" t="str">
        <f>Summary!E94</f>
        <v>Cal-33</v>
      </c>
      <c r="F94" t="str">
        <f>Summary!F94</f>
        <v>Wartsila dual fuel</v>
      </c>
      <c r="G94" s="73">
        <f>SUMIFS(AL$5:AL94,$F$5:$F94,$F94,$D$5:$D94,$D94)</f>
        <v>107355488.86789337</v>
      </c>
      <c r="H94" s="73">
        <f>SUMIFS(AM$5:AM94,$F$5:$F94,$F94,$D$5:$D94,$D94)</f>
        <v>-79977888.388049141</v>
      </c>
      <c r="I94" s="20">
        <f>SUMIFS(AN$5:AN94,$F$5:$F94,$F94,$D$5:$D94,$D94)</f>
        <v>100824716.186582</v>
      </c>
      <c r="J94" s="73">
        <f t="shared" si="16"/>
        <v>100824716.186582</v>
      </c>
      <c r="K94" s="73">
        <f t="shared" si="17"/>
        <v>208180205.05447537</v>
      </c>
      <c r="L94" s="73">
        <f t="shared" si="18"/>
        <v>128202316.66642623</v>
      </c>
      <c r="M94" s="73">
        <f>-SUMIFS(FinParameters!$E$8:$E$39,FinParameters!$B$8:$B$39,Financials!$E94,FinParameters!$C$8:$C$39,Financials!$F94)</f>
        <v>-23215927.969851933</v>
      </c>
      <c r="N94" s="73">
        <f>-SUMIFS(FinParameters!$F$8:$F$39,FinParameters!$B$8:$B$39,Financials!$E94,FinParameters!$C$8:$C$39,Financials!$F94)</f>
        <v>-74000000</v>
      </c>
      <c r="O94" s="73">
        <f>SUMIFS(FinParameters!$G$8:$G$39,FinParameters!$B$8:$B$39,Financials!$E94,FinParameters!$C$8:$C$39,Financials!$F94)</f>
        <v>9266439.5819008537</v>
      </c>
      <c r="P94" s="73">
        <f t="shared" si="19"/>
        <v>77608788.216730058</v>
      </c>
      <c r="Q94" s="73">
        <f>P94/SUMIFS(FinParameters!$H$8:$H$39,FinParameters!$B$8:$B$39,Financials!$E94,FinParameters!$C$8:$C$39,Financials!$F94)</f>
        <v>22480501.500915065</v>
      </c>
      <c r="R94" s="73">
        <f t="shared" si="31"/>
        <v>12875227.798630912</v>
      </c>
      <c r="S94" s="12">
        <f t="shared" si="20"/>
        <v>0.19889571522828009</v>
      </c>
      <c r="T94" s="114">
        <f t="shared" si="21"/>
        <v>107355488.86789337</v>
      </c>
      <c r="U94" s="73">
        <f>T94/SUMIFS(FinParameters!$L$8:$L$39,FinParameters!$B$8:$B$39,Financials!$E94,FinParameters!$C$8:$C$39,Financials!$F94)</f>
        <v>77877859.063061699</v>
      </c>
      <c r="V94" s="73">
        <f t="shared" si="22"/>
        <v>77877859.063061699</v>
      </c>
      <c r="W94" s="12"/>
      <c r="X94" s="73">
        <f t="shared" si="23"/>
        <v>184964277.08462343</v>
      </c>
      <c r="Y94" s="73">
        <f t="shared" si="24"/>
        <v>100358360.56397676</v>
      </c>
      <c r="Z94" s="73">
        <f t="shared" si="24"/>
        <v>90753086.861692607</v>
      </c>
      <c r="AA94" s="12">
        <f t="shared" si="25"/>
        <v>1.4019480200925043</v>
      </c>
      <c r="AB94" s="114">
        <f t="shared" si="26"/>
        <v>-79977888.388049141</v>
      </c>
      <c r="AC94" s="73">
        <f>AB94/SUMIFS(FinParameters!$L$8:$L$39,FinParameters!$B$8:$B$39,Financials!$E94,FinParameters!$C$8:$C$39,Financials!$F94)</f>
        <v>-58017589.838469066</v>
      </c>
      <c r="AD94" s="73">
        <f t="shared" si="27"/>
        <v>-58017589.838469066</v>
      </c>
      <c r="AE94" s="12"/>
      <c r="AF94" s="73">
        <f t="shared" si="28"/>
        <v>104986388.69657429</v>
      </c>
      <c r="AG94" s="73">
        <f t="shared" si="29"/>
        <v>42340770.725507699</v>
      </c>
      <c r="AH94" s="73">
        <f t="shared" si="29"/>
        <v>32735497.023223542</v>
      </c>
      <c r="AI94" s="12">
        <f t="shared" si="30"/>
        <v>0.50569591432623995</v>
      </c>
      <c r="AL94" s="73">
        <f>Summary!G94</f>
        <v>5773284.0838598032</v>
      </c>
      <c r="AM94" s="73">
        <f>IF(D94&lt;&gt;"avg",SUMIFS(Summary!$H:$H,Summary!$C:$C,Financials!C94,Summary!$E:$E,Financials!E94,Summary!$D:$D,1-Financials!D94,Summary!$F:$F,Financials!F94),SUMIFS(Summary!$H:$H,Summary!$C:$C,Financials!C94,Summary!$E:$E,Financials!E94,Summary!$D:$D,"avg",Summary!$F:$F,Financials!F94))</f>
        <v>-8756814.1166702956</v>
      </c>
      <c r="AN94" s="20">
        <f>Summary!I94</f>
        <v>8853770.2056031153</v>
      </c>
      <c r="AP94" s="12">
        <v>1</v>
      </c>
    </row>
    <row r="95" spans="1:42" x14ac:dyDescent="0.3">
      <c r="A95">
        <v>91</v>
      </c>
      <c r="B95" t="str">
        <f>Summary!B95</f>
        <v>MarinusPortland</v>
      </c>
      <c r="C95" t="str">
        <f>Summary!C95</f>
        <v>Wind</v>
      </c>
      <c r="D95" s="104">
        <f>Summary!D95</f>
        <v>0.75</v>
      </c>
      <c r="E95" t="str">
        <f>Summary!E95</f>
        <v>Cal-33</v>
      </c>
      <c r="F95" t="str">
        <f>Summary!F95</f>
        <v>Wartsila dual fuel</v>
      </c>
      <c r="G95" s="73">
        <f>SUMIFS(AL$5:AL95,$F$5:$F95,$F95,$D$5:$D95,$D95)</f>
        <v>41725023.19894357</v>
      </c>
      <c r="H95" s="73">
        <f>SUMIFS(AM$5:AM95,$F$5:$F95,$F95,$D$5:$D95,$D95)</f>
        <v>-31755215.881860621</v>
      </c>
      <c r="I95" s="20">
        <f>SUMIFS(AN$5:AN95,$F$5:$F95,$F95,$D$5:$D95,$D95)</f>
        <v>80642222.604934871</v>
      </c>
      <c r="J95" s="73">
        <f t="shared" si="16"/>
        <v>80642222.604934871</v>
      </c>
      <c r="K95" s="73">
        <f t="shared" si="17"/>
        <v>122367245.80387844</v>
      </c>
      <c r="L95" s="73">
        <f t="shared" si="18"/>
        <v>90612029.922017813</v>
      </c>
      <c r="M95" s="73">
        <f>-SUMIFS(FinParameters!$E$8:$E$39,FinParameters!$B$8:$B$39,Financials!$E95,FinParameters!$C$8:$C$39,Financials!$F95)</f>
        <v>-23215927.969851933</v>
      </c>
      <c r="N95" s="73">
        <f>-SUMIFS(FinParameters!$F$8:$F$39,FinParameters!$B$8:$B$39,Financials!$E95,FinParameters!$C$8:$C$39,Financials!$F95)</f>
        <v>-74000000</v>
      </c>
      <c r="O95" s="73">
        <f>SUMIFS(FinParameters!$G$8:$G$39,FinParameters!$B$8:$B$39,Financials!$E95,FinParameters!$C$8:$C$39,Financials!$F95)</f>
        <v>9266439.5819008537</v>
      </c>
      <c r="P95" s="73">
        <f t="shared" si="19"/>
        <v>57426294.635082938</v>
      </c>
      <c r="Q95" s="73">
        <f>P95/SUMIFS(FinParameters!$H$8:$H$39,FinParameters!$B$8:$B$39,Financials!$E95,FinParameters!$C$8:$C$39,Financials!$F95)</f>
        <v>16634352.016047573</v>
      </c>
      <c r="R95" s="73">
        <f t="shared" si="31"/>
        <v>-7307265.7830162086</v>
      </c>
      <c r="S95" s="12">
        <f t="shared" si="20"/>
        <v>-0.1128821856208783</v>
      </c>
      <c r="T95" s="114">
        <f t="shared" si="21"/>
        <v>41725023.19894357</v>
      </c>
      <c r="U95" s="73">
        <f>T95/SUMIFS(FinParameters!$L$8:$L$39,FinParameters!$B$8:$B$39,Financials!$E95,FinParameters!$C$8:$C$39,Financials!$F95)</f>
        <v>30268182.003147829</v>
      </c>
      <c r="V95" s="73">
        <f t="shared" si="22"/>
        <v>30268182.003147829</v>
      </c>
      <c r="W95" s="12"/>
      <c r="X95" s="73">
        <f t="shared" si="23"/>
        <v>99151317.834026515</v>
      </c>
      <c r="Y95" s="73">
        <f t="shared" si="24"/>
        <v>46902534.0191954</v>
      </c>
      <c r="Z95" s="73">
        <f t="shared" si="24"/>
        <v>22960916.220131621</v>
      </c>
      <c r="AA95" s="12">
        <f t="shared" si="25"/>
        <v>0.35469880031057083</v>
      </c>
      <c r="AB95" s="114">
        <f t="shared" si="26"/>
        <v>-31755215.881860621</v>
      </c>
      <c r="AC95" s="73">
        <f>AB95/SUMIFS(FinParameters!$L$8:$L$39,FinParameters!$B$8:$B$39,Financials!$E95,FinParameters!$C$8:$C$39,Financials!$F95)</f>
        <v>-23035880.633991919</v>
      </c>
      <c r="AD95" s="73">
        <f t="shared" si="27"/>
        <v>-23035880.633991919</v>
      </c>
      <c r="AE95" s="12"/>
      <c r="AF95" s="73">
        <f t="shared" si="28"/>
        <v>67396101.952165902</v>
      </c>
      <c r="AG95" s="73">
        <f t="shared" si="29"/>
        <v>23866653.385203481</v>
      </c>
      <c r="AH95" s="73">
        <f t="shared" si="29"/>
        <v>-74964.413860298693</v>
      </c>
      <c r="AI95" s="12">
        <f t="shared" si="30"/>
        <v>-1.1580455852593433E-3</v>
      </c>
      <c r="AL95" s="73">
        <f>Summary!G95</f>
        <v>1189308.975918836</v>
      </c>
      <c r="AM95" s="73">
        <f>IF(D95&lt;&gt;"avg",SUMIFS(Summary!$H:$H,Summary!$C:$C,Financials!C95,Summary!$E:$E,Financials!E95,Summary!$D:$D,1-Financials!D95,Summary!$F:$F,Financials!F95),SUMIFS(Summary!$H:$H,Summary!$C:$C,Financials!C95,Summary!$E:$E,Financials!E95,Summary!$D:$D,"avg",Summary!$F:$F,Financials!F95))</f>
        <v>-3725528.8503632131</v>
      </c>
      <c r="AN95" s="20">
        <f>Summary!I95</f>
        <v>7225513.0085995998</v>
      </c>
      <c r="AP95" s="12">
        <v>1</v>
      </c>
    </row>
    <row r="96" spans="1:42" x14ac:dyDescent="0.3">
      <c r="A96">
        <v>92</v>
      </c>
      <c r="B96" t="str">
        <f>Summary!B96</f>
        <v>MarinusPortland</v>
      </c>
      <c r="C96" t="str">
        <f>Summary!C96</f>
        <v>Wind</v>
      </c>
      <c r="D96" s="104">
        <f>Summary!D96</f>
        <v>0.5</v>
      </c>
      <c r="E96" t="str">
        <f>Summary!E96</f>
        <v>Cal-33</v>
      </c>
      <c r="F96" t="str">
        <f>Summary!F96</f>
        <v>Wartsila dual fuel</v>
      </c>
      <c r="G96" s="73">
        <f>SUMIFS(AL$5:AL96,$F$5:$F96,$F96,$D$5:$D96,$D96)</f>
        <v>-2172815.4158605766</v>
      </c>
      <c r="H96" s="73">
        <f>SUMIFS(AM$5:AM96,$F$5:$F96,$F96,$D$5:$D96,$D96)</f>
        <v>249053.33337505889</v>
      </c>
      <c r="I96" s="20">
        <f>SUMIFS(AN$5:AN96,$F$5:$F96,$F96,$D$5:$D96,$D96)</f>
        <v>69023105.838961333</v>
      </c>
      <c r="J96" s="73">
        <f t="shared" si="16"/>
        <v>69023105.838961333</v>
      </c>
      <c r="K96" s="73">
        <f t="shared" si="17"/>
        <v>66850290.423100755</v>
      </c>
      <c r="L96" s="73">
        <f t="shared" si="18"/>
        <v>67099343.756475814</v>
      </c>
      <c r="M96" s="73">
        <f>-SUMIFS(FinParameters!$E$8:$E$39,FinParameters!$B$8:$B$39,Financials!$E96,FinParameters!$C$8:$C$39,Financials!$F96)</f>
        <v>-23215927.969851933</v>
      </c>
      <c r="N96" s="73">
        <f>-SUMIFS(FinParameters!$F$8:$F$39,FinParameters!$B$8:$B$39,Financials!$E96,FinParameters!$C$8:$C$39,Financials!$F96)</f>
        <v>-74000000</v>
      </c>
      <c r="O96" s="73">
        <f>SUMIFS(FinParameters!$G$8:$G$39,FinParameters!$B$8:$B$39,Financials!$E96,FinParameters!$C$8:$C$39,Financials!$F96)</f>
        <v>9266439.5819008537</v>
      </c>
      <c r="P96" s="73">
        <f t="shared" si="19"/>
        <v>45807177.8691094</v>
      </c>
      <c r="Q96" s="73">
        <f>P96/SUMIFS(FinParameters!$H$8:$H$39,FinParameters!$B$8:$B$39,Financials!$E96,FinParameters!$C$8:$C$39,Financials!$F96)</f>
        <v>13268707.7649437</v>
      </c>
      <c r="R96" s="73">
        <f t="shared" si="31"/>
        <v>-18926382.548989747</v>
      </c>
      <c r="S96" s="12">
        <f t="shared" si="20"/>
        <v>-0.29237357603611797</v>
      </c>
      <c r="T96" s="114">
        <f t="shared" si="21"/>
        <v>-2172815.4158605766</v>
      </c>
      <c r="U96" s="73">
        <f>T96/SUMIFS(FinParameters!$L$8:$L$39,FinParameters!$B$8:$B$39,Financials!$E96,FinParameters!$C$8:$C$39,Financials!$F96)</f>
        <v>-1576204.5752002941</v>
      </c>
      <c r="V96" s="73">
        <f t="shared" si="22"/>
        <v>-1576204.5752002941</v>
      </c>
      <c r="W96" s="12"/>
      <c r="X96" s="73">
        <f t="shared" si="23"/>
        <v>43634362.453248821</v>
      </c>
      <c r="Y96" s="73">
        <f t="shared" si="24"/>
        <v>11692503.189743407</v>
      </c>
      <c r="Z96" s="73">
        <f t="shared" si="24"/>
        <v>-20502587.12419004</v>
      </c>
      <c r="AA96" s="12">
        <f t="shared" si="25"/>
        <v>-0.31672268591080971</v>
      </c>
      <c r="AB96" s="114">
        <f t="shared" si="26"/>
        <v>249053.33337505889</v>
      </c>
      <c r="AC96" s="73">
        <f>AB96/SUMIFS(FinParameters!$L$8:$L$39,FinParameters!$B$8:$B$39,Financials!$E96,FinParameters!$C$8:$C$39,Financials!$F96)</f>
        <v>180668.36265480609</v>
      </c>
      <c r="AD96" s="73">
        <f t="shared" si="27"/>
        <v>180668.36265480609</v>
      </c>
      <c r="AE96" s="12"/>
      <c r="AF96" s="73">
        <f t="shared" si="28"/>
        <v>43883415.78662388</v>
      </c>
      <c r="AG96" s="73">
        <f t="shared" si="29"/>
        <v>11873171.552398212</v>
      </c>
      <c r="AH96" s="73">
        <f t="shared" si="29"/>
        <v>-20321918.761535235</v>
      </c>
      <c r="AI96" s="12">
        <f t="shared" si="30"/>
        <v>-0.3139317323237073</v>
      </c>
      <c r="AL96" s="73">
        <f>Summary!G96</f>
        <v>-2114340.8327575498</v>
      </c>
      <c r="AM96" s="73">
        <f>IF(D96&lt;&gt;"avg",SUMIFS(Summary!$H:$H,Summary!$C:$C,Financials!C96,Summary!$E:$E,Financials!E96,Summary!$D:$D,1-Financials!D96,Summary!$F:$F,Financials!F96),SUMIFS(Summary!$H:$H,Summary!$C:$C,Financials!C96,Summary!$E:$E,Financials!E96,Summary!$D:$D,"avg",Summary!$F:$F,Financials!F96))</f>
        <v>-92470.14897681307</v>
      </c>
      <c r="AN96" s="20">
        <f>Summary!I96</f>
        <v>6216737.5400084471</v>
      </c>
      <c r="AP96" s="12">
        <v>1</v>
      </c>
    </row>
    <row r="97" spans="1:42" x14ac:dyDescent="0.3">
      <c r="A97">
        <v>93</v>
      </c>
      <c r="B97" t="str">
        <f>Summary!B97</f>
        <v>MarinusPortland</v>
      </c>
      <c r="C97" t="str">
        <f>Summary!C97</f>
        <v>Wind</v>
      </c>
      <c r="D97" s="104">
        <f>Summary!D97</f>
        <v>0.25</v>
      </c>
      <c r="E97" t="str">
        <f>Summary!E97</f>
        <v>Cal-33</v>
      </c>
      <c r="F97" t="str">
        <f>Summary!F97</f>
        <v>Wartsila dual fuel</v>
      </c>
      <c r="G97" s="73">
        <f>SUMIFS(AL$5:AL97,$F$5:$F97,$F97,$D$5:$D97,$D97)</f>
        <v>-34874347.543294348</v>
      </c>
      <c r="H97" s="73">
        <f>SUMIFS(AM$5:AM97,$F$5:$F97,$F97,$D$5:$D97,$D97)</f>
        <v>29915691.659174334</v>
      </c>
      <c r="I97" s="20">
        <f>SUMIFS(AN$5:AN97,$F$5:$F97,$F97,$D$5:$D97,$D97)</f>
        <v>58816803.697799996</v>
      </c>
      <c r="J97" s="73">
        <f t="shared" si="16"/>
        <v>58816803.697799996</v>
      </c>
      <c r="K97" s="73">
        <f t="shared" si="17"/>
        <v>23942456.154505648</v>
      </c>
      <c r="L97" s="73">
        <f t="shared" si="18"/>
        <v>53858147.813679978</v>
      </c>
      <c r="M97" s="73">
        <f>-SUMIFS(FinParameters!$E$8:$E$39,FinParameters!$B$8:$B$39,Financials!$E97,FinParameters!$C$8:$C$39,Financials!$F97)</f>
        <v>-23215927.969851933</v>
      </c>
      <c r="N97" s="73">
        <f>-SUMIFS(FinParameters!$F$8:$F$39,FinParameters!$B$8:$B$39,Financials!$E97,FinParameters!$C$8:$C$39,Financials!$F97)</f>
        <v>-74000000</v>
      </c>
      <c r="O97" s="73">
        <f>SUMIFS(FinParameters!$G$8:$G$39,FinParameters!$B$8:$B$39,Financials!$E97,FinParameters!$C$8:$C$39,Financials!$F97)</f>
        <v>9266439.5819008537</v>
      </c>
      <c r="P97" s="73">
        <f t="shared" si="19"/>
        <v>35600875.727948062</v>
      </c>
      <c r="Q97" s="73">
        <f>P97/SUMIFS(FinParameters!$H$8:$H$39,FinParameters!$B$8:$B$39,Financials!$E97,FinParameters!$C$8:$C$39,Financials!$F97)</f>
        <v>10312305.585818974</v>
      </c>
      <c r="R97" s="73">
        <f t="shared" si="31"/>
        <v>-29132684.690151084</v>
      </c>
      <c r="S97" s="12">
        <f t="shared" si="20"/>
        <v>-0.45003989432976937</v>
      </c>
      <c r="T97" s="114">
        <f t="shared" si="21"/>
        <v>-34874347.543294348</v>
      </c>
      <c r="U97" s="73">
        <f>T97/SUMIFS(FinParameters!$L$8:$L$39,FinParameters!$B$8:$B$39,Financials!$E97,FinParameters!$C$8:$C$39,Financials!$F97)</f>
        <v>-25298562.295543332</v>
      </c>
      <c r="V97" s="73">
        <f t="shared" si="22"/>
        <v>-25298562.295543332</v>
      </c>
      <c r="W97" s="12"/>
      <c r="X97" s="73">
        <f t="shared" si="23"/>
        <v>726528.1846537143</v>
      </c>
      <c r="Y97" s="73">
        <f t="shared" si="24"/>
        <v>-14986256.709724357</v>
      </c>
      <c r="Z97" s="73">
        <f t="shared" si="24"/>
        <v>-54431246.985694416</v>
      </c>
      <c r="AA97" s="12">
        <f t="shared" si="25"/>
        <v>-0.84085050527323901</v>
      </c>
      <c r="AB97" s="114">
        <f t="shared" si="26"/>
        <v>29915691.659174334</v>
      </c>
      <c r="AC97" s="73">
        <f>AB97/SUMIFS(FinParameters!$L$8:$L$39,FinParameters!$B$8:$B$39,Financials!$E97,FinParameters!$C$8:$C$39,Financials!$F97)</f>
        <v>21701452.281346273</v>
      </c>
      <c r="AD97" s="73">
        <f t="shared" si="27"/>
        <v>21701452.281346273</v>
      </c>
      <c r="AE97" s="12"/>
      <c r="AF97" s="73">
        <f t="shared" si="28"/>
        <v>30642219.843828049</v>
      </c>
      <c r="AG97" s="73">
        <f t="shared" si="29"/>
        <v>6715195.5716219153</v>
      </c>
      <c r="AH97" s="73">
        <f t="shared" si="29"/>
        <v>-32729794.704348143</v>
      </c>
      <c r="AI97" s="12">
        <f t="shared" si="30"/>
        <v>-0.5056078252602505</v>
      </c>
      <c r="AL97" s="73">
        <f>Summary!G97</f>
        <v>-5455232.3146873917</v>
      </c>
      <c r="AM97" s="73">
        <f>IF(D97&lt;&gt;"avg",SUMIFS(Summary!$H:$H,Summary!$C:$C,Financials!C97,Summary!$E:$E,Financials!E97,Summary!$D:$D,1-Financials!D97,Summary!$F:$F,Financials!F97),SUMIFS(Summary!$H:$H,Summary!$C:$C,Financials!C97,Summary!$E:$E,Financials!E97,Summary!$D:$D,"avg",Summary!$F:$F,Financials!F97))</f>
        <v>3487628.5885356781</v>
      </c>
      <c r="AN97" s="20">
        <f>Summary!I97</f>
        <v>5243045.2635303158</v>
      </c>
      <c r="AP97" s="12">
        <v>1</v>
      </c>
    </row>
    <row r="98" spans="1:42" x14ac:dyDescent="0.3">
      <c r="A98">
        <v>94</v>
      </c>
      <c r="B98" t="str">
        <f>Summary!B98</f>
        <v>MarinusPortland</v>
      </c>
      <c r="C98" t="str">
        <f>Summary!C98</f>
        <v>Wind</v>
      </c>
      <c r="D98" s="104">
        <f>Summary!D98</f>
        <v>0.05</v>
      </c>
      <c r="E98" t="str">
        <f>Summary!E98</f>
        <v>Cal-33</v>
      </c>
      <c r="F98" t="str">
        <f>Summary!F98</f>
        <v>Wartsila dual fuel</v>
      </c>
      <c r="G98" s="73">
        <f>SUMIFS(AL$5:AL98,$F$5:$F98,$F98,$D$5:$D98,$D98)</f>
        <v>-72791908.732105762</v>
      </c>
      <c r="H98" s="73">
        <f>SUMIFS(AM$5:AM98,$F$5:$F98,$F98,$D$5:$D98,$D98)</f>
        <v>69648380.994375125</v>
      </c>
      <c r="I98" s="20">
        <f>SUMIFS(AN$5:AN98,$F$5:$F98,$F98,$D$5:$D98,$D98)</f>
        <v>45732781.265750796</v>
      </c>
      <c r="J98" s="73">
        <f t="shared" si="16"/>
        <v>45732781.265750796</v>
      </c>
      <c r="K98" s="73">
        <f t="shared" si="17"/>
        <v>-27059127.466354966</v>
      </c>
      <c r="L98" s="73">
        <f t="shared" si="18"/>
        <v>42589253.528020158</v>
      </c>
      <c r="M98" s="73">
        <f>-SUMIFS(FinParameters!$E$8:$E$39,FinParameters!$B$8:$B$39,Financials!$E98,FinParameters!$C$8:$C$39,Financials!$F98)</f>
        <v>-23215927.969851933</v>
      </c>
      <c r="N98" s="73">
        <f>-SUMIFS(FinParameters!$F$8:$F$39,FinParameters!$B$8:$B$39,Financials!$E98,FinParameters!$C$8:$C$39,Financials!$F98)</f>
        <v>-74000000</v>
      </c>
      <c r="O98" s="73">
        <f>SUMIFS(FinParameters!$G$8:$G$39,FinParameters!$B$8:$B$39,Financials!$E98,FinParameters!$C$8:$C$39,Financials!$F98)</f>
        <v>9266439.5819008537</v>
      </c>
      <c r="P98" s="73">
        <f t="shared" si="19"/>
        <v>22516853.295898862</v>
      </c>
      <c r="Q98" s="73">
        <f>P98/SUMIFS(FinParameters!$H$8:$H$39,FinParameters!$B$8:$B$39,Financials!$E98,FinParameters!$C$8:$C$39,Financials!$F98)</f>
        <v>6522330.3435785351</v>
      </c>
      <c r="R98" s="73">
        <f t="shared" si="31"/>
        <v>-42216707.12220028</v>
      </c>
      <c r="S98" s="12">
        <f t="shared" si="20"/>
        <v>-0.65216105601997321</v>
      </c>
      <c r="T98" s="114">
        <f t="shared" si="21"/>
        <v>-72791908.732105762</v>
      </c>
      <c r="U98" s="73">
        <f>T98/SUMIFS(FinParameters!$L$8:$L$39,FinParameters!$B$8:$B$39,Financials!$E98,FinParameters!$C$8:$C$39,Financials!$F98)</f>
        <v>-52804733.777012914</v>
      </c>
      <c r="V98" s="73">
        <f t="shared" si="22"/>
        <v>-52804733.777012914</v>
      </c>
      <c r="W98" s="12"/>
      <c r="X98" s="73">
        <f t="shared" si="23"/>
        <v>-50275055.4362069</v>
      </c>
      <c r="Y98" s="73">
        <f t="shared" si="24"/>
        <v>-46282403.433434382</v>
      </c>
      <c r="Z98" s="73">
        <f t="shared" si="24"/>
        <v>-95021440.899213195</v>
      </c>
      <c r="AA98" s="12">
        <f t="shared" si="25"/>
        <v>-1.4678852867892884</v>
      </c>
      <c r="AB98" s="114">
        <f t="shared" si="26"/>
        <v>69648380.994375125</v>
      </c>
      <c r="AC98" s="73">
        <f>AB98/SUMIFS(FinParameters!$L$8:$L$39,FinParameters!$B$8:$B$39,Financials!$E98,FinParameters!$C$8:$C$39,Financials!$F98)</f>
        <v>50524354.704629712</v>
      </c>
      <c r="AD98" s="73">
        <f t="shared" si="27"/>
        <v>50524354.704629712</v>
      </c>
      <c r="AE98" s="12"/>
      <c r="AF98" s="73">
        <f t="shared" si="28"/>
        <v>19373325.558168225</v>
      </c>
      <c r="AG98" s="73">
        <f t="shared" si="29"/>
        <v>4241951.2711953297</v>
      </c>
      <c r="AH98" s="73">
        <f t="shared" si="29"/>
        <v>-44497086.194583483</v>
      </c>
      <c r="AI98" s="12">
        <f t="shared" si="30"/>
        <v>-0.68738820956528668</v>
      </c>
      <c r="AL98" s="73">
        <f>Summary!G98</f>
        <v>-9218898.6650088038</v>
      </c>
      <c r="AM98" s="73">
        <f>IF(D98&lt;&gt;"avg",SUMIFS(Summary!$H:$H,Summary!$C:$C,Financials!C98,Summary!$E:$E,Financials!E98,Summary!$D:$D,1-Financials!D98,Summary!$F:$F,Financials!F98),SUMIFS(Summary!$H:$H,Summary!$C:$C,Financials!C98,Summary!$E:$E,Financials!E98,Summary!$D:$D,"avg",Summary!$F:$F,Financials!F98))</f>
        <v>8327437.8374069324</v>
      </c>
      <c r="AN98" s="20">
        <f>Summary!I98</f>
        <v>4015624.0868407916</v>
      </c>
      <c r="AP98" s="12">
        <v>1</v>
      </c>
    </row>
    <row r="99" spans="1:42" x14ac:dyDescent="0.3">
      <c r="A99">
        <v>95</v>
      </c>
      <c r="B99" t="str">
        <f>Summary!B99</f>
        <v>MarinusPortland</v>
      </c>
      <c r="C99" t="str">
        <f>Summary!C99</f>
        <v>Wind</v>
      </c>
      <c r="D99" s="104">
        <f>Summary!D99</f>
        <v>0</v>
      </c>
      <c r="E99" t="str">
        <f>Summary!E99</f>
        <v>Cal-33</v>
      </c>
      <c r="F99" t="str">
        <f>Summary!F99</f>
        <v>Wartsila dual fuel</v>
      </c>
      <c r="G99" s="73">
        <f>SUMIFS(AL$5:AL99,$F$5:$F99,$F99,$D$5:$D99,$D99)</f>
        <v>-128779713.39167421</v>
      </c>
      <c r="H99" s="73">
        <f>SUMIFS(AM$5:AM99,$F$5:$F99,$F99,$D$5:$D99,$D99)</f>
        <v>147836714.74972722</v>
      </c>
      <c r="I99" s="20">
        <f>SUMIFS(AN$5:AN99,$F$5:$F99,$F99,$D$5:$D99,$D99)</f>
        <v>24982375.876005258</v>
      </c>
      <c r="J99" s="73">
        <f t="shared" si="16"/>
        <v>24982375.876005258</v>
      </c>
      <c r="K99" s="73">
        <f t="shared" si="17"/>
        <v>-103797337.51566894</v>
      </c>
      <c r="L99" s="73">
        <f t="shared" si="18"/>
        <v>44039377.234058276</v>
      </c>
      <c r="M99" s="73">
        <f>-SUMIFS(FinParameters!$E$8:$E$39,FinParameters!$B$8:$B$39,Financials!$E99,FinParameters!$C$8:$C$39,Financials!$F99)</f>
        <v>-23215927.969851933</v>
      </c>
      <c r="N99" s="73">
        <f>-SUMIFS(FinParameters!$F$8:$F$39,FinParameters!$B$8:$B$39,Financials!$E99,FinParameters!$C$8:$C$39,Financials!$F99)</f>
        <v>-74000000</v>
      </c>
      <c r="O99" s="73">
        <f>SUMIFS(FinParameters!$G$8:$G$39,FinParameters!$B$8:$B$39,Financials!$E99,FinParameters!$C$8:$C$39,Financials!$F99)</f>
        <v>9266439.5819008537</v>
      </c>
      <c r="P99" s="73">
        <f t="shared" si="19"/>
        <v>1766447.906153325</v>
      </c>
      <c r="Q99" s="73">
        <f>P99/SUMIFS(FinParameters!$H$8:$H$39,FinParameters!$B$8:$B$39,Financials!$E99,FinParameters!$C$8:$C$39,Financials!$F99)</f>
        <v>511677.03707307356</v>
      </c>
      <c r="R99" s="73">
        <f t="shared" si="31"/>
        <v>-62967112.511945829</v>
      </c>
      <c r="S99" s="12">
        <f t="shared" si="20"/>
        <v>-0.97271202302570348</v>
      </c>
      <c r="T99" s="114">
        <f t="shared" si="21"/>
        <v>-128779713.39167421</v>
      </c>
      <c r="U99" s="73">
        <f>T99/SUMIFS(FinParameters!$L$8:$L$39,FinParameters!$B$8:$B$39,Financials!$E99,FinParameters!$C$8:$C$39,Financials!$F99)</f>
        <v>-93419428.065197572</v>
      </c>
      <c r="V99" s="73">
        <f t="shared" si="22"/>
        <v>-93419428.065197572</v>
      </c>
      <c r="W99" s="12"/>
      <c r="X99" s="73">
        <f t="shared" si="23"/>
        <v>-127013265.48552087</v>
      </c>
      <c r="Y99" s="73">
        <f t="shared" si="24"/>
        <v>-92907751.028124496</v>
      </c>
      <c r="Z99" s="73">
        <f t="shared" si="24"/>
        <v>-156386540.5771434</v>
      </c>
      <c r="AA99" s="12">
        <f t="shared" si="25"/>
        <v>-2.4158495155693394</v>
      </c>
      <c r="AB99" s="114">
        <f t="shared" si="26"/>
        <v>147836714.74972722</v>
      </c>
      <c r="AC99" s="73">
        <f>AB99/SUMIFS(FinParameters!$L$8:$L$39,FinParameters!$B$8:$B$39,Financials!$E99,FinParameters!$C$8:$C$39,Financials!$F99)</f>
        <v>107243765.1491944</v>
      </c>
      <c r="AD99" s="73">
        <f t="shared" si="27"/>
        <v>107243765.1491944</v>
      </c>
      <c r="AE99" s="12"/>
      <c r="AF99" s="73">
        <f t="shared" si="28"/>
        <v>20823449.26420635</v>
      </c>
      <c r="AG99" s="73">
        <f t="shared" si="29"/>
        <v>14336014.121069908</v>
      </c>
      <c r="AH99" s="73">
        <f t="shared" si="29"/>
        <v>-49142775.427948996</v>
      </c>
      <c r="AI99" s="12">
        <f t="shared" si="30"/>
        <v>-0.75915452681031503</v>
      </c>
      <c r="AL99" s="73">
        <f>Summary!G99</f>
        <v>-14412137.39022184</v>
      </c>
      <c r="AM99" s="73">
        <f>IF(D99&lt;&gt;"avg",SUMIFS(Summary!$H:$H,Summary!$C:$C,Financials!C99,Summary!$E:$E,Financials!E99,Summary!$D:$D,1-Financials!D99,Summary!$F:$F,Financials!F99),SUMIFS(Summary!$H:$H,Summary!$C:$C,Financials!C99,Summary!$E:$E,Financials!E99,Summary!$D:$D,"avg",Summary!$F:$F,Financials!F99))</f>
        <v>16125272.115913125</v>
      </c>
      <c r="AN99" s="20">
        <f>Summary!I99</f>
        <v>2333732.5641038502</v>
      </c>
      <c r="AP99" s="12">
        <v>1</v>
      </c>
    </row>
    <row r="100" spans="1:42" x14ac:dyDescent="0.3">
      <c r="A100">
        <v>96</v>
      </c>
      <c r="B100" t="str">
        <f>Summary!B100</f>
        <v>MarinusPortland</v>
      </c>
      <c r="C100" t="str">
        <f>Summary!C100</f>
        <v>Wind</v>
      </c>
      <c r="D100" s="104" t="str">
        <f>Summary!D100</f>
        <v>avg</v>
      </c>
      <c r="E100" t="str">
        <f>Summary!E100</f>
        <v>Cal-33</v>
      </c>
      <c r="F100" t="str">
        <f>Summary!F100</f>
        <v>Wartsila dual fuel</v>
      </c>
      <c r="G100" s="73">
        <f>SUMIFS(AL$5:AL100,$F$5:$F100,$F100,$D$5:$D100,$D100)</f>
        <v>5797429.9790791832</v>
      </c>
      <c r="H100" s="73">
        <f>SUMIFS(AM$5:AM100,$F$5:$F100,$F100,$D$5:$D100,$D100)</f>
        <v>-1814251.4610134161</v>
      </c>
      <c r="I100" s="20">
        <f>SUMIFS(AN$5:AN100,$F$5:$F100,$F100,$D$5:$D100,$D100)</f>
        <v>70408332.857339442</v>
      </c>
      <c r="J100" s="73">
        <f t="shared" si="16"/>
        <v>70408332.857339442</v>
      </c>
      <c r="K100" s="73">
        <f t="shared" si="17"/>
        <v>76205762.836418629</v>
      </c>
      <c r="L100" s="73">
        <f t="shared" si="18"/>
        <v>74391511.375405207</v>
      </c>
      <c r="M100" s="73">
        <f>-SUMIFS(FinParameters!$E$8:$E$39,FinParameters!$B$8:$B$39,Financials!$E100,FinParameters!$C$8:$C$39,Financials!$F100)</f>
        <v>-23215927.969851933</v>
      </c>
      <c r="N100" s="73">
        <f>-SUMIFS(FinParameters!$F$8:$F$39,FinParameters!$B$8:$B$39,Financials!$E100,FinParameters!$C$8:$C$39,Financials!$F100)</f>
        <v>-74000000</v>
      </c>
      <c r="O100" s="73">
        <f>SUMIFS(FinParameters!$G$8:$G$39,FinParameters!$B$8:$B$39,Financials!$E100,FinParameters!$C$8:$C$39,Financials!$F100)</f>
        <v>9266439.5819008537</v>
      </c>
      <c r="P100" s="73">
        <f t="shared" si="19"/>
        <v>47192404.887487508</v>
      </c>
      <c r="Q100" s="73">
        <f>P100/SUMIFS(FinParameters!$H$8:$H$39,FinParameters!$B$8:$B$39,Financials!$E100,FinParameters!$C$8:$C$39,Financials!$F100)</f>
        <v>13669958.690016696</v>
      </c>
      <c r="R100" s="73">
        <f t="shared" si="31"/>
        <v>-17541155.530611638</v>
      </c>
      <c r="S100" s="12">
        <f t="shared" si="20"/>
        <v>-0.27097467553641968</v>
      </c>
      <c r="T100" s="114">
        <f t="shared" si="21"/>
        <v>5797429.9790791832</v>
      </c>
      <c r="U100" s="73">
        <f>T100/SUMIFS(FinParameters!$L$8:$L$39,FinParameters!$B$8:$B$39,Financials!$E100,FinParameters!$C$8:$C$39,Financials!$F100)</f>
        <v>4205573.8332511485</v>
      </c>
      <c r="V100" s="73">
        <f t="shared" si="22"/>
        <v>4205573.8332511485</v>
      </c>
      <c r="W100" s="12"/>
      <c r="X100" s="73">
        <f t="shared" si="23"/>
        <v>52989834.866566695</v>
      </c>
      <c r="Y100" s="73">
        <f t="shared" si="24"/>
        <v>17875532.523267843</v>
      </c>
      <c r="Z100" s="73">
        <f t="shared" si="24"/>
        <v>-13335581.69736049</v>
      </c>
      <c r="AA100" s="12">
        <f t="shared" si="25"/>
        <v>-0.20600723351579986</v>
      </c>
      <c r="AB100" s="114">
        <f t="shared" si="26"/>
        <v>-1814251.4610134161</v>
      </c>
      <c r="AC100" s="73">
        <f>AB100/SUMIFS(FinParameters!$L$8:$L$39,FinParameters!$B$8:$B$39,Financials!$E100,FinParameters!$C$8:$C$39,Financials!$F100)</f>
        <v>-1316094.9763790974</v>
      </c>
      <c r="AD100" s="73">
        <f t="shared" si="27"/>
        <v>-1316094.9763790974</v>
      </c>
      <c r="AE100" s="12"/>
      <c r="AF100" s="73">
        <f t="shared" si="28"/>
        <v>51175583.405553281</v>
      </c>
      <c r="AG100" s="73">
        <f t="shared" si="29"/>
        <v>16559437.546888746</v>
      </c>
      <c r="AH100" s="73">
        <f t="shared" si="29"/>
        <v>-14651676.673739586</v>
      </c>
      <c r="AI100" s="12">
        <f t="shared" si="30"/>
        <v>-0.2263381865466349</v>
      </c>
      <c r="AL100" s="73">
        <f>Summary!G100</f>
        <v>-2019423.4129356227</v>
      </c>
      <c r="AM100" s="73">
        <f>IF(D100&lt;&gt;"avg",SUMIFS(Summary!$H:$H,Summary!$C:$C,Financials!C100,Summary!$E:$E,Financials!E100,Summary!$D:$D,1-Financials!D100,Summary!$F:$F,Financials!F100),SUMIFS(Summary!$H:$H,Summary!$C:$C,Financials!C100,Summary!$E:$E,Financials!E100,Summary!$D:$D,"avg",Summary!$F:$F,Financials!F100))</f>
        <v>-138943.94211016045</v>
      </c>
      <c r="AN100" s="20">
        <f>Summary!I100</f>
        <v>6285917.2477141172</v>
      </c>
      <c r="AP100" s="12">
        <v>1</v>
      </c>
    </row>
    <row r="101" spans="1:42" x14ac:dyDescent="0.3">
      <c r="A101">
        <v>97</v>
      </c>
      <c r="B101" t="str">
        <f>Summary!B101</f>
        <v>MarinusPortland</v>
      </c>
      <c r="C101" t="str">
        <f>Summary!C101</f>
        <v>Wind</v>
      </c>
      <c r="D101" s="104">
        <f>Summary!D101</f>
        <v>1</v>
      </c>
      <c r="E101" t="str">
        <f>Summary!E101</f>
        <v>Cal-34</v>
      </c>
      <c r="F101" t="str">
        <f>Summary!F101</f>
        <v>Wartsila dual fuel</v>
      </c>
      <c r="G101" s="73">
        <f>SUMIFS(AL$5:AL101,$F$5:$F101,$F101,$D$5:$D101,$D101)</f>
        <v>253861614.05288985</v>
      </c>
      <c r="H101" s="73">
        <f>SUMIFS(AM$5:AM101,$F$5:$F101,$F101,$D$5:$D101,$D101)</f>
        <v>-210206369.52859896</v>
      </c>
      <c r="I101" s="20">
        <f>SUMIFS(AN$5:AN101,$F$5:$F101,$F101,$D$5:$D101,$D101)</f>
        <v>162252159.85771793</v>
      </c>
      <c r="J101" s="73">
        <f t="shared" si="16"/>
        <v>162252159.85771793</v>
      </c>
      <c r="K101" s="73">
        <f t="shared" si="17"/>
        <v>416113773.91060781</v>
      </c>
      <c r="L101" s="73">
        <f t="shared" si="18"/>
        <v>205907404.38200882</v>
      </c>
      <c r="M101" s="73">
        <f>-SUMIFS(FinParameters!$E$8:$E$39,FinParameters!$B$8:$B$39,Financials!$E101,FinParameters!$C$8:$C$39,Financials!$F101)</f>
        <v>-25206951.169098232</v>
      </c>
      <c r="N101" s="73">
        <f>-SUMIFS(FinParameters!$F$8:$F$39,FinParameters!$B$8:$B$39,Financials!$E101,FinParameters!$C$8:$C$39,Financials!$F101)</f>
        <v>-74000000</v>
      </c>
      <c r="O101" s="73">
        <f>SUMIFS(FinParameters!$G$8:$G$39,FinParameters!$B$8:$B$39,Financials!$E101,FinParameters!$C$8:$C$39,Financials!$F101)</f>
        <v>7855413.5546568586</v>
      </c>
      <c r="P101" s="73">
        <f t="shared" si="19"/>
        <v>137045208.6886197</v>
      </c>
      <c r="Q101" s="73">
        <f>P101/SUMIFS(FinParameters!$H$8:$H$39,FinParameters!$B$8:$B$39,Financials!$E101,FinParameters!$C$8:$C$39,Financials!$F101)</f>
        <v>36088286.700612679</v>
      </c>
      <c r="R101" s="73">
        <f t="shared" si="31"/>
        <v>70900622.243276566</v>
      </c>
      <c r="S101" s="12">
        <f t="shared" si="20"/>
        <v>1.0719036289064026</v>
      </c>
      <c r="T101" s="114">
        <f t="shared" si="21"/>
        <v>253861614.05288985</v>
      </c>
      <c r="U101" s="73">
        <f>T101/SUMIFS(FinParameters!$L$8:$L$39,FinParameters!$B$8:$B$39,Financials!$E101,FinParameters!$C$8:$C$39,Financials!$F101)</f>
        <v>179664768.22474918</v>
      </c>
      <c r="V101" s="73">
        <f t="shared" si="22"/>
        <v>179664768.22474918</v>
      </c>
      <c r="W101" s="12"/>
      <c r="X101" s="73">
        <f t="shared" si="23"/>
        <v>390906822.74150956</v>
      </c>
      <c r="Y101" s="73">
        <f t="shared" si="24"/>
        <v>215753054.92536187</v>
      </c>
      <c r="Z101" s="73">
        <f t="shared" si="24"/>
        <v>250565390.46802574</v>
      </c>
      <c r="AA101" s="12">
        <f t="shared" si="25"/>
        <v>3.7881466032760507</v>
      </c>
      <c r="AB101" s="114">
        <f t="shared" si="26"/>
        <v>-210206369.52859896</v>
      </c>
      <c r="AC101" s="73">
        <f>AB101/SUMIFS(FinParameters!$L$8:$L$39,FinParameters!$B$8:$B$39,Financials!$E101,FinParameters!$C$8:$C$39,Financials!$F101)</f>
        <v>-148768764.4373574</v>
      </c>
      <c r="AD101" s="73">
        <f t="shared" si="27"/>
        <v>-148768764.4373574</v>
      </c>
      <c r="AE101" s="12"/>
      <c r="AF101" s="73">
        <f t="shared" si="28"/>
        <v>180700453.21291059</v>
      </c>
      <c r="AG101" s="73">
        <f t="shared" si="29"/>
        <v>66984290.488004476</v>
      </c>
      <c r="AH101" s="73">
        <f t="shared" si="29"/>
        <v>101796626.03066835</v>
      </c>
      <c r="AI101" s="12">
        <f t="shared" si="30"/>
        <v>1.5390016250957339</v>
      </c>
      <c r="AL101" s="73">
        <f>Summary!G101</f>
        <v>21199120.836498644</v>
      </c>
      <c r="AM101" s="73">
        <f>IF(D101&lt;&gt;"avg",SUMIFS(Summary!$H:$H,Summary!$C:$C,Financials!C101,Summary!$E:$E,Financials!E101,Summary!$D:$D,1-Financials!D101,Summary!$F:$F,Financials!F101),SUMIFS(Summary!$H:$H,Summary!$C:$C,Financials!C101,Summary!$E:$E,Financials!E101,Summary!$D:$D,"avg",Summary!$F:$F,Financials!F101))</f>
        <v>-21923962.275100458</v>
      </c>
      <c r="AN101" s="20">
        <f>Summary!I101</f>
        <v>14291094.382035526</v>
      </c>
      <c r="AP101" s="12">
        <v>1</v>
      </c>
    </row>
    <row r="102" spans="1:42" x14ac:dyDescent="0.3">
      <c r="A102">
        <v>98</v>
      </c>
      <c r="B102" t="str">
        <f>Summary!B102</f>
        <v>MarinusPortland</v>
      </c>
      <c r="C102" t="str">
        <f>Summary!C102</f>
        <v>Wind</v>
      </c>
      <c r="D102" s="104">
        <f>Summary!D102</f>
        <v>0.95</v>
      </c>
      <c r="E102" t="str">
        <f>Summary!E102</f>
        <v>Cal-34</v>
      </c>
      <c r="F102" t="str">
        <f>Summary!F102</f>
        <v>Wartsila dual fuel</v>
      </c>
      <c r="G102" s="73">
        <f>SUMIFS(AL$5:AL102,$F$5:$F102,$F102,$D$5:$D102,$D102)</f>
        <v>116857904.80858035</v>
      </c>
      <c r="H102" s="73">
        <f>SUMIFS(AM$5:AM102,$F$5:$F102,$F102,$D$5:$D102,$D102)</f>
        <v>-89080339.473899335</v>
      </c>
      <c r="I102" s="20">
        <f>SUMIFS(AN$5:AN102,$F$5:$F102,$F102,$D$5:$D102,$D102)</f>
        <v>110663877.39178175</v>
      </c>
      <c r="J102" s="73">
        <f t="shared" si="16"/>
        <v>110663877.39178175</v>
      </c>
      <c r="K102" s="73">
        <f t="shared" si="17"/>
        <v>227521782.20036209</v>
      </c>
      <c r="L102" s="73">
        <f t="shared" si="18"/>
        <v>138441442.72646278</v>
      </c>
      <c r="M102" s="73">
        <f>-SUMIFS(FinParameters!$E$8:$E$39,FinParameters!$B$8:$B$39,Financials!$E102,FinParameters!$C$8:$C$39,Financials!$F102)</f>
        <v>-25206951.169098232</v>
      </c>
      <c r="N102" s="73">
        <f>-SUMIFS(FinParameters!$F$8:$F$39,FinParameters!$B$8:$B$39,Financials!$E102,FinParameters!$C$8:$C$39,Financials!$F102)</f>
        <v>-74000000</v>
      </c>
      <c r="O102" s="73">
        <f>SUMIFS(FinParameters!$G$8:$G$39,FinParameters!$B$8:$B$39,Financials!$E102,FinParameters!$C$8:$C$39,Financials!$F102)</f>
        <v>7855413.5546568586</v>
      </c>
      <c r="P102" s="73">
        <f t="shared" si="19"/>
        <v>85456926.222683519</v>
      </c>
      <c r="Q102" s="73">
        <f>P102/SUMIFS(FinParameters!$H$8:$H$39,FinParameters!$B$8:$B$39,Financials!$E102,FinParameters!$C$8:$C$39,Financials!$F102)</f>
        <v>22503479.571361363</v>
      </c>
      <c r="R102" s="73">
        <f t="shared" si="31"/>
        <v>19312339.777340379</v>
      </c>
      <c r="S102" s="12">
        <f t="shared" si="20"/>
        <v>0.29197158550985314</v>
      </c>
      <c r="T102" s="114">
        <f t="shared" si="21"/>
        <v>116857904.80858035</v>
      </c>
      <c r="U102" s="73">
        <f>T102/SUMIFS(FinParameters!$L$8:$L$39,FinParameters!$B$8:$B$39,Financials!$E102,FinParameters!$C$8:$C$39,Financials!$F102)</f>
        <v>82703517.272561014</v>
      </c>
      <c r="V102" s="73">
        <f t="shared" si="22"/>
        <v>82703517.272561014</v>
      </c>
      <c r="W102" s="12"/>
      <c r="X102" s="73">
        <f t="shared" si="23"/>
        <v>202314831.03126386</v>
      </c>
      <c r="Y102" s="73">
        <f t="shared" si="24"/>
        <v>105206996.84392238</v>
      </c>
      <c r="Z102" s="73">
        <f t="shared" si="24"/>
        <v>102015857.0499014</v>
      </c>
      <c r="AA102" s="12">
        <f t="shared" si="25"/>
        <v>1.5423160462904935</v>
      </c>
      <c r="AB102" s="114">
        <f t="shared" si="26"/>
        <v>-89080339.473899335</v>
      </c>
      <c r="AC102" s="73">
        <f>AB102/SUMIFS(FinParameters!$L$8:$L$39,FinParameters!$B$8:$B$39,Financials!$E102,FinParameters!$C$8:$C$39,Financials!$F102)</f>
        <v>-63044578.853208117</v>
      </c>
      <c r="AD102" s="73">
        <f t="shared" si="27"/>
        <v>-63044578.853208117</v>
      </c>
      <c r="AE102" s="12"/>
      <c r="AF102" s="73">
        <f t="shared" si="28"/>
        <v>113234491.55736452</v>
      </c>
      <c r="AG102" s="73">
        <f t="shared" si="29"/>
        <v>42162417.990714259</v>
      </c>
      <c r="AH102" s="73">
        <f t="shared" si="29"/>
        <v>38971278.196693279</v>
      </c>
      <c r="AI102" s="12">
        <f t="shared" si="30"/>
        <v>0.58918318627475552</v>
      </c>
      <c r="AL102" s="73">
        <f>Summary!G102</f>
        <v>9502415.9406869914</v>
      </c>
      <c r="AM102" s="73">
        <f>IF(D102&lt;&gt;"avg",SUMIFS(Summary!$H:$H,Summary!$C:$C,Financials!C102,Summary!$E:$E,Financials!E102,Summary!$D:$D,1-Financials!D102,Summary!$F:$F,Financials!F102),SUMIFS(Summary!$H:$H,Summary!$C:$C,Financials!C102,Summary!$E:$E,Financials!E102,Summary!$D:$D,"avg",Summary!$F:$F,Financials!F102))</f>
        <v>-9102451.0858501978</v>
      </c>
      <c r="AN102" s="20">
        <f>Summary!I102</f>
        <v>9839161.205199752</v>
      </c>
      <c r="AP102" s="12">
        <v>1</v>
      </c>
    </row>
    <row r="103" spans="1:42" x14ac:dyDescent="0.3">
      <c r="A103">
        <v>99</v>
      </c>
      <c r="B103" t="str">
        <f>Summary!B103</f>
        <v>MarinusPortland</v>
      </c>
      <c r="C103" t="str">
        <f>Summary!C103</f>
        <v>Wind</v>
      </c>
      <c r="D103" s="104">
        <f>Summary!D103</f>
        <v>0.75</v>
      </c>
      <c r="E103" t="str">
        <f>Summary!E103</f>
        <v>Cal-34</v>
      </c>
      <c r="F103" t="str">
        <f>Summary!F103</f>
        <v>Wartsila dual fuel</v>
      </c>
      <c r="G103" s="73">
        <f>SUMIFS(AL$5:AL103,$F$5:$F103,$F103,$D$5:$D103,$D103)</f>
        <v>46976288.508804843</v>
      </c>
      <c r="H103" s="73">
        <f>SUMIFS(AM$5:AM103,$F$5:$F103,$F103,$D$5:$D103,$D103)</f>
        <v>-35787136.703876838</v>
      </c>
      <c r="I103" s="20">
        <f>SUMIFS(AN$5:AN103,$F$5:$F103,$F103,$D$5:$D103,$D103)</f>
        <v>88868070.867666438</v>
      </c>
      <c r="J103" s="73">
        <f t="shared" si="16"/>
        <v>88868070.867666438</v>
      </c>
      <c r="K103" s="73">
        <f t="shared" si="17"/>
        <v>135844359.37647128</v>
      </c>
      <c r="L103" s="73">
        <f t="shared" si="18"/>
        <v>100057222.67259444</v>
      </c>
      <c r="M103" s="73">
        <f>-SUMIFS(FinParameters!$E$8:$E$39,FinParameters!$B$8:$B$39,Financials!$E103,FinParameters!$C$8:$C$39,Financials!$F103)</f>
        <v>-25206951.169098232</v>
      </c>
      <c r="N103" s="73">
        <f>-SUMIFS(FinParameters!$F$8:$F$39,FinParameters!$B$8:$B$39,Financials!$E103,FinParameters!$C$8:$C$39,Financials!$F103)</f>
        <v>-74000000</v>
      </c>
      <c r="O103" s="73">
        <f>SUMIFS(FinParameters!$G$8:$G$39,FinParameters!$B$8:$B$39,Financials!$E103,FinParameters!$C$8:$C$39,Financials!$F103)</f>
        <v>7855413.5546568586</v>
      </c>
      <c r="P103" s="73">
        <f t="shared" si="19"/>
        <v>63661119.69856821</v>
      </c>
      <c r="Q103" s="73">
        <f>P103/SUMIFS(FinParameters!$H$8:$H$39,FinParameters!$B$8:$B$39,Financials!$E103,FinParameters!$C$8:$C$39,Financials!$F103)</f>
        <v>16763962.500753444</v>
      </c>
      <c r="R103" s="73">
        <f t="shared" si="31"/>
        <v>-2483466.7467749314</v>
      </c>
      <c r="S103" s="12">
        <f t="shared" si="20"/>
        <v>-3.7546031810586335E-2</v>
      </c>
      <c r="T103" s="114">
        <f t="shared" si="21"/>
        <v>46976288.508804843</v>
      </c>
      <c r="U103" s="73">
        <f>T103/SUMIFS(FinParameters!$L$8:$L$39,FinParameters!$B$8:$B$39,Financials!$E103,FinParameters!$C$8:$C$39,Financials!$F103)</f>
        <v>33246396.933547322</v>
      </c>
      <c r="V103" s="73">
        <f t="shared" si="22"/>
        <v>33246396.933547322</v>
      </c>
      <c r="W103" s="12"/>
      <c r="X103" s="73">
        <f t="shared" si="23"/>
        <v>110637408.20737305</v>
      </c>
      <c r="Y103" s="73">
        <f t="shared" si="24"/>
        <v>50010359.434300765</v>
      </c>
      <c r="Z103" s="73">
        <f t="shared" si="24"/>
        <v>30762930.186772391</v>
      </c>
      <c r="AA103" s="12">
        <f t="shared" si="25"/>
        <v>0.46508613690090173</v>
      </c>
      <c r="AB103" s="114">
        <f t="shared" si="26"/>
        <v>-35787136.703876838</v>
      </c>
      <c r="AC103" s="73">
        <f>AB103/SUMIFS(FinParameters!$L$8:$L$39,FinParameters!$B$8:$B$39,Financials!$E103,FinParameters!$C$8:$C$39,Financials!$F103)</f>
        <v>-25327529.903713118</v>
      </c>
      <c r="AD103" s="73">
        <f t="shared" si="27"/>
        <v>-25327529.903713118</v>
      </c>
      <c r="AE103" s="12"/>
      <c r="AF103" s="73">
        <f t="shared" si="28"/>
        <v>74850271.503496215</v>
      </c>
      <c r="AG103" s="73">
        <f t="shared" si="29"/>
        <v>24682829.530587647</v>
      </c>
      <c r="AH103" s="73">
        <f t="shared" si="29"/>
        <v>5435400.2830592729</v>
      </c>
      <c r="AI103" s="12">
        <f t="shared" si="30"/>
        <v>8.2174529695649007E-2</v>
      </c>
      <c r="AL103" s="73">
        <f>Summary!G103</f>
        <v>5251265.3098612754</v>
      </c>
      <c r="AM103" s="73">
        <f>IF(D103&lt;&gt;"avg",SUMIFS(Summary!$H:$H,Summary!$C:$C,Financials!C103,Summary!$E:$E,Financials!E103,Summary!$D:$D,1-Financials!D103,Summary!$F:$F,Financials!F103),SUMIFS(Summary!$H:$H,Summary!$C:$C,Financials!C103,Summary!$E:$E,Financials!E103,Summary!$D:$D,"avg",Summary!$F:$F,Financials!F103))</f>
        <v>-4031920.8220162168</v>
      </c>
      <c r="AN103" s="20">
        <f>Summary!I103</f>
        <v>8225848.2627315708</v>
      </c>
      <c r="AP103" s="12">
        <v>1</v>
      </c>
    </row>
    <row r="104" spans="1:42" x14ac:dyDescent="0.3">
      <c r="A104">
        <v>100</v>
      </c>
      <c r="B104" t="str">
        <f>Summary!B104</f>
        <v>MarinusPortland</v>
      </c>
      <c r="C104" t="str">
        <f>Summary!C104</f>
        <v>Wind</v>
      </c>
      <c r="D104" s="104">
        <f>Summary!D104</f>
        <v>0.5</v>
      </c>
      <c r="E104" t="str">
        <f>Summary!E104</f>
        <v>Cal-34</v>
      </c>
      <c r="F104" t="str">
        <f>Summary!F104</f>
        <v>Wartsila dual fuel</v>
      </c>
      <c r="G104" s="73">
        <f>SUMIFS(AL$5:AL104,$F$5:$F104,$F104,$D$5:$D104,$D104)</f>
        <v>-545216.92692330596</v>
      </c>
      <c r="H104" s="73">
        <f>SUMIFS(AM$5:AM104,$F$5:$F104,$F104,$D$5:$D104,$D104)</f>
        <v>37472.015410564898</v>
      </c>
      <c r="I104" s="20">
        <f>SUMIFS(AN$5:AN104,$F$5:$F104,$F104,$D$5:$D104,$D104)</f>
        <v>76142311.159060583</v>
      </c>
      <c r="J104" s="73">
        <f t="shared" si="16"/>
        <v>76142311.159060583</v>
      </c>
      <c r="K104" s="73">
        <f t="shared" si="17"/>
        <v>75597094.232137278</v>
      </c>
      <c r="L104" s="73">
        <f t="shared" si="18"/>
        <v>75634566.247547835</v>
      </c>
      <c r="M104" s="73">
        <f>-SUMIFS(FinParameters!$E$8:$E$39,FinParameters!$B$8:$B$39,Financials!$E104,FinParameters!$C$8:$C$39,Financials!$F104)</f>
        <v>-25206951.169098232</v>
      </c>
      <c r="N104" s="73">
        <f>-SUMIFS(FinParameters!$F$8:$F$39,FinParameters!$B$8:$B$39,Financials!$E104,FinParameters!$C$8:$C$39,Financials!$F104)</f>
        <v>-74000000</v>
      </c>
      <c r="O104" s="73">
        <f>SUMIFS(FinParameters!$G$8:$G$39,FinParameters!$B$8:$B$39,Financials!$E104,FinParameters!$C$8:$C$39,Financials!$F104)</f>
        <v>7855413.5546568586</v>
      </c>
      <c r="P104" s="73">
        <f t="shared" si="19"/>
        <v>50935359.989962354</v>
      </c>
      <c r="Q104" s="73">
        <f>P104/SUMIFS(FinParameters!$H$8:$H$39,FinParameters!$B$8:$B$39,Financials!$E104,FinParameters!$C$8:$C$39,Financials!$F104)</f>
        <v>13412872.234688492</v>
      </c>
      <c r="R104" s="73">
        <f t="shared" si="31"/>
        <v>-15209226.455380786</v>
      </c>
      <c r="S104" s="12">
        <f t="shared" si="20"/>
        <v>-0.22993909664774356</v>
      </c>
      <c r="T104" s="114">
        <f t="shared" si="21"/>
        <v>-545216.92692330596</v>
      </c>
      <c r="U104" s="73">
        <f>T104/SUMIFS(FinParameters!$L$8:$L$39,FinParameters!$B$8:$B$39,Financials!$E104,FinParameters!$C$8:$C$39,Financials!$F104)</f>
        <v>-385864.84677229478</v>
      </c>
      <c r="V104" s="73">
        <f t="shared" si="22"/>
        <v>-385864.84677229478</v>
      </c>
      <c r="W104" s="12"/>
      <c r="X104" s="73">
        <f t="shared" si="23"/>
        <v>50390143.06303905</v>
      </c>
      <c r="Y104" s="73">
        <f t="shared" si="24"/>
        <v>13027007.387916198</v>
      </c>
      <c r="Z104" s="73">
        <f t="shared" si="24"/>
        <v>-15595091.302153081</v>
      </c>
      <c r="AA104" s="12">
        <f t="shared" si="25"/>
        <v>-0.23577275390541111</v>
      </c>
      <c r="AB104" s="114">
        <f t="shared" si="26"/>
        <v>37472.015410564898</v>
      </c>
      <c r="AC104" s="73">
        <f>AB104/SUMIFS(FinParameters!$L$8:$L$39,FinParameters!$B$8:$B$39,Financials!$E104,FinParameters!$C$8:$C$39,Financials!$F104)</f>
        <v>26519.964385993131</v>
      </c>
      <c r="AD104" s="73">
        <f t="shared" si="27"/>
        <v>26519.964385993131</v>
      </c>
      <c r="AE104" s="12"/>
      <c r="AF104" s="73">
        <f t="shared" si="28"/>
        <v>50427615.078449614</v>
      </c>
      <c r="AG104" s="73">
        <f t="shared" si="29"/>
        <v>13053527.352302192</v>
      </c>
      <c r="AH104" s="73">
        <f t="shared" si="29"/>
        <v>-15568571.337767087</v>
      </c>
      <c r="AI104" s="12">
        <f t="shared" si="30"/>
        <v>-0.23537181460242057</v>
      </c>
      <c r="AL104" s="73">
        <f>Summary!G104</f>
        <v>1627598.4889372706</v>
      </c>
      <c r="AM104" s="73">
        <f>IF(D104&lt;&gt;"avg",SUMIFS(Summary!$H:$H,Summary!$C:$C,Financials!C104,Summary!$E:$E,Financials!E104,Summary!$D:$D,1-Financials!D104,Summary!$F:$F,Financials!F104),SUMIFS(Summary!$H:$H,Summary!$C:$C,Financials!C104,Summary!$E:$E,Financials!E104,Summary!$D:$D,"avg",Summary!$F:$F,Financials!F104))</f>
        <v>-211581.317964494</v>
      </c>
      <c r="AN104" s="20">
        <f>Summary!I104</f>
        <v>7119205.3200992523</v>
      </c>
      <c r="AP104" s="12">
        <v>1</v>
      </c>
    </row>
    <row r="105" spans="1:42" x14ac:dyDescent="0.3">
      <c r="A105">
        <v>101</v>
      </c>
      <c r="B105" t="str">
        <f>Summary!B105</f>
        <v>MarinusPortland</v>
      </c>
      <c r="C105" t="str">
        <f>Summary!C105</f>
        <v>Wind</v>
      </c>
      <c r="D105" s="104">
        <f>Summary!D105</f>
        <v>0.25</v>
      </c>
      <c r="E105" t="str">
        <f>Summary!E105</f>
        <v>Cal-34</v>
      </c>
      <c r="F105" t="str">
        <f>Summary!F105</f>
        <v>Wartsila dual fuel</v>
      </c>
      <c r="G105" s="73">
        <f>SUMIFS(AL$5:AL105,$F$5:$F105,$F105,$D$5:$D105,$D105)</f>
        <v>-37379329.23251871</v>
      </c>
      <c r="H105" s="73">
        <f>SUMIFS(AM$5:AM105,$F$5:$F105,$F105,$D$5:$D105,$D105)</f>
        <v>33872702.317239709</v>
      </c>
      <c r="I105" s="20">
        <f>SUMIFS(AN$5:AN105,$F$5:$F105,$F105,$D$5:$D105,$D105)</f>
        <v>64780347.727671213</v>
      </c>
      <c r="J105" s="73">
        <f t="shared" si="16"/>
        <v>64780347.727671213</v>
      </c>
      <c r="K105" s="73">
        <f t="shared" si="17"/>
        <v>27401018.495152503</v>
      </c>
      <c r="L105" s="73">
        <f t="shared" si="18"/>
        <v>61273720.812392212</v>
      </c>
      <c r="M105" s="73">
        <f>-SUMIFS(FinParameters!$E$8:$E$39,FinParameters!$B$8:$B$39,Financials!$E105,FinParameters!$C$8:$C$39,Financials!$F105)</f>
        <v>-25206951.169098232</v>
      </c>
      <c r="N105" s="73">
        <f>-SUMIFS(FinParameters!$F$8:$F$39,FinParameters!$B$8:$B$39,Financials!$E105,FinParameters!$C$8:$C$39,Financials!$F105)</f>
        <v>-74000000</v>
      </c>
      <c r="O105" s="73">
        <f>SUMIFS(FinParameters!$G$8:$G$39,FinParameters!$B$8:$B$39,Financials!$E105,FinParameters!$C$8:$C$39,Financials!$F105)</f>
        <v>7855413.5546568586</v>
      </c>
      <c r="P105" s="73">
        <f t="shared" si="19"/>
        <v>39573396.558572978</v>
      </c>
      <c r="Q105" s="73">
        <f>P105/SUMIFS(FinParameters!$H$8:$H$39,FinParameters!$B$8:$B$39,Financials!$E105,FinParameters!$C$8:$C$39,Financials!$F105)</f>
        <v>10420912.152920919</v>
      </c>
      <c r="R105" s="73">
        <f t="shared" si="31"/>
        <v>-26571189.886770163</v>
      </c>
      <c r="S105" s="12">
        <f t="shared" si="20"/>
        <v>-0.40171375035697854</v>
      </c>
      <c r="T105" s="114">
        <f t="shared" si="21"/>
        <v>-37379329.23251871</v>
      </c>
      <c r="U105" s="73">
        <f>T105/SUMIFS(FinParameters!$L$8:$L$39,FinParameters!$B$8:$B$39,Financials!$E105,FinParameters!$C$8:$C$39,Financials!$F105)</f>
        <v>-26454367.857118793</v>
      </c>
      <c r="V105" s="73">
        <f t="shared" si="22"/>
        <v>-26454367.857118793</v>
      </c>
      <c r="W105" s="12"/>
      <c r="X105" s="73">
        <f t="shared" si="23"/>
        <v>2194067.3260542713</v>
      </c>
      <c r="Y105" s="73">
        <f t="shared" si="24"/>
        <v>-16033455.704197874</v>
      </c>
      <c r="Z105" s="73">
        <f t="shared" si="24"/>
        <v>-53025557.743888959</v>
      </c>
      <c r="AA105" s="12">
        <f t="shared" si="25"/>
        <v>-0.80166133909848003</v>
      </c>
      <c r="AB105" s="114">
        <f t="shared" si="26"/>
        <v>33872702.317239709</v>
      </c>
      <c r="AC105" s="73">
        <f>AB105/SUMIFS(FinParameters!$L$8:$L$39,FinParameters!$B$8:$B$39,Financials!$E105,FinParameters!$C$8:$C$39,Financials!$F105)</f>
        <v>23972632.623791985</v>
      </c>
      <c r="AD105" s="73">
        <f t="shared" si="27"/>
        <v>23972632.623791985</v>
      </c>
      <c r="AE105" s="12"/>
      <c r="AF105" s="73">
        <f t="shared" si="28"/>
        <v>36066769.643293977</v>
      </c>
      <c r="AG105" s="73">
        <f t="shared" si="29"/>
        <v>7939176.9195941109</v>
      </c>
      <c r="AH105" s="73">
        <f t="shared" si="29"/>
        <v>-29052925.120096974</v>
      </c>
      <c r="AI105" s="12">
        <f t="shared" si="30"/>
        <v>-0.43923360446291554</v>
      </c>
      <c r="AL105" s="73">
        <f>Summary!G105</f>
        <v>-2504981.68922436</v>
      </c>
      <c r="AM105" s="73">
        <f>IF(D105&lt;&gt;"avg",SUMIFS(Summary!$H:$H,Summary!$C:$C,Financials!C105,Summary!$E:$E,Financials!E105,Summary!$D:$D,1-Financials!D105,Summary!$F:$F,Financials!F105),SUMIFS(Summary!$H:$H,Summary!$C:$C,Financials!C105,Summary!$E:$E,Financials!E105,Summary!$D:$D,"avg",Summary!$F:$F,Financials!F105))</f>
        <v>3957010.6580653782</v>
      </c>
      <c r="AN105" s="20">
        <f>Summary!I105</f>
        <v>5963544.0298712151</v>
      </c>
      <c r="AP105" s="12">
        <v>1</v>
      </c>
    </row>
    <row r="106" spans="1:42" x14ac:dyDescent="0.3">
      <c r="A106">
        <v>102</v>
      </c>
      <c r="B106" t="str">
        <f>Summary!B106</f>
        <v>MarinusPortland</v>
      </c>
      <c r="C106" t="str">
        <f>Summary!C106</f>
        <v>Wind</v>
      </c>
      <c r="D106" s="104">
        <f>Summary!D106</f>
        <v>0.05</v>
      </c>
      <c r="E106" t="str">
        <f>Summary!E106</f>
        <v>Cal-34</v>
      </c>
      <c r="F106" t="str">
        <f>Summary!F106</f>
        <v>Wartsila dual fuel</v>
      </c>
      <c r="G106" s="73">
        <f>SUMIFS(AL$5:AL106,$F$5:$F106,$F106,$D$5:$D106,$D106)</f>
        <v>-80191313.39671424</v>
      </c>
      <c r="H106" s="73">
        <f>SUMIFS(AM$5:AM106,$F$5:$F106,$F106,$D$5:$D106,$D106)</f>
        <v>79352522.858948275</v>
      </c>
      <c r="I106" s="20">
        <f>SUMIFS(AN$5:AN106,$F$5:$F106,$F106,$D$5:$D106,$D106)</f>
        <v>50210391.492230743</v>
      </c>
      <c r="J106" s="73">
        <f t="shared" si="16"/>
        <v>50210391.492230743</v>
      </c>
      <c r="K106" s="73">
        <f t="shared" si="17"/>
        <v>-29980921.904483497</v>
      </c>
      <c r="L106" s="73">
        <f t="shared" si="18"/>
        <v>49371600.954464778</v>
      </c>
      <c r="M106" s="73">
        <f>-SUMIFS(FinParameters!$E$8:$E$39,FinParameters!$B$8:$B$39,Financials!$E106,FinParameters!$C$8:$C$39,Financials!$F106)</f>
        <v>-25206951.169098232</v>
      </c>
      <c r="N106" s="73">
        <f>-SUMIFS(FinParameters!$F$8:$F$39,FinParameters!$B$8:$B$39,Financials!$E106,FinParameters!$C$8:$C$39,Financials!$F106)</f>
        <v>-74000000</v>
      </c>
      <c r="O106" s="73">
        <f>SUMIFS(FinParameters!$G$8:$G$39,FinParameters!$B$8:$B$39,Financials!$E106,FinParameters!$C$8:$C$39,Financials!$F106)</f>
        <v>7855413.5546568586</v>
      </c>
      <c r="P106" s="73">
        <f t="shared" si="19"/>
        <v>25003440.323132511</v>
      </c>
      <c r="Q106" s="73">
        <f>P106/SUMIFS(FinParameters!$H$8:$H$39,FinParameters!$B$8:$B$39,Financials!$E106,FinParameters!$C$8:$C$39,Financials!$F106)</f>
        <v>6584187.3022576943</v>
      </c>
      <c r="R106" s="73">
        <f t="shared" si="31"/>
        <v>-41141146.122210629</v>
      </c>
      <c r="S106" s="12">
        <f t="shared" si="20"/>
        <v>-0.62198810716288233</v>
      </c>
      <c r="T106" s="114">
        <f t="shared" si="21"/>
        <v>-80191313.39671424</v>
      </c>
      <c r="U106" s="73">
        <f>T106/SUMIFS(FinParameters!$L$8:$L$39,FinParameters!$B$8:$B$39,Financials!$E106,FinParameters!$C$8:$C$39,Financials!$F106)</f>
        <v>-56753573.354564741</v>
      </c>
      <c r="V106" s="73">
        <f t="shared" si="22"/>
        <v>-56753573.354564741</v>
      </c>
      <c r="W106" s="12"/>
      <c r="X106" s="73">
        <f t="shared" si="23"/>
        <v>-55187873.073581725</v>
      </c>
      <c r="Y106" s="73">
        <f t="shared" si="24"/>
        <v>-50169386.052307047</v>
      </c>
      <c r="Z106" s="73">
        <f t="shared" si="24"/>
        <v>-97894719.476775378</v>
      </c>
      <c r="AA106" s="12">
        <f t="shared" si="25"/>
        <v>-1.4800110596755809</v>
      </c>
      <c r="AB106" s="114">
        <f t="shared" si="26"/>
        <v>79352522.858948275</v>
      </c>
      <c r="AC106" s="73">
        <f>AB106/SUMIFS(FinParameters!$L$8:$L$39,FinParameters!$B$8:$B$39,Financials!$E106,FinParameters!$C$8:$C$39,Financials!$F106)</f>
        <v>56159938.47944165</v>
      </c>
      <c r="AD106" s="73">
        <f t="shared" si="27"/>
        <v>56159938.47944165</v>
      </c>
      <c r="AE106" s="12"/>
      <c r="AF106" s="73">
        <f t="shared" si="28"/>
        <v>24164649.78536655</v>
      </c>
      <c r="AG106" s="73">
        <f t="shared" si="29"/>
        <v>5990552.4271346033</v>
      </c>
      <c r="AH106" s="73">
        <f t="shared" si="29"/>
        <v>-41734780.997333728</v>
      </c>
      <c r="AI106" s="12">
        <f t="shared" si="30"/>
        <v>-0.63096291382545988</v>
      </c>
      <c r="AL106" s="73">
        <f>Summary!G106</f>
        <v>-7399404.664608473</v>
      </c>
      <c r="AM106" s="73">
        <f>IF(D106&lt;&gt;"avg",SUMIFS(Summary!$H:$H,Summary!$C:$C,Financials!C106,Summary!$E:$E,Financials!E106,Summary!$D:$D,1-Financials!D106,Summary!$F:$F,Financials!F106),SUMIFS(Summary!$H:$H,Summary!$C:$C,Financials!C106,Summary!$E:$E,Financials!E106,Summary!$D:$D,"avg",Summary!$F:$F,Financials!F106))</f>
        <v>9704141.8645731453</v>
      </c>
      <c r="AN106" s="20">
        <f>Summary!I106</f>
        <v>4477610.2264799476</v>
      </c>
      <c r="AP106" s="12">
        <v>1</v>
      </c>
    </row>
    <row r="107" spans="1:42" x14ac:dyDescent="0.3">
      <c r="A107">
        <v>103</v>
      </c>
      <c r="B107" t="str">
        <f>Summary!B107</f>
        <v>MarinusPortland</v>
      </c>
      <c r="C107" t="str">
        <f>Summary!C107</f>
        <v>Wind</v>
      </c>
      <c r="D107" s="104">
        <f>Summary!D107</f>
        <v>0</v>
      </c>
      <c r="E107" t="str">
        <f>Summary!E107</f>
        <v>Cal-34</v>
      </c>
      <c r="F107" t="str">
        <f>Summary!F107</f>
        <v>Wartsila dual fuel</v>
      </c>
      <c r="G107" s="73">
        <f>SUMIFS(AL$5:AL107,$F$5:$F107,$F107,$D$5:$D107,$D107)</f>
        <v>-141428742.42530137</v>
      </c>
      <c r="H107" s="73">
        <f>SUMIFS(AM$5:AM107,$F$5:$F107,$F107,$D$5:$D107,$D107)</f>
        <v>166878591.55395263</v>
      </c>
      <c r="I107" s="20">
        <f>SUMIFS(AN$5:AN107,$F$5:$F107,$F107,$D$5:$D107,$D107)</f>
        <v>27664988.878797822</v>
      </c>
      <c r="J107" s="73">
        <f t="shared" si="16"/>
        <v>27664988.878797822</v>
      </c>
      <c r="K107" s="73">
        <f t="shared" si="17"/>
        <v>-113763753.54650354</v>
      </c>
      <c r="L107" s="73">
        <f t="shared" si="18"/>
        <v>53114838.007449083</v>
      </c>
      <c r="M107" s="73">
        <f>-SUMIFS(FinParameters!$E$8:$E$39,FinParameters!$B$8:$B$39,Financials!$E107,FinParameters!$C$8:$C$39,Financials!$F107)</f>
        <v>-25206951.169098232</v>
      </c>
      <c r="N107" s="73">
        <f>-SUMIFS(FinParameters!$F$8:$F$39,FinParameters!$B$8:$B$39,Financials!$E107,FinParameters!$C$8:$C$39,Financials!$F107)</f>
        <v>-74000000</v>
      </c>
      <c r="O107" s="73">
        <f>SUMIFS(FinParameters!$G$8:$G$39,FinParameters!$B$8:$B$39,Financials!$E107,FinParameters!$C$8:$C$39,Financials!$F107)</f>
        <v>7855413.5546568586</v>
      </c>
      <c r="P107" s="73">
        <f t="shared" si="19"/>
        <v>2458037.7096995898</v>
      </c>
      <c r="Q107" s="73">
        <f>P107/SUMIFS(FinParameters!$H$8:$H$39,FinParameters!$B$8:$B$39,Financials!$E107,FinParameters!$C$8:$C$39,Financials!$F107)</f>
        <v>647278.15322683635</v>
      </c>
      <c r="R107" s="73">
        <f t="shared" si="31"/>
        <v>-63686548.735643558</v>
      </c>
      <c r="S107" s="12">
        <f t="shared" si="20"/>
        <v>-0.96283841442215801</v>
      </c>
      <c r="T107" s="114">
        <f t="shared" si="21"/>
        <v>-141428742.42530137</v>
      </c>
      <c r="U107" s="73">
        <f>T107/SUMIFS(FinParameters!$L$8:$L$39,FinParameters!$B$8:$B$39,Financials!$E107,FinParameters!$C$8:$C$39,Financials!$F107)</f>
        <v>-100092967.27651633</v>
      </c>
      <c r="V107" s="73">
        <f t="shared" si="22"/>
        <v>-100092967.27651633</v>
      </c>
      <c r="W107" s="12"/>
      <c r="X107" s="73">
        <f t="shared" si="23"/>
        <v>-138970704.71560177</v>
      </c>
      <c r="Y107" s="73">
        <f t="shared" si="24"/>
        <v>-99445689.123289496</v>
      </c>
      <c r="Z107" s="73">
        <f t="shared" si="24"/>
        <v>-163779516.01215988</v>
      </c>
      <c r="AA107" s="12">
        <f t="shared" si="25"/>
        <v>-2.4760834531408675</v>
      </c>
      <c r="AB107" s="114">
        <f t="shared" si="26"/>
        <v>166878591.55395263</v>
      </c>
      <c r="AC107" s="73">
        <f>AB107/SUMIFS(FinParameters!$L$8:$L$39,FinParameters!$B$8:$B$39,Financials!$E107,FinParameters!$C$8:$C$39,Financials!$F107)</f>
        <v>118104517.63285077</v>
      </c>
      <c r="AD107" s="73">
        <f t="shared" si="27"/>
        <v>118104517.63285077</v>
      </c>
      <c r="AE107" s="12"/>
      <c r="AF107" s="73">
        <f t="shared" si="28"/>
        <v>27907886.838350862</v>
      </c>
      <c r="AG107" s="73">
        <f t="shared" si="29"/>
        <v>18658828.50956127</v>
      </c>
      <c r="AH107" s="73">
        <f t="shared" si="29"/>
        <v>-45674998.379309118</v>
      </c>
      <c r="AI107" s="12">
        <f t="shared" si="30"/>
        <v>-0.6905326774860322</v>
      </c>
      <c r="AL107" s="73">
        <f>Summary!G107</f>
        <v>-12649029.033627152</v>
      </c>
      <c r="AM107" s="73">
        <f>IF(D107&lt;&gt;"avg",SUMIFS(Summary!$H:$H,Summary!$C:$C,Financials!C107,Summary!$E:$E,Financials!E107,Summary!$D:$D,1-Financials!D107,Summary!$F:$F,Financials!F107),SUMIFS(Summary!$H:$H,Summary!$C:$C,Financials!C107,Summary!$E:$E,Financials!E107,Summary!$D:$D,"avg",Summary!$F:$F,Financials!F107))</f>
        <v>19041876.804225415</v>
      </c>
      <c r="AN107" s="20">
        <f>Summary!I107</f>
        <v>2682613.0027925633</v>
      </c>
      <c r="AP107" s="12">
        <v>1</v>
      </c>
    </row>
    <row r="108" spans="1:42" x14ac:dyDescent="0.3">
      <c r="A108">
        <v>104</v>
      </c>
      <c r="B108" t="str">
        <f>Summary!B108</f>
        <v>MarinusPortland</v>
      </c>
      <c r="C108" t="str">
        <f>Summary!C108</f>
        <v>Wind</v>
      </c>
      <c r="D108" s="104" t="str">
        <f>Summary!D108</f>
        <v>avg</v>
      </c>
      <c r="E108" t="str">
        <f>Summary!E108</f>
        <v>Cal-34</v>
      </c>
      <c r="F108" t="str">
        <f>Summary!F108</f>
        <v>Wartsila dual fuel</v>
      </c>
      <c r="G108" s="73">
        <f>SUMIFS(AL$5:AL108,$F$5:$F108,$F108,$D$5:$D108,$D108)</f>
        <v>7179126.1757186195</v>
      </c>
      <c r="H108" s="73">
        <f>SUMIFS(AM$5:AM108,$F$5:$F108,$F108,$D$5:$D108,$D108)</f>
        <v>-1800979.5220825917</v>
      </c>
      <c r="I108" s="20">
        <f>SUMIFS(AN$5:AN108,$F$5:$F108,$F108,$D$5:$D108,$D108)</f>
        <v>77525381.869632006</v>
      </c>
      <c r="J108" s="73">
        <f t="shared" si="16"/>
        <v>77525381.869632006</v>
      </c>
      <c r="K108" s="73">
        <f t="shared" si="17"/>
        <v>84704508.045350626</v>
      </c>
      <c r="L108" s="73">
        <f t="shared" si="18"/>
        <v>82903528.523268029</v>
      </c>
      <c r="M108" s="73">
        <f>-SUMIFS(FinParameters!$E$8:$E$39,FinParameters!$B$8:$B$39,Financials!$E108,FinParameters!$C$8:$C$39,Financials!$F108)</f>
        <v>-25206951.169098232</v>
      </c>
      <c r="N108" s="73">
        <f>-SUMIFS(FinParameters!$F$8:$F$39,FinParameters!$B$8:$B$39,Financials!$E108,FinParameters!$C$8:$C$39,Financials!$F108)</f>
        <v>-74000000</v>
      </c>
      <c r="O108" s="73">
        <f>SUMIFS(FinParameters!$G$8:$G$39,FinParameters!$B$8:$B$39,Financials!$E108,FinParameters!$C$8:$C$39,Financials!$F108)</f>
        <v>7855413.5546568586</v>
      </c>
      <c r="P108" s="73">
        <f t="shared" si="19"/>
        <v>52318430.700533777</v>
      </c>
      <c r="Q108" s="73">
        <f>P108/SUMIFS(FinParameters!$H$8:$H$39,FinParameters!$B$8:$B$39,Financials!$E108,FinParameters!$C$8:$C$39,Financials!$F108)</f>
        <v>13777077.979697267</v>
      </c>
      <c r="R108" s="73">
        <f t="shared" si="31"/>
        <v>-13826155.744809363</v>
      </c>
      <c r="S108" s="12">
        <f t="shared" si="20"/>
        <v>-0.20902928701858686</v>
      </c>
      <c r="T108" s="114">
        <f t="shared" si="21"/>
        <v>7179126.1757186195</v>
      </c>
      <c r="U108" s="73">
        <f>T108/SUMIFS(FinParameters!$L$8:$L$39,FinParameters!$B$8:$B$39,Financials!$E108,FinParameters!$C$8:$C$39,Financials!$F108)</f>
        <v>5080862.8363482701</v>
      </c>
      <c r="V108" s="73">
        <f t="shared" si="22"/>
        <v>5080862.8363482701</v>
      </c>
      <c r="W108" s="12"/>
      <c r="X108" s="73">
        <f t="shared" si="23"/>
        <v>59497556.876252398</v>
      </c>
      <c r="Y108" s="73">
        <f t="shared" si="24"/>
        <v>18857940.816045538</v>
      </c>
      <c r="Z108" s="73">
        <f t="shared" si="24"/>
        <v>-8745292.9084610939</v>
      </c>
      <c r="AA108" s="12">
        <f t="shared" si="25"/>
        <v>-0.13221479456504787</v>
      </c>
      <c r="AB108" s="114">
        <f t="shared" si="26"/>
        <v>-1800979.5220825917</v>
      </c>
      <c r="AC108" s="73">
        <f>AB108/SUMIFS(FinParameters!$L$8:$L$39,FinParameters!$B$8:$B$39,Financials!$E108,FinParameters!$C$8:$C$39,Financials!$F108)</f>
        <v>-1274602.1867846269</v>
      </c>
      <c r="AD108" s="73">
        <f t="shared" si="27"/>
        <v>-1274602.1867846269</v>
      </c>
      <c r="AE108" s="12"/>
      <c r="AF108" s="73">
        <f t="shared" si="28"/>
        <v>57696577.354169808</v>
      </c>
      <c r="AG108" s="73">
        <f t="shared" si="29"/>
        <v>17583338.629260913</v>
      </c>
      <c r="AH108" s="73">
        <f t="shared" si="29"/>
        <v>-10019895.095245721</v>
      </c>
      <c r="AI108" s="12">
        <f t="shared" si="30"/>
        <v>-0.15148473418191827</v>
      </c>
      <c r="AL108" s="73">
        <f>Summary!G108</f>
        <v>1381696.1966394363</v>
      </c>
      <c r="AM108" s="73">
        <f>IF(D108&lt;&gt;"avg",SUMIFS(Summary!$H:$H,Summary!$C:$C,Financials!C108,Summary!$E:$E,Financials!E108,Summary!$D:$D,1-Financials!D108,Summary!$F:$F,Financials!F108),SUMIFS(Summary!$H:$H,Summary!$C:$C,Financials!C108,Summary!$E:$E,Financials!E108,Summary!$D:$D,"avg",Summary!$F:$F,Financials!F108))</f>
        <v>13271.938930824306</v>
      </c>
      <c r="AN108" s="20">
        <f>Summary!I108</f>
        <v>7117049.0122925583</v>
      </c>
      <c r="AP108" s="12">
        <v>1</v>
      </c>
    </row>
    <row r="109" spans="1:42" x14ac:dyDescent="0.3">
      <c r="A109">
        <v>105</v>
      </c>
      <c r="B109" t="str">
        <f>Summary!B109</f>
        <v>MarinusPortland</v>
      </c>
      <c r="C109" t="str">
        <f>Summary!C109</f>
        <v>Wind</v>
      </c>
      <c r="D109" s="104">
        <f>Summary!D109</f>
        <v>1</v>
      </c>
      <c r="E109" t="str">
        <f>Summary!E109</f>
        <v>Cal-35</v>
      </c>
      <c r="F109" t="str">
        <f>Summary!F109</f>
        <v>Wartsila dual fuel</v>
      </c>
      <c r="G109" s="73">
        <f>SUMIFS(AL$5:AL109,$F$5:$F109,$F109,$D$5:$D109,$D109)</f>
        <v>273996905.25165427</v>
      </c>
      <c r="H109" s="73">
        <f>SUMIFS(AM$5:AM109,$F$5:$F109,$F109,$D$5:$D109,$D109)</f>
        <v>-230179787.63289768</v>
      </c>
      <c r="I109" s="20">
        <f>SUMIFS(AN$5:AN109,$F$5:$F109,$F109,$D$5:$D109,$D109)</f>
        <v>176473546.30743003</v>
      </c>
      <c r="J109" s="73">
        <f t="shared" si="16"/>
        <v>176473546.30743003</v>
      </c>
      <c r="K109" s="73">
        <f t="shared" si="17"/>
        <v>450470451.5590843</v>
      </c>
      <c r="L109" s="73">
        <f t="shared" si="18"/>
        <v>220290663.92618662</v>
      </c>
      <c r="M109" s="73">
        <f>-SUMIFS(FinParameters!$E$8:$E$39,FinParameters!$B$8:$B$39,Financials!$E109,FinParameters!$C$8:$C$39,Financials!$F109)</f>
        <v>-27247749.948325686</v>
      </c>
      <c r="N109" s="73">
        <f>-SUMIFS(FinParameters!$F$8:$F$39,FinParameters!$B$8:$B$39,Financials!$E109,FinParameters!$C$8:$C$39,Financials!$F109)</f>
        <v>-74000000</v>
      </c>
      <c r="O109" s="73">
        <f>SUMIFS(FinParameters!$G$8:$G$39,FinParameters!$B$8:$B$39,Financials!$E109,FinParameters!$C$8:$C$39,Financials!$F109)</f>
        <v>6659248.3088341104</v>
      </c>
      <c r="P109" s="73">
        <f t="shared" si="19"/>
        <v>149225796.35910434</v>
      </c>
      <c r="Q109" s="73">
        <f>P109/SUMIFS(FinParameters!$H$8:$H$39,FinParameters!$B$8:$B$39,Financials!$E109,FinParameters!$C$8:$C$39,Financials!$F109)</f>
        <v>35723469.209151424</v>
      </c>
      <c r="R109" s="73">
        <f t="shared" si="31"/>
        <v>81885044.667938441</v>
      </c>
      <c r="S109" s="12">
        <f t="shared" si="20"/>
        <v>1.2159805557780927</v>
      </c>
      <c r="T109" s="114">
        <f t="shared" si="21"/>
        <v>273996905.25165427</v>
      </c>
      <c r="U109" s="73">
        <f>T109/SUMIFS(FinParameters!$L$8:$L$39,FinParameters!$B$8:$B$39,Financials!$E109,FinParameters!$C$8:$C$39,Financials!$F109)</f>
        <v>189185425.75674242</v>
      </c>
      <c r="V109" s="73">
        <f t="shared" si="22"/>
        <v>189185425.75674242</v>
      </c>
      <c r="W109" s="12"/>
      <c r="X109" s="73">
        <f t="shared" si="23"/>
        <v>423222701.6107586</v>
      </c>
      <c r="Y109" s="73">
        <f t="shared" si="24"/>
        <v>224908894.96589383</v>
      </c>
      <c r="Z109" s="73">
        <f t="shared" si="24"/>
        <v>271070470.42468083</v>
      </c>
      <c r="AA109" s="12">
        <f t="shared" si="25"/>
        <v>4.025355577672312</v>
      </c>
      <c r="AB109" s="114">
        <f t="shared" si="26"/>
        <v>-230179787.63289768</v>
      </c>
      <c r="AC109" s="73">
        <f>AB109/SUMIFS(FinParameters!$L$8:$L$39,FinParameters!$B$8:$B$39,Financials!$E109,FinParameters!$C$8:$C$39,Financials!$F109)</f>
        <v>-158931215.24102828</v>
      </c>
      <c r="AD109" s="73">
        <f t="shared" si="27"/>
        <v>-158931215.24102828</v>
      </c>
      <c r="AE109" s="12"/>
      <c r="AF109" s="73">
        <f t="shared" si="28"/>
        <v>193042913.97786093</v>
      </c>
      <c r="AG109" s="73">
        <f t="shared" si="29"/>
        <v>65977679.724865556</v>
      </c>
      <c r="AH109" s="73">
        <f t="shared" si="29"/>
        <v>112139255.18365255</v>
      </c>
      <c r="AI109" s="12">
        <f t="shared" si="30"/>
        <v>1.6652510161742604</v>
      </c>
      <c r="AL109" s="73">
        <f>Summary!G109</f>
        <v>20135291.198764388</v>
      </c>
      <c r="AM109" s="73">
        <f>IF(D109&lt;&gt;"avg",SUMIFS(Summary!$H:$H,Summary!$C:$C,Financials!C109,Summary!$E:$E,Financials!E109,Summary!$D:$D,1-Financials!D109,Summary!$F:$F,Financials!F109),SUMIFS(Summary!$H:$H,Summary!$C:$C,Financials!C109,Summary!$E:$E,Financials!E109,Summary!$D:$D,"avg",Summary!$F:$F,Financials!F109))</f>
        <v>-19973418.104298703</v>
      </c>
      <c r="AN109" s="20">
        <f>Summary!I109</f>
        <v>14221386.449712111</v>
      </c>
      <c r="AP109" s="12">
        <v>1</v>
      </c>
    </row>
    <row r="110" spans="1:42" x14ac:dyDescent="0.3">
      <c r="A110">
        <v>106</v>
      </c>
      <c r="B110" t="str">
        <f>Summary!B110</f>
        <v>MarinusPortland</v>
      </c>
      <c r="C110" t="str">
        <f>Summary!C110</f>
        <v>Wind</v>
      </c>
      <c r="D110" s="104">
        <f>Summary!D110</f>
        <v>0.95</v>
      </c>
      <c r="E110" t="str">
        <f>Summary!E110</f>
        <v>Cal-35</v>
      </c>
      <c r="F110" t="str">
        <f>Summary!F110</f>
        <v>Wartsila dual fuel</v>
      </c>
      <c r="G110" s="73">
        <f>SUMIFS(AL$5:AL110,$F$5:$F110,$F110,$D$5:$D110,$D110)</f>
        <v>125943013.68609267</v>
      </c>
      <c r="H110" s="73">
        <f>SUMIFS(AM$5:AM110,$F$5:$F110,$F110,$D$5:$D110,$D110)</f>
        <v>-98414100.757730737</v>
      </c>
      <c r="I110" s="20">
        <f>SUMIFS(AN$5:AN110,$F$5:$F110,$F110,$D$5:$D110,$D110)</f>
        <v>120610508.84968112</v>
      </c>
      <c r="J110" s="73">
        <f t="shared" si="16"/>
        <v>120610508.84968112</v>
      </c>
      <c r="K110" s="73">
        <f t="shared" si="17"/>
        <v>246553522.53577381</v>
      </c>
      <c r="L110" s="73">
        <f t="shared" si="18"/>
        <v>148139421.77804306</v>
      </c>
      <c r="M110" s="73">
        <f>-SUMIFS(FinParameters!$E$8:$E$39,FinParameters!$B$8:$B$39,Financials!$E110,FinParameters!$C$8:$C$39,Financials!$F110)</f>
        <v>-27247749.948325686</v>
      </c>
      <c r="N110" s="73">
        <f>-SUMIFS(FinParameters!$F$8:$F$39,FinParameters!$B$8:$B$39,Financials!$E110,FinParameters!$C$8:$C$39,Financials!$F110)</f>
        <v>-74000000</v>
      </c>
      <c r="O110" s="73">
        <f>SUMIFS(FinParameters!$G$8:$G$39,FinParameters!$B$8:$B$39,Financials!$E110,FinParameters!$C$8:$C$39,Financials!$F110)</f>
        <v>6659248.3088341104</v>
      </c>
      <c r="P110" s="73">
        <f t="shared" si="19"/>
        <v>93362758.901355445</v>
      </c>
      <c r="Q110" s="73">
        <f>P110/SUMIFS(FinParameters!$H$8:$H$39,FinParameters!$B$8:$B$39,Financials!$E110,FinParameters!$C$8:$C$39,Financials!$F110)</f>
        <v>22350302.188154578</v>
      </c>
      <c r="R110" s="73">
        <f t="shared" si="31"/>
        <v>26022007.210189555</v>
      </c>
      <c r="S110" s="12">
        <f t="shared" si="20"/>
        <v>0.38642288000481667</v>
      </c>
      <c r="T110" s="114">
        <f t="shared" si="21"/>
        <v>125943013.68609267</v>
      </c>
      <c r="U110" s="73">
        <f>T110/SUMIFS(FinParameters!$L$8:$L$39,FinParameters!$B$8:$B$39,Financials!$E110,FinParameters!$C$8:$C$39,Financials!$F110)</f>
        <v>86959313.074748039</v>
      </c>
      <c r="V110" s="73">
        <f t="shared" si="22"/>
        <v>86959313.074748039</v>
      </c>
      <c r="W110" s="12"/>
      <c r="X110" s="73">
        <f t="shared" si="23"/>
        <v>219305772.58744812</v>
      </c>
      <c r="Y110" s="73">
        <f t="shared" si="24"/>
        <v>109309615.26290262</v>
      </c>
      <c r="Z110" s="73">
        <f t="shared" si="24"/>
        <v>112981320.28493759</v>
      </c>
      <c r="AA110" s="12">
        <f t="shared" si="25"/>
        <v>1.6777555558495356</v>
      </c>
      <c r="AB110" s="114">
        <f t="shared" si="26"/>
        <v>-98414100.757730737</v>
      </c>
      <c r="AC110" s="73">
        <f>AB110/SUMIFS(FinParameters!$L$8:$L$39,FinParameters!$B$8:$B$39,Financials!$E110,FinParameters!$C$8:$C$39,Financials!$F110)</f>
        <v>-67951546.880494654</v>
      </c>
      <c r="AD110" s="73">
        <f t="shared" si="27"/>
        <v>-67951546.880494654</v>
      </c>
      <c r="AE110" s="12"/>
      <c r="AF110" s="73">
        <f t="shared" si="28"/>
        <v>120891671.82971738</v>
      </c>
      <c r="AG110" s="73">
        <f t="shared" si="29"/>
        <v>41358068.382407963</v>
      </c>
      <c r="AH110" s="73">
        <f t="shared" si="29"/>
        <v>45029773.404442936</v>
      </c>
      <c r="AI110" s="12">
        <f t="shared" si="30"/>
        <v>0.66868533946510988</v>
      </c>
      <c r="AL110" s="73">
        <f>Summary!G110</f>
        <v>9085108.8775123283</v>
      </c>
      <c r="AM110" s="73">
        <f>IF(D110&lt;&gt;"avg",SUMIFS(Summary!$H:$H,Summary!$C:$C,Financials!C110,Summary!$E:$E,Financials!E110,Summary!$D:$D,1-Financials!D110,Summary!$F:$F,Financials!F110),SUMIFS(Summary!$H:$H,Summary!$C:$C,Financials!C110,Summary!$E:$E,Financials!E110,Summary!$D:$D,"avg",Summary!$F:$F,Financials!F110))</f>
        <v>-9333761.2838313971</v>
      </c>
      <c r="AN110" s="20">
        <f>Summary!I110</f>
        <v>9946631.4578993712</v>
      </c>
      <c r="AP110" s="12">
        <v>1</v>
      </c>
    </row>
    <row r="111" spans="1:42" x14ac:dyDescent="0.3">
      <c r="A111">
        <v>107</v>
      </c>
      <c r="B111" t="str">
        <f>Summary!B111</f>
        <v>MarinusPortland</v>
      </c>
      <c r="C111" t="str">
        <f>Summary!C111</f>
        <v>Wind</v>
      </c>
      <c r="D111" s="104">
        <f>Summary!D111</f>
        <v>0.75</v>
      </c>
      <c r="E111" t="str">
        <f>Summary!E111</f>
        <v>Cal-35</v>
      </c>
      <c r="F111" t="str">
        <f>Summary!F111</f>
        <v>Wartsila dual fuel</v>
      </c>
      <c r="G111" s="73">
        <f>SUMIFS(AL$5:AL111,$F$5:$F111,$F111,$D$5:$D111,$D111)</f>
        <v>51641328.880341239</v>
      </c>
      <c r="H111" s="73">
        <f>SUMIFS(AM$5:AM111,$F$5:$F111,$F111,$D$5:$D111,$D111)</f>
        <v>-39998440.034301504</v>
      </c>
      <c r="I111" s="20">
        <f>SUMIFS(AN$5:AN111,$F$5:$F111,$F111,$D$5:$D111,$D111)</f>
        <v>97149958.704797596</v>
      </c>
      <c r="J111" s="73">
        <f t="shared" si="16"/>
        <v>97149958.704797596</v>
      </c>
      <c r="K111" s="73">
        <f t="shared" si="17"/>
        <v>148791287.58513883</v>
      </c>
      <c r="L111" s="73">
        <f t="shared" si="18"/>
        <v>108792847.55083734</v>
      </c>
      <c r="M111" s="73">
        <f>-SUMIFS(FinParameters!$E$8:$E$39,FinParameters!$B$8:$B$39,Financials!$E111,FinParameters!$C$8:$C$39,Financials!$F111)</f>
        <v>-27247749.948325686</v>
      </c>
      <c r="N111" s="73">
        <f>-SUMIFS(FinParameters!$F$8:$F$39,FinParameters!$B$8:$B$39,Financials!$E111,FinParameters!$C$8:$C$39,Financials!$F111)</f>
        <v>-74000000</v>
      </c>
      <c r="O111" s="73">
        <f>SUMIFS(FinParameters!$G$8:$G$39,FinParameters!$B$8:$B$39,Financials!$E111,FinParameters!$C$8:$C$39,Financials!$F111)</f>
        <v>6659248.3088341104</v>
      </c>
      <c r="P111" s="73">
        <f t="shared" si="19"/>
        <v>69902208.756471902</v>
      </c>
      <c r="Q111" s="73">
        <f>P111/SUMIFS(FinParameters!$H$8:$H$39,FinParameters!$B$8:$B$39,Financials!$E111,FinParameters!$C$8:$C$39,Financials!$F111)</f>
        <v>16734033.009642884</v>
      </c>
      <c r="R111" s="73">
        <f t="shared" si="31"/>
        <v>2561457.0653060125</v>
      </c>
      <c r="S111" s="12">
        <f t="shared" si="20"/>
        <v>3.8037250861903245E-2</v>
      </c>
      <c r="T111" s="114">
        <f t="shared" si="21"/>
        <v>51641328.880341239</v>
      </c>
      <c r="U111" s="73">
        <f>T111/SUMIFS(FinParameters!$L$8:$L$39,FinParameters!$B$8:$B$39,Financials!$E111,FinParameters!$C$8:$C$39,Financials!$F111)</f>
        <v>35656558.901270032</v>
      </c>
      <c r="V111" s="73">
        <f t="shared" si="22"/>
        <v>35656558.901270032</v>
      </c>
      <c r="W111" s="12"/>
      <c r="X111" s="73">
        <f t="shared" si="23"/>
        <v>121543537.63681313</v>
      </c>
      <c r="Y111" s="73">
        <f t="shared" si="24"/>
        <v>52390591.910912916</v>
      </c>
      <c r="Z111" s="73">
        <f t="shared" si="24"/>
        <v>38218015.966576047</v>
      </c>
      <c r="AA111" s="12">
        <f t="shared" si="25"/>
        <v>0.56753176949745399</v>
      </c>
      <c r="AB111" s="114">
        <f t="shared" si="26"/>
        <v>-39998440.034301504</v>
      </c>
      <c r="AC111" s="73">
        <f>AB111/SUMIFS(FinParameters!$L$8:$L$39,FinParameters!$B$8:$B$39,Financials!$E111,FinParameters!$C$8:$C$39,Financials!$F111)</f>
        <v>-27617545.170974787</v>
      </c>
      <c r="AD111" s="73">
        <f t="shared" si="27"/>
        <v>-27617545.170974787</v>
      </c>
      <c r="AE111" s="12"/>
      <c r="AF111" s="73">
        <f t="shared" si="28"/>
        <v>81545097.602511629</v>
      </c>
      <c r="AG111" s="73">
        <f t="shared" si="29"/>
        <v>24773046.739938129</v>
      </c>
      <c r="AH111" s="73">
        <f t="shared" si="29"/>
        <v>10600470.79560126</v>
      </c>
      <c r="AI111" s="12">
        <f t="shared" si="30"/>
        <v>0.15741539156284595</v>
      </c>
      <c r="AL111" s="73">
        <f>Summary!G111</f>
        <v>4665040.3715363936</v>
      </c>
      <c r="AM111" s="73">
        <f>IF(D111&lt;&gt;"avg",SUMIFS(Summary!$H:$H,Summary!$C:$C,Financials!C111,Summary!$E:$E,Financials!E111,Summary!$D:$D,1-Financials!D111,Summary!$F:$F,Financials!F111),SUMIFS(Summary!$H:$H,Summary!$C:$C,Financials!C111,Summary!$E:$E,Financials!E111,Summary!$D:$D,"avg",Summary!$F:$F,Financials!F111))</f>
        <v>-4211303.3304246683</v>
      </c>
      <c r="AN111" s="20">
        <f>Summary!I111</f>
        <v>8281887.8371311501</v>
      </c>
      <c r="AP111" s="12">
        <v>1</v>
      </c>
    </row>
    <row r="112" spans="1:42" x14ac:dyDescent="0.3">
      <c r="A112">
        <v>108</v>
      </c>
      <c r="B112" t="str">
        <f>Summary!B112</f>
        <v>MarinusPortland</v>
      </c>
      <c r="C112" t="str">
        <f>Summary!C112</f>
        <v>Wind</v>
      </c>
      <c r="D112" s="104">
        <f>Summary!D112</f>
        <v>0.5</v>
      </c>
      <c r="E112" t="str">
        <f>Summary!E112</f>
        <v>Cal-35</v>
      </c>
      <c r="F112" t="str">
        <f>Summary!F112</f>
        <v>Wartsila dual fuel</v>
      </c>
      <c r="G112" s="73">
        <f>SUMIFS(AL$5:AL112,$F$5:$F112,$F112,$D$5:$D112,$D112)</f>
        <v>590808.02317578578</v>
      </c>
      <c r="H112" s="73">
        <f>SUMIFS(AM$5:AM112,$F$5:$F112,$F112,$D$5:$D112,$D112)</f>
        <v>-170593.66541829865</v>
      </c>
      <c r="I112" s="20">
        <f>SUMIFS(AN$5:AN112,$F$5:$F112,$F112,$D$5:$D112,$D112)</f>
        <v>83334593.13895838</v>
      </c>
      <c r="J112" s="73">
        <f t="shared" si="16"/>
        <v>83334593.13895838</v>
      </c>
      <c r="K112" s="73">
        <f t="shared" si="17"/>
        <v>83925401.162134171</v>
      </c>
      <c r="L112" s="73">
        <f t="shared" si="18"/>
        <v>83754807.496715873</v>
      </c>
      <c r="M112" s="73">
        <f>-SUMIFS(FinParameters!$E$8:$E$39,FinParameters!$B$8:$B$39,Financials!$E112,FinParameters!$C$8:$C$39,Financials!$F112)</f>
        <v>-27247749.948325686</v>
      </c>
      <c r="N112" s="73">
        <f>-SUMIFS(FinParameters!$F$8:$F$39,FinParameters!$B$8:$B$39,Financials!$E112,FinParameters!$C$8:$C$39,Financials!$F112)</f>
        <v>-74000000</v>
      </c>
      <c r="O112" s="73">
        <f>SUMIFS(FinParameters!$G$8:$G$39,FinParameters!$B$8:$B$39,Financials!$E112,FinParameters!$C$8:$C$39,Financials!$F112)</f>
        <v>6659248.3088341104</v>
      </c>
      <c r="P112" s="73">
        <f t="shared" si="19"/>
        <v>56086843.190632693</v>
      </c>
      <c r="Q112" s="73">
        <f>P112/SUMIFS(FinParameters!$H$8:$H$39,FinParameters!$B$8:$B$39,Financials!$E112,FinParameters!$C$8:$C$39,Financials!$F112)</f>
        <v>13426744.334052464</v>
      </c>
      <c r="R112" s="73">
        <f t="shared" si="31"/>
        <v>-11253908.500533197</v>
      </c>
      <c r="S112" s="12">
        <f t="shared" si="20"/>
        <v>-0.16711884286865694</v>
      </c>
      <c r="T112" s="114">
        <f t="shared" si="21"/>
        <v>590808.02317578578</v>
      </c>
      <c r="U112" s="73">
        <f>T112/SUMIFS(FinParameters!$L$8:$L$39,FinParameters!$B$8:$B$39,Financials!$E112,FinParameters!$C$8:$C$39,Financials!$F112)</f>
        <v>407932.5907070096</v>
      </c>
      <c r="V112" s="73">
        <f t="shared" si="22"/>
        <v>407932.5907070096</v>
      </c>
      <c r="W112" s="12"/>
      <c r="X112" s="73">
        <f t="shared" si="23"/>
        <v>56677651.213808484</v>
      </c>
      <c r="Y112" s="73">
        <f t="shared" si="24"/>
        <v>13834676.924759474</v>
      </c>
      <c r="Z112" s="73">
        <f t="shared" si="24"/>
        <v>-10845975.909826187</v>
      </c>
      <c r="AA112" s="12">
        <f t="shared" si="25"/>
        <v>-0.16106110545910371</v>
      </c>
      <c r="AB112" s="114">
        <f t="shared" si="26"/>
        <v>-170593.66541829865</v>
      </c>
      <c r="AC112" s="73">
        <f>AB112/SUMIFS(FinParameters!$L$8:$L$39,FinParameters!$B$8:$B$39,Financials!$E112,FinParameters!$C$8:$C$39,Financials!$F112)</f>
        <v>-117789.05018624928</v>
      </c>
      <c r="AD112" s="73">
        <f t="shared" si="27"/>
        <v>-117789.05018624928</v>
      </c>
      <c r="AE112" s="12"/>
      <c r="AF112" s="73">
        <f t="shared" si="28"/>
        <v>56507057.548390187</v>
      </c>
      <c r="AG112" s="73">
        <f t="shared" si="29"/>
        <v>13716887.874573225</v>
      </c>
      <c r="AH112" s="73">
        <f t="shared" si="29"/>
        <v>-10963764.960012436</v>
      </c>
      <c r="AI112" s="12">
        <f t="shared" si="30"/>
        <v>-0.16281025507843744</v>
      </c>
      <c r="AL112" s="73">
        <f>Summary!G112</f>
        <v>1136024.9500990917</v>
      </c>
      <c r="AM112" s="73">
        <f>IF(D112&lt;&gt;"avg",SUMIFS(Summary!$H:$H,Summary!$C:$C,Financials!C112,Summary!$E:$E,Financials!E112,Summary!$D:$D,1-Financials!D112,Summary!$F:$F,Financials!F112),SUMIFS(Summary!$H:$H,Summary!$C:$C,Financials!C112,Summary!$E:$E,Financials!E112,Summary!$D:$D,"avg",Summary!$F:$F,Financials!F112))</f>
        <v>-208065.68082886355</v>
      </c>
      <c r="AN112" s="20">
        <f>Summary!I112</f>
        <v>7192281.9798977971</v>
      </c>
      <c r="AP112" s="12">
        <v>1</v>
      </c>
    </row>
    <row r="113" spans="1:42" x14ac:dyDescent="0.3">
      <c r="A113">
        <v>109</v>
      </c>
      <c r="B113" t="str">
        <f>Summary!B113</f>
        <v>MarinusPortland</v>
      </c>
      <c r="C113" t="str">
        <f>Summary!C113</f>
        <v>Wind</v>
      </c>
      <c r="D113" s="104">
        <f>Summary!D113</f>
        <v>0.25</v>
      </c>
      <c r="E113" t="str">
        <f>Summary!E113</f>
        <v>Cal-35</v>
      </c>
      <c r="F113" t="str">
        <f>Summary!F113</f>
        <v>Wartsila dual fuel</v>
      </c>
      <c r="G113" s="73">
        <f>SUMIFS(AL$5:AL113,$F$5:$F113,$F113,$D$5:$D113,$D113)</f>
        <v>-40935589.998996615</v>
      </c>
      <c r="H113" s="73">
        <f>SUMIFS(AM$5:AM113,$F$5:$F113,$F113,$D$5:$D113,$D113)</f>
        <v>38137682.891082242</v>
      </c>
      <c r="I113" s="20">
        <f>SUMIFS(AN$5:AN113,$F$5:$F113,$F113,$D$5:$D113,$D113)</f>
        <v>70705012.898601562</v>
      </c>
      <c r="J113" s="73">
        <f t="shared" si="16"/>
        <v>70705012.898601562</v>
      </c>
      <c r="K113" s="73">
        <f t="shared" si="17"/>
        <v>29769422.899604946</v>
      </c>
      <c r="L113" s="73">
        <f t="shared" si="18"/>
        <v>67907105.790687189</v>
      </c>
      <c r="M113" s="73">
        <f>-SUMIFS(FinParameters!$E$8:$E$39,FinParameters!$B$8:$B$39,Financials!$E113,FinParameters!$C$8:$C$39,Financials!$F113)</f>
        <v>-27247749.948325686</v>
      </c>
      <c r="N113" s="73">
        <f>-SUMIFS(FinParameters!$F$8:$F$39,FinParameters!$B$8:$B$39,Financials!$E113,FinParameters!$C$8:$C$39,Financials!$F113)</f>
        <v>-74000000</v>
      </c>
      <c r="O113" s="73">
        <f>SUMIFS(FinParameters!$G$8:$G$39,FinParameters!$B$8:$B$39,Financials!$E113,FinParameters!$C$8:$C$39,Financials!$F113)</f>
        <v>6659248.3088341104</v>
      </c>
      <c r="P113" s="73">
        <f t="shared" si="19"/>
        <v>43457262.950275876</v>
      </c>
      <c r="Q113" s="73">
        <f>P113/SUMIFS(FinParameters!$H$8:$H$39,FinParameters!$B$8:$B$39,Financials!$E113,FinParameters!$C$8:$C$39,Financials!$F113)</f>
        <v>10403323.237641156</v>
      </c>
      <c r="R113" s="73">
        <f t="shared" si="31"/>
        <v>-23883488.740890015</v>
      </c>
      <c r="S113" s="12">
        <f t="shared" si="20"/>
        <v>-0.35466620346655819</v>
      </c>
      <c r="T113" s="114">
        <f t="shared" si="21"/>
        <v>-40935589.998996615</v>
      </c>
      <c r="U113" s="73">
        <f>T113/SUMIFS(FinParameters!$L$8:$L$39,FinParameters!$B$8:$B$39,Financials!$E113,FinParameters!$C$8:$C$39,Financials!$F113)</f>
        <v>-28264614.943189632</v>
      </c>
      <c r="V113" s="73">
        <f t="shared" si="22"/>
        <v>-28264614.943189632</v>
      </c>
      <c r="W113" s="12"/>
      <c r="X113" s="73">
        <f t="shared" si="23"/>
        <v>2521672.9512792602</v>
      </c>
      <c r="Y113" s="73">
        <f t="shared" si="24"/>
        <v>-17861291.705548476</v>
      </c>
      <c r="Z113" s="73">
        <f t="shared" si="24"/>
        <v>-52148103.684079647</v>
      </c>
      <c r="AA113" s="12">
        <f t="shared" si="25"/>
        <v>-0.77439146986713403</v>
      </c>
      <c r="AB113" s="114">
        <f t="shared" si="26"/>
        <v>38137682.891082242</v>
      </c>
      <c r="AC113" s="73">
        <f>AB113/SUMIFS(FinParameters!$L$8:$L$39,FinParameters!$B$8:$B$39,Financials!$E113,FinParameters!$C$8:$C$39,Financials!$F113)</f>
        <v>26332756.453939777</v>
      </c>
      <c r="AD113" s="73">
        <f t="shared" si="27"/>
        <v>26332756.453939777</v>
      </c>
      <c r="AE113" s="12"/>
      <c r="AF113" s="73">
        <f t="shared" si="28"/>
        <v>40659355.842361502</v>
      </c>
      <c r="AG113" s="73">
        <f t="shared" si="29"/>
        <v>8471464.7483913004</v>
      </c>
      <c r="AH113" s="73">
        <f t="shared" si="29"/>
        <v>-25815347.23013987</v>
      </c>
      <c r="AI113" s="12">
        <f t="shared" si="30"/>
        <v>-0.38335401048881462</v>
      </c>
      <c r="AL113" s="73">
        <f>Summary!G113</f>
        <v>-3556260.7664779043</v>
      </c>
      <c r="AM113" s="73">
        <f>IF(D113&lt;&gt;"avg",SUMIFS(Summary!$H:$H,Summary!$C:$C,Financials!C113,Summary!$E:$E,Financials!E113,Summary!$D:$D,1-Financials!D113,Summary!$F:$F,Financials!F113),SUMIFS(Summary!$H:$H,Summary!$C:$C,Financials!C113,Summary!$E:$E,Financials!E113,Summary!$D:$D,"avg",Summary!$F:$F,Financials!F113))</f>
        <v>4264980.5738425311</v>
      </c>
      <c r="AN113" s="20">
        <f>Summary!I113</f>
        <v>5924665.1709303502</v>
      </c>
      <c r="AP113" s="12">
        <v>1</v>
      </c>
    </row>
    <row r="114" spans="1:42" x14ac:dyDescent="0.3">
      <c r="A114">
        <v>110</v>
      </c>
      <c r="B114" t="str">
        <f>Summary!B114</f>
        <v>MarinusPortland</v>
      </c>
      <c r="C114" t="str">
        <f>Summary!C114</f>
        <v>Wind</v>
      </c>
      <c r="D114" s="104">
        <f>Summary!D114</f>
        <v>0.05</v>
      </c>
      <c r="E114" t="str">
        <f>Summary!E114</f>
        <v>Cal-35</v>
      </c>
      <c r="F114" t="str">
        <f>Summary!F114</f>
        <v>Wartsila dual fuel</v>
      </c>
      <c r="G114" s="73">
        <f>SUMIFS(AL$5:AL114,$F$5:$F114,$F114,$D$5:$D114,$D114)</f>
        <v>-90263996.388272628</v>
      </c>
      <c r="H114" s="73">
        <f>SUMIFS(AM$5:AM114,$F$5:$F114,$F114,$D$5:$D114,$D114)</f>
        <v>90636738.309178621</v>
      </c>
      <c r="I114" s="20">
        <f>SUMIFS(AN$5:AN114,$F$5:$F114,$F114,$D$5:$D114,$D114)</f>
        <v>54357485.276737489</v>
      </c>
      <c r="J114" s="73">
        <f t="shared" si="16"/>
        <v>54357485.276737489</v>
      </c>
      <c r="K114" s="73">
        <f t="shared" si="17"/>
        <v>-35906511.111535139</v>
      </c>
      <c r="L114" s="73">
        <f t="shared" si="18"/>
        <v>54730227.197643481</v>
      </c>
      <c r="M114" s="73">
        <f>-SUMIFS(FinParameters!$E$8:$E$39,FinParameters!$B$8:$B$39,Financials!$E114,FinParameters!$C$8:$C$39,Financials!$F114)</f>
        <v>-27247749.948325686</v>
      </c>
      <c r="N114" s="73">
        <f>-SUMIFS(FinParameters!$F$8:$F$39,FinParameters!$B$8:$B$39,Financials!$E114,FinParameters!$C$8:$C$39,Financials!$F114)</f>
        <v>-74000000</v>
      </c>
      <c r="O114" s="73">
        <f>SUMIFS(FinParameters!$G$8:$G$39,FinParameters!$B$8:$B$39,Financials!$E114,FinParameters!$C$8:$C$39,Financials!$F114)</f>
        <v>6659248.3088341104</v>
      </c>
      <c r="P114" s="73">
        <f t="shared" si="19"/>
        <v>27109735.328411803</v>
      </c>
      <c r="Q114" s="73">
        <f>P114/SUMIFS(FinParameters!$H$8:$H$39,FinParameters!$B$8:$B$39,Financials!$E114,FinParameters!$C$8:$C$39,Financials!$F114)</f>
        <v>6489855.0981241101</v>
      </c>
      <c r="R114" s="73">
        <f t="shared" si="31"/>
        <v>-40231016.362754084</v>
      </c>
      <c r="S114" s="12">
        <f t="shared" si="20"/>
        <v>-0.5974245215922025</v>
      </c>
      <c r="T114" s="114">
        <f t="shared" si="21"/>
        <v>-90263996.388272628</v>
      </c>
      <c r="U114" s="73">
        <f>T114/SUMIFS(FinParameters!$L$8:$L$39,FinParameters!$B$8:$B$39,Financials!$E114,FinParameters!$C$8:$C$39,Financials!$F114)</f>
        <v>-62324180.528740898</v>
      </c>
      <c r="V114" s="73">
        <f t="shared" si="22"/>
        <v>-62324180.528740898</v>
      </c>
      <c r="W114" s="12"/>
      <c r="X114" s="73">
        <f t="shared" si="23"/>
        <v>-63154261.059860826</v>
      </c>
      <c r="Y114" s="73">
        <f t="shared" si="24"/>
        <v>-55834325.430616789</v>
      </c>
      <c r="Z114" s="73">
        <f t="shared" si="24"/>
        <v>-102555196.89149499</v>
      </c>
      <c r="AA114" s="12">
        <f t="shared" si="25"/>
        <v>-1.5229291968974072</v>
      </c>
      <c r="AB114" s="114">
        <f t="shared" si="26"/>
        <v>90636738.309178621</v>
      </c>
      <c r="AC114" s="73">
        <f>AB114/SUMIFS(FinParameters!$L$8:$L$39,FinParameters!$B$8:$B$39,Financials!$E114,FinParameters!$C$8:$C$39,Financials!$F114)</f>
        <v>62581545.986716487</v>
      </c>
      <c r="AD114" s="73">
        <f t="shared" si="27"/>
        <v>62581545.986716487</v>
      </c>
      <c r="AE114" s="12"/>
      <c r="AF114" s="73">
        <f t="shared" si="28"/>
        <v>27482477.249317795</v>
      </c>
      <c r="AG114" s="73">
        <f t="shared" si="29"/>
        <v>6747220.5560996979</v>
      </c>
      <c r="AH114" s="73">
        <f t="shared" si="29"/>
        <v>-39973650.904778503</v>
      </c>
      <c r="AI114" s="12">
        <f t="shared" si="30"/>
        <v>-0.59360268338113087</v>
      </c>
      <c r="AL114" s="73">
        <f>Summary!G114</f>
        <v>-10072682.991558393</v>
      </c>
      <c r="AM114" s="73">
        <f>IF(D114&lt;&gt;"avg",SUMIFS(Summary!$H:$H,Summary!$C:$C,Financials!C114,Summary!$E:$E,Financials!E114,Summary!$D:$D,1-Financials!D114,Summary!$F:$F,Financials!F114),SUMIFS(Summary!$H:$H,Summary!$C:$C,Financials!C114,Summary!$E:$E,Financials!E114,Summary!$D:$D,"avg",Summary!$F:$F,Financials!F114))</f>
        <v>11284215.450230345</v>
      </c>
      <c r="AN114" s="20">
        <f>Summary!I114</f>
        <v>4147093.7845067484</v>
      </c>
      <c r="AP114" s="12">
        <v>1</v>
      </c>
    </row>
    <row r="115" spans="1:42" x14ac:dyDescent="0.3">
      <c r="A115">
        <v>111</v>
      </c>
      <c r="B115" t="str">
        <f>Summary!B115</f>
        <v>MarinusPortland</v>
      </c>
      <c r="C115" t="str">
        <f>Summary!C115</f>
        <v>Wind</v>
      </c>
      <c r="D115" s="104">
        <f>Summary!D115</f>
        <v>0</v>
      </c>
      <c r="E115" t="str">
        <f>Summary!E115</f>
        <v>Cal-35</v>
      </c>
      <c r="F115" t="str">
        <f>Summary!F115</f>
        <v>Wartsila dual fuel</v>
      </c>
      <c r="G115" s="73">
        <f>SUMIFS(AL$5:AL115,$F$5:$F115,$F115,$D$5:$D115,$D115)</f>
        <v>-156230732.47248039</v>
      </c>
      <c r="H115" s="73">
        <f>SUMIFS(AM$5:AM115,$F$5:$F115,$F115,$D$5:$D115,$D115)</f>
        <v>190120710.66428614</v>
      </c>
      <c r="I115" s="20">
        <f>SUMIFS(AN$5:AN115,$F$5:$F115,$F115,$D$5:$D115,$D115)</f>
        <v>30115437.672643084</v>
      </c>
      <c r="J115" s="73">
        <f t="shared" si="16"/>
        <v>30115437.672643084</v>
      </c>
      <c r="K115" s="73">
        <f t="shared" si="17"/>
        <v>-126115294.79983731</v>
      </c>
      <c r="L115" s="73">
        <f t="shared" si="18"/>
        <v>64005415.86444883</v>
      </c>
      <c r="M115" s="73">
        <f>-SUMIFS(FinParameters!$E$8:$E$39,FinParameters!$B$8:$B$39,Financials!$E115,FinParameters!$C$8:$C$39,Financials!$F115)</f>
        <v>-27247749.948325686</v>
      </c>
      <c r="N115" s="73">
        <f>-SUMIFS(FinParameters!$F$8:$F$39,FinParameters!$B$8:$B$39,Financials!$E115,FinParameters!$C$8:$C$39,Financials!$F115)</f>
        <v>-74000000</v>
      </c>
      <c r="O115" s="73">
        <f>SUMIFS(FinParameters!$G$8:$G$39,FinParameters!$B$8:$B$39,Financials!$E115,FinParameters!$C$8:$C$39,Financials!$F115)</f>
        <v>6659248.3088341104</v>
      </c>
      <c r="P115" s="73">
        <f t="shared" si="19"/>
        <v>2867687.7243173979</v>
      </c>
      <c r="Q115" s="73">
        <f>P115/SUMIFS(FinParameters!$H$8:$H$39,FinParameters!$B$8:$B$39,Financials!$E115,FinParameters!$C$8:$C$39,Financials!$F115)</f>
        <v>686501.64127513417</v>
      </c>
      <c r="R115" s="73">
        <f t="shared" si="31"/>
        <v>-64473063.966848485</v>
      </c>
      <c r="S115" s="12">
        <f t="shared" si="20"/>
        <v>-0.95741527006605109</v>
      </c>
      <c r="T115" s="114">
        <f t="shared" si="21"/>
        <v>-156230732.47248039</v>
      </c>
      <c r="U115" s="73">
        <f>T115/SUMIFS(FinParameters!$L$8:$L$39,FinParameters!$B$8:$B$39,Financials!$E115,FinParameters!$C$8:$C$39,Financials!$F115)</f>
        <v>-107871939.69197385</v>
      </c>
      <c r="V115" s="73">
        <f t="shared" si="22"/>
        <v>-107871939.69197385</v>
      </c>
      <c r="W115" s="12"/>
      <c r="X115" s="73">
        <f t="shared" si="23"/>
        <v>-153363044.74816298</v>
      </c>
      <c r="Y115" s="73">
        <f t="shared" si="24"/>
        <v>-107185438.05069871</v>
      </c>
      <c r="Z115" s="73">
        <f t="shared" si="24"/>
        <v>-172345003.65882233</v>
      </c>
      <c r="AA115" s="12">
        <f t="shared" si="25"/>
        <v>-2.5592972951834665</v>
      </c>
      <c r="AB115" s="114">
        <f t="shared" si="26"/>
        <v>190120710.66428614</v>
      </c>
      <c r="AC115" s="73">
        <f>AB115/SUMIFS(FinParameters!$L$8:$L$39,FinParameters!$B$8:$B$39,Financials!$E115,FinParameters!$C$8:$C$39,Financials!$F115)</f>
        <v>131271802.35544011</v>
      </c>
      <c r="AD115" s="73">
        <f t="shared" si="27"/>
        <v>131271802.35544011</v>
      </c>
      <c r="AE115" s="12"/>
      <c r="AF115" s="73">
        <f t="shared" si="28"/>
        <v>36757665.916123152</v>
      </c>
      <c r="AG115" s="73">
        <f t="shared" si="29"/>
        <v>24086364.304741398</v>
      </c>
      <c r="AH115" s="73">
        <f t="shared" si="29"/>
        <v>-41073201.303382218</v>
      </c>
      <c r="AI115" s="12">
        <f t="shared" si="30"/>
        <v>-0.60993084086363725</v>
      </c>
      <c r="AL115" s="73">
        <f>Summary!G115</f>
        <v>-14801990.047179017</v>
      </c>
      <c r="AM115" s="73">
        <f>IF(D115&lt;&gt;"avg",SUMIFS(Summary!$H:$H,Summary!$C:$C,Financials!C115,Summary!$E:$E,Financials!E115,Summary!$D:$D,1-Financials!D115,Summary!$F:$F,Financials!F115),SUMIFS(Summary!$H:$H,Summary!$C:$C,Financials!C115,Summary!$E:$E,Financials!E115,Summary!$D:$D,"avg",Summary!$F:$F,Financials!F115))</f>
        <v>23242119.11033351</v>
      </c>
      <c r="AN115" s="20">
        <f>Summary!I115</f>
        <v>2450448.7938452619</v>
      </c>
      <c r="AP115" s="12">
        <v>1</v>
      </c>
    </row>
    <row r="116" spans="1:42" x14ac:dyDescent="0.3">
      <c r="A116">
        <v>112</v>
      </c>
      <c r="B116" t="str">
        <f>Summary!B116</f>
        <v>MarinusPortland</v>
      </c>
      <c r="C116" t="str">
        <f>Summary!C116</f>
        <v>Wind</v>
      </c>
      <c r="D116" s="104" t="str">
        <f>Summary!D116</f>
        <v>avg</v>
      </c>
      <c r="E116" t="str">
        <f>Summary!E116</f>
        <v>Cal-35</v>
      </c>
      <c r="F116" t="str">
        <f>Summary!F116</f>
        <v>Wartsila dual fuel</v>
      </c>
      <c r="G116" s="73">
        <f>SUMIFS(AL$5:AL116,$F$5:$F116,$F116,$D$5:$D116,$D116)</f>
        <v>7635900.8813338084</v>
      </c>
      <c r="H116" s="73">
        <f>SUMIFS(AM$5:AM116,$F$5:$F116,$F116,$D$5:$D116,$D116)</f>
        <v>-1572003.8843727938</v>
      </c>
      <c r="I116" s="20">
        <f>SUMIFS(AN$5:AN116,$F$5:$F116,$F116,$D$5:$D116,$D116)</f>
        <v>84625655.483312935</v>
      </c>
      <c r="J116" s="73">
        <f t="shared" si="16"/>
        <v>84625655.483312935</v>
      </c>
      <c r="K116" s="73">
        <f t="shared" si="17"/>
        <v>92261556.364646748</v>
      </c>
      <c r="L116" s="73">
        <f t="shared" si="18"/>
        <v>90689552.480273947</v>
      </c>
      <c r="M116" s="73">
        <f>-SUMIFS(FinParameters!$E$8:$E$39,FinParameters!$B$8:$B$39,Financials!$E116,FinParameters!$C$8:$C$39,Financials!$F116)</f>
        <v>-27247749.948325686</v>
      </c>
      <c r="N116" s="73">
        <f>-SUMIFS(FinParameters!$F$8:$F$39,FinParameters!$B$8:$B$39,Financials!$E116,FinParameters!$C$8:$C$39,Financials!$F116)</f>
        <v>-74000000</v>
      </c>
      <c r="O116" s="73">
        <f>SUMIFS(FinParameters!$G$8:$G$39,FinParameters!$B$8:$B$39,Financials!$E116,FinParameters!$C$8:$C$39,Financials!$F116)</f>
        <v>6659248.3088341104</v>
      </c>
      <c r="P116" s="73">
        <f t="shared" si="19"/>
        <v>57377905.534987248</v>
      </c>
      <c r="Q116" s="73">
        <f>P116/SUMIFS(FinParameters!$H$8:$H$39,FinParameters!$B$8:$B$39,Financials!$E116,FinParameters!$C$8:$C$39,Financials!$F116)</f>
        <v>13735814.394530859</v>
      </c>
      <c r="R116" s="73">
        <f t="shared" si="31"/>
        <v>-9962846.1561786421</v>
      </c>
      <c r="S116" s="12">
        <f t="shared" si="20"/>
        <v>-0.14794676189344674</v>
      </c>
      <c r="T116" s="114">
        <f t="shared" si="21"/>
        <v>7635900.8813338084</v>
      </c>
      <c r="U116" s="73">
        <f>T116/SUMIFS(FinParameters!$L$8:$L$39,FinParameters!$B$8:$B$39,Financials!$E116,FinParameters!$C$8:$C$39,Financials!$F116)</f>
        <v>5272326.5539974533</v>
      </c>
      <c r="V116" s="73">
        <f t="shared" si="22"/>
        <v>5272326.5539974533</v>
      </c>
      <c r="W116" s="12"/>
      <c r="X116" s="73">
        <f t="shared" si="23"/>
        <v>65013806.416321062</v>
      </c>
      <c r="Y116" s="73">
        <f t="shared" si="24"/>
        <v>19008140.948528312</v>
      </c>
      <c r="Z116" s="73">
        <f t="shared" si="24"/>
        <v>-4690519.6021811888</v>
      </c>
      <c r="AA116" s="12">
        <f t="shared" si="25"/>
        <v>-6.9653508230685751E-2</v>
      </c>
      <c r="AB116" s="114">
        <f t="shared" si="26"/>
        <v>-1572003.8843727938</v>
      </c>
      <c r="AC116" s="73">
        <f>AB116/SUMIFS(FinParameters!$L$8:$L$39,FinParameters!$B$8:$B$39,Financials!$E116,FinParameters!$C$8:$C$39,Financials!$F116)</f>
        <v>-1085414.5373765104</v>
      </c>
      <c r="AD116" s="73">
        <f t="shared" si="27"/>
        <v>-1085414.5373765104</v>
      </c>
      <c r="AE116" s="12"/>
      <c r="AF116" s="73">
        <f t="shared" si="28"/>
        <v>63441802.531948268</v>
      </c>
      <c r="AG116" s="73">
        <f t="shared" si="29"/>
        <v>17922726.4111518</v>
      </c>
      <c r="AH116" s="73">
        <f t="shared" si="29"/>
        <v>-5775934.1395576987</v>
      </c>
      <c r="AI116" s="12">
        <f t="shared" si="30"/>
        <v>-8.5771750307257338E-2</v>
      </c>
      <c r="AL116" s="73">
        <f>Summary!G116</f>
        <v>456774.70561518898</v>
      </c>
      <c r="AM116" s="73">
        <f>IF(D116&lt;&gt;"avg",SUMIFS(Summary!$H:$H,Summary!$C:$C,Financials!C116,Summary!$E:$E,Financials!E116,Summary!$D:$D,1-Financials!D116,Summary!$F:$F,Financials!F116),SUMIFS(Summary!$H:$H,Summary!$C:$C,Financials!C116,Summary!$E:$E,Financials!E116,Summary!$D:$D,"avg",Summary!$F:$F,Financials!F116))</f>
        <v>228975.63770979791</v>
      </c>
      <c r="AN116" s="20">
        <f>Summary!I116</f>
        <v>7100273.6136809317</v>
      </c>
      <c r="AP116" s="12">
        <v>1</v>
      </c>
    </row>
    <row r="117" spans="1:42" x14ac:dyDescent="0.3">
      <c r="A117">
        <v>113</v>
      </c>
      <c r="B117" t="str">
        <f>Summary!B117</f>
        <v>MarinusPortland</v>
      </c>
      <c r="C117" t="str">
        <f>Summary!C117</f>
        <v>Wind</v>
      </c>
      <c r="D117" s="104">
        <f>Summary!D117</f>
        <v>1</v>
      </c>
      <c r="E117" t="str">
        <f>Summary!E117</f>
        <v>Cal-36</v>
      </c>
      <c r="F117" t="str">
        <f>Summary!F117</f>
        <v>Wartsila dual fuel</v>
      </c>
      <c r="G117" s="73">
        <f>SUMIFS(AL$5:AL117,$F$5:$F117,$F117,$D$5:$D117,$D117)</f>
        <v>294913826.93010664</v>
      </c>
      <c r="H117" s="73">
        <f>SUMIFS(AM$5:AM117,$F$5:$F117,$F117,$D$5:$D117,$D117)</f>
        <v>-248586088.33999142</v>
      </c>
      <c r="I117" s="20">
        <f>SUMIFS(AN$5:AN117,$F$5:$F117,$F117,$D$5:$D117,$D117)</f>
        <v>191226518.88898984</v>
      </c>
      <c r="J117" s="73">
        <f t="shared" si="16"/>
        <v>191226518.88898984</v>
      </c>
      <c r="K117" s="73">
        <f t="shared" si="17"/>
        <v>486140345.81909645</v>
      </c>
      <c r="L117" s="73">
        <f t="shared" si="18"/>
        <v>237554257.47910506</v>
      </c>
      <c r="M117" s="73">
        <f>-SUMIFS(FinParameters!$E$8:$E$39,FinParameters!$B$8:$B$39,Financials!$E117,FinParameters!$C$8:$C$39,Financials!$F117)</f>
        <v>-29339568.697033826</v>
      </c>
      <c r="N117" s="73">
        <f>-SUMIFS(FinParameters!$F$8:$F$39,FinParameters!$B$8:$B$39,Financials!$E117,FinParameters!$C$8:$C$39,Financials!$F117)</f>
        <v>-74000000</v>
      </c>
      <c r="O117" s="73">
        <f>SUMIFS(FinParameters!$G$8:$G$39,FinParameters!$B$8:$B$39,Financials!$E117,FinParameters!$C$8:$C$39,Financials!$F117)</f>
        <v>5645226.4072616436</v>
      </c>
      <c r="P117" s="73">
        <f t="shared" si="19"/>
        <v>161886950.19195601</v>
      </c>
      <c r="Q117" s="73">
        <f>P117/SUMIFS(FinParameters!$H$8:$H$39,FinParameters!$B$8:$B$39,Financials!$E117,FinParameters!$C$8:$C$39,Financials!$F117)</f>
        <v>35231317.065978199</v>
      </c>
      <c r="R117" s="73">
        <f t="shared" si="31"/>
        <v>93532176.599217653</v>
      </c>
      <c r="S117" s="12">
        <f t="shared" si="20"/>
        <v>1.3683342315854587</v>
      </c>
      <c r="T117" s="114">
        <f t="shared" si="21"/>
        <v>294913826.93010664</v>
      </c>
      <c r="U117" s="73">
        <f>T117/SUMIFS(FinParameters!$L$8:$L$39,FinParameters!$B$8:$B$39,Financials!$E117,FinParameters!$C$8:$C$39,Financials!$F117)</f>
        <v>198661307.05445123</v>
      </c>
      <c r="V117" s="73">
        <f t="shared" si="22"/>
        <v>198661307.05445123</v>
      </c>
      <c r="W117" s="12"/>
      <c r="X117" s="73">
        <f t="shared" si="23"/>
        <v>456800777.12206262</v>
      </c>
      <c r="Y117" s="73">
        <f t="shared" si="24"/>
        <v>233892624.12042943</v>
      </c>
      <c r="Z117" s="73">
        <f t="shared" si="24"/>
        <v>292193483.65366888</v>
      </c>
      <c r="AA117" s="12">
        <f t="shared" si="25"/>
        <v>4.2746609826341366</v>
      </c>
      <c r="AB117" s="114">
        <f t="shared" si="26"/>
        <v>-248586088.33999142</v>
      </c>
      <c r="AC117" s="73">
        <f>AB117/SUMIFS(FinParameters!$L$8:$L$39,FinParameters!$B$8:$B$39,Financials!$E117,FinParameters!$C$8:$C$39,Financials!$F117)</f>
        <v>-167453787.22741228</v>
      </c>
      <c r="AD117" s="73">
        <f t="shared" si="27"/>
        <v>-167453787.22741228</v>
      </c>
      <c r="AE117" s="12"/>
      <c r="AF117" s="73">
        <f t="shared" si="28"/>
        <v>208214688.7820712</v>
      </c>
      <c r="AG117" s="73">
        <f t="shared" si="29"/>
        <v>66438836.893017143</v>
      </c>
      <c r="AH117" s="73">
        <f t="shared" si="29"/>
        <v>124739696.4262566</v>
      </c>
      <c r="AI117" s="12">
        <f t="shared" si="30"/>
        <v>1.8248863959298998</v>
      </c>
      <c r="AL117" s="73">
        <f>Summary!G117</f>
        <v>20916921.678452354</v>
      </c>
      <c r="AM117" s="73">
        <f>IF(D117&lt;&gt;"avg",SUMIFS(Summary!$H:$H,Summary!$C:$C,Financials!C117,Summary!$E:$E,Financials!E117,Summary!$D:$D,1-Financials!D117,Summary!$F:$F,Financials!F117),SUMIFS(Summary!$H:$H,Summary!$C:$C,Financials!C117,Summary!$E:$E,Financials!E117,Summary!$D:$D,"avg",Summary!$F:$F,Financials!F117))</f>
        <v>-18406300.707093742</v>
      </c>
      <c r="AN117" s="20">
        <f>Summary!I117</f>
        <v>14752972.581559811</v>
      </c>
      <c r="AP117" s="12">
        <v>1</v>
      </c>
    </row>
    <row r="118" spans="1:42" x14ac:dyDescent="0.3">
      <c r="A118">
        <v>114</v>
      </c>
      <c r="B118" t="str">
        <f>Summary!B118</f>
        <v>MarinusPortland</v>
      </c>
      <c r="C118" t="str">
        <f>Summary!C118</f>
        <v>Wind</v>
      </c>
      <c r="D118" s="104">
        <f>Summary!D118</f>
        <v>0.95</v>
      </c>
      <c r="E118" t="str">
        <f>Summary!E118</f>
        <v>Cal-36</v>
      </c>
      <c r="F118" t="str">
        <f>Summary!F118</f>
        <v>Wartsila dual fuel</v>
      </c>
      <c r="G118" s="73">
        <f>SUMIFS(AL$5:AL118,$F$5:$F118,$F118,$D$5:$D118,$D118)</f>
        <v>136574259.15664053</v>
      </c>
      <c r="H118" s="73">
        <f>SUMIFS(AM$5:AM118,$F$5:$F118,$F118,$D$5:$D118,$D118)</f>
        <v>-106829032.54632066</v>
      </c>
      <c r="I118" s="20">
        <f>SUMIFS(AN$5:AN118,$F$5:$F118,$F118,$D$5:$D118,$D118)</f>
        <v>131091892.71127456</v>
      </c>
      <c r="J118" s="73">
        <f t="shared" si="16"/>
        <v>131091892.71127456</v>
      </c>
      <c r="K118" s="73">
        <f t="shared" si="17"/>
        <v>267666151.86791509</v>
      </c>
      <c r="L118" s="73">
        <f t="shared" si="18"/>
        <v>160837119.32159442</v>
      </c>
      <c r="M118" s="73">
        <f>-SUMIFS(FinParameters!$E$8:$E$39,FinParameters!$B$8:$B$39,Financials!$E118,FinParameters!$C$8:$C$39,Financials!$F118)</f>
        <v>-29339568.697033826</v>
      </c>
      <c r="N118" s="73">
        <f>-SUMIFS(FinParameters!$F$8:$F$39,FinParameters!$B$8:$B$39,Financials!$E118,FinParameters!$C$8:$C$39,Financials!$F118)</f>
        <v>-74000000</v>
      </c>
      <c r="O118" s="73">
        <f>SUMIFS(FinParameters!$G$8:$G$39,FinParameters!$B$8:$B$39,Financials!$E118,FinParameters!$C$8:$C$39,Financials!$F118)</f>
        <v>5645226.4072616436</v>
      </c>
      <c r="P118" s="73">
        <f t="shared" si="19"/>
        <v>101752324.01424074</v>
      </c>
      <c r="Q118" s="73">
        <f>P118/SUMIFS(FinParameters!$H$8:$H$39,FinParameters!$B$8:$B$39,Financials!$E118,FinParameters!$C$8:$C$39,Financials!$F118)</f>
        <v>22144270.339858387</v>
      </c>
      <c r="R118" s="73">
        <f t="shared" si="31"/>
        <v>33397550.421502385</v>
      </c>
      <c r="S118" s="12">
        <f t="shared" si="20"/>
        <v>0.4885913399477686</v>
      </c>
      <c r="T118" s="114">
        <f t="shared" si="21"/>
        <v>136574259.15664053</v>
      </c>
      <c r="U118" s="73">
        <f>T118/SUMIFS(FinParameters!$L$8:$L$39,FinParameters!$B$8:$B$39,Financials!$E118,FinParameters!$C$8:$C$39,Financials!$F118)</f>
        <v>91999826.242401779</v>
      </c>
      <c r="V118" s="73">
        <f t="shared" si="22"/>
        <v>91999826.242401779</v>
      </c>
      <c r="W118" s="12"/>
      <c r="X118" s="73">
        <f t="shared" si="23"/>
        <v>238326583.17088127</v>
      </c>
      <c r="Y118" s="73">
        <f t="shared" si="24"/>
        <v>114144096.58226016</v>
      </c>
      <c r="Z118" s="73">
        <f t="shared" si="24"/>
        <v>125397376.66390416</v>
      </c>
      <c r="AA118" s="12">
        <f t="shared" si="25"/>
        <v>1.8345079659107479</v>
      </c>
      <c r="AB118" s="114">
        <f t="shared" si="26"/>
        <v>-106829032.54632066</v>
      </c>
      <c r="AC118" s="73">
        <f>AB118/SUMIFS(FinParameters!$L$8:$L$39,FinParameters!$B$8:$B$39,Financials!$E118,FinParameters!$C$8:$C$39,Financials!$F118)</f>
        <v>-71962699.945039496</v>
      </c>
      <c r="AD118" s="73">
        <f t="shared" si="27"/>
        <v>-71962699.945039496</v>
      </c>
      <c r="AE118" s="12"/>
      <c r="AF118" s="73">
        <f t="shared" si="28"/>
        <v>131497550.62456061</v>
      </c>
      <c r="AG118" s="73">
        <f t="shared" si="29"/>
        <v>42181396.637220666</v>
      </c>
      <c r="AH118" s="73">
        <f t="shared" si="29"/>
        <v>53434676.718864664</v>
      </c>
      <c r="AI118" s="12">
        <f t="shared" si="30"/>
        <v>0.78172560467000474</v>
      </c>
      <c r="AL118" s="73">
        <f>Summary!G118</f>
        <v>10631245.470547862</v>
      </c>
      <c r="AM118" s="73">
        <f>IF(D118&lt;&gt;"avg",SUMIFS(Summary!$H:$H,Summary!$C:$C,Financials!C118,Summary!$E:$E,Financials!E118,Summary!$D:$D,1-Financials!D118,Summary!$F:$F,Financials!F118),SUMIFS(Summary!$H:$H,Summary!$C:$C,Financials!C118,Summary!$E:$E,Financials!E118,Summary!$D:$D,"avg",Summary!$F:$F,Financials!F118))</f>
        <v>-8414931.788589919</v>
      </c>
      <c r="AN118" s="20">
        <f>Summary!I118</f>
        <v>10481383.861593438</v>
      </c>
      <c r="AP118" s="12">
        <v>1</v>
      </c>
    </row>
    <row r="119" spans="1:42" x14ac:dyDescent="0.3">
      <c r="A119">
        <v>115</v>
      </c>
      <c r="B119" t="str">
        <f>Summary!B119</f>
        <v>MarinusPortland</v>
      </c>
      <c r="C119" t="str">
        <f>Summary!C119</f>
        <v>Wind</v>
      </c>
      <c r="D119" s="104">
        <f>Summary!D119</f>
        <v>0.75</v>
      </c>
      <c r="E119" t="str">
        <f>Summary!E119</f>
        <v>Cal-36</v>
      </c>
      <c r="F119" t="str">
        <f>Summary!F119</f>
        <v>Wartsila dual fuel</v>
      </c>
      <c r="G119" s="73">
        <f>SUMIFS(AL$5:AL119,$F$5:$F119,$F119,$D$5:$D119,$D119)</f>
        <v>58631938.683779478</v>
      </c>
      <c r="H119" s="73">
        <f>SUMIFS(AM$5:AM119,$F$5:$F119,$F119,$D$5:$D119,$D119)</f>
        <v>-44011837.726614967</v>
      </c>
      <c r="I119" s="20">
        <f>SUMIFS(AN$5:AN119,$F$5:$F119,$F119,$D$5:$D119,$D119)</f>
        <v>106092826.58956432</v>
      </c>
      <c r="J119" s="73">
        <f t="shared" si="16"/>
        <v>106092826.58956432</v>
      </c>
      <c r="K119" s="73">
        <f t="shared" si="17"/>
        <v>164724765.2733438</v>
      </c>
      <c r="L119" s="73">
        <f t="shared" si="18"/>
        <v>120712927.54672883</v>
      </c>
      <c r="M119" s="73">
        <f>-SUMIFS(FinParameters!$E$8:$E$39,FinParameters!$B$8:$B$39,Financials!$E119,FinParameters!$C$8:$C$39,Financials!$F119)</f>
        <v>-29339568.697033826</v>
      </c>
      <c r="N119" s="73">
        <f>-SUMIFS(FinParameters!$F$8:$F$39,FinParameters!$B$8:$B$39,Financials!$E119,FinParameters!$C$8:$C$39,Financials!$F119)</f>
        <v>-74000000</v>
      </c>
      <c r="O119" s="73">
        <f>SUMIFS(FinParameters!$G$8:$G$39,FinParameters!$B$8:$B$39,Financials!$E119,FinParameters!$C$8:$C$39,Financials!$F119)</f>
        <v>5645226.4072616436</v>
      </c>
      <c r="P119" s="73">
        <f t="shared" si="19"/>
        <v>76753257.892530501</v>
      </c>
      <c r="Q119" s="73">
        <f>P119/SUMIFS(FinParameters!$H$8:$H$39,FinParameters!$B$8:$B$39,Financials!$E119,FinParameters!$C$8:$C$39,Financials!$F119)</f>
        <v>16703745.184229806</v>
      </c>
      <c r="R119" s="73">
        <f t="shared" si="31"/>
        <v>8398484.2997921444</v>
      </c>
      <c r="S119" s="12">
        <f t="shared" si="20"/>
        <v>0.12286609783584089</v>
      </c>
      <c r="T119" s="114">
        <f t="shared" si="21"/>
        <v>58631938.683779478</v>
      </c>
      <c r="U119" s="73">
        <f>T119/SUMIFS(FinParameters!$L$8:$L$39,FinParameters!$B$8:$B$39,Financials!$E119,FinParameters!$C$8:$C$39,Financials!$F119)</f>
        <v>39495935.796922043</v>
      </c>
      <c r="V119" s="73">
        <f t="shared" si="22"/>
        <v>39495935.796922043</v>
      </c>
      <c r="W119" s="12"/>
      <c r="X119" s="73">
        <f t="shared" si="23"/>
        <v>135385196.57630998</v>
      </c>
      <c r="Y119" s="73">
        <f t="shared" si="24"/>
        <v>56199680.981151849</v>
      </c>
      <c r="Z119" s="73">
        <f t="shared" si="24"/>
        <v>47894420.096714184</v>
      </c>
      <c r="AA119" s="12">
        <f t="shared" si="25"/>
        <v>0.70067410920079809</v>
      </c>
      <c r="AB119" s="114">
        <f t="shared" si="26"/>
        <v>-44011837.726614967</v>
      </c>
      <c r="AC119" s="73">
        <f>AB119/SUMIFS(FinParameters!$L$8:$L$39,FinParameters!$B$8:$B$39,Financials!$E119,FinParameters!$C$8:$C$39,Financials!$F119)</f>
        <v>-29647471.261867616</v>
      </c>
      <c r="AD119" s="73">
        <f t="shared" si="27"/>
        <v>-29647471.261867616</v>
      </c>
      <c r="AE119" s="12"/>
      <c r="AF119" s="73">
        <f t="shared" si="28"/>
        <v>91373358.849695012</v>
      </c>
      <c r="AG119" s="73">
        <f t="shared" si="29"/>
        <v>26552209.719284233</v>
      </c>
      <c r="AH119" s="73">
        <f t="shared" si="29"/>
        <v>18246948.834846567</v>
      </c>
      <c r="AI119" s="12">
        <f t="shared" si="30"/>
        <v>0.26694476297387698</v>
      </c>
      <c r="AL119" s="73">
        <f>Summary!G119</f>
        <v>6990609.803438236</v>
      </c>
      <c r="AM119" s="73">
        <f>IF(D119&lt;&gt;"avg",SUMIFS(Summary!$H:$H,Summary!$C:$C,Financials!C119,Summary!$E:$E,Financials!E119,Summary!$D:$D,1-Financials!D119,Summary!$F:$F,Financials!F119),SUMIFS(Summary!$H:$H,Summary!$C:$C,Financials!C119,Summary!$E:$E,Financials!E119,Summary!$D:$D,"avg",Summary!$F:$F,Financials!F119))</f>
        <v>-4013397.6923134611</v>
      </c>
      <c r="AN119" s="20">
        <f>Summary!I119</f>
        <v>8942867.8847667314</v>
      </c>
      <c r="AP119" s="12">
        <v>1</v>
      </c>
    </row>
    <row r="120" spans="1:42" x14ac:dyDescent="0.3">
      <c r="A120">
        <v>116</v>
      </c>
      <c r="B120" t="str">
        <f>Summary!B120</f>
        <v>MarinusPortland</v>
      </c>
      <c r="C120" t="str">
        <f>Summary!C120</f>
        <v>Wind</v>
      </c>
      <c r="D120" s="104">
        <f>Summary!D120</f>
        <v>0.5</v>
      </c>
      <c r="E120" t="str">
        <f>Summary!E120</f>
        <v>Cal-36</v>
      </c>
      <c r="F120" t="str">
        <f>Summary!F120</f>
        <v>Wartsila dual fuel</v>
      </c>
      <c r="G120" s="73">
        <f>SUMIFS(AL$5:AL120,$F$5:$F120,$F120,$D$5:$D120,$D120)</f>
        <v>4260603.785900021</v>
      </c>
      <c r="H120" s="73">
        <f>SUMIFS(AM$5:AM120,$F$5:$F120,$F120,$D$5:$D120,$D120)</f>
        <v>-346387.39022290386</v>
      </c>
      <c r="I120" s="20">
        <f>SUMIFS(AN$5:AN120,$F$5:$F120,$F120,$D$5:$D120,$D120)</f>
        <v>91196752.503682747</v>
      </c>
      <c r="J120" s="73">
        <f t="shared" si="16"/>
        <v>91196752.503682747</v>
      </c>
      <c r="K120" s="73">
        <f t="shared" si="17"/>
        <v>95457356.289582774</v>
      </c>
      <c r="L120" s="73">
        <f t="shared" si="18"/>
        <v>95110968.899359867</v>
      </c>
      <c r="M120" s="73">
        <f>-SUMIFS(FinParameters!$E$8:$E$39,FinParameters!$B$8:$B$39,Financials!$E120,FinParameters!$C$8:$C$39,Financials!$F120)</f>
        <v>-29339568.697033826</v>
      </c>
      <c r="N120" s="73">
        <f>-SUMIFS(FinParameters!$F$8:$F$39,FinParameters!$B$8:$B$39,Financials!$E120,FinParameters!$C$8:$C$39,Financials!$F120)</f>
        <v>-74000000</v>
      </c>
      <c r="O120" s="73">
        <f>SUMIFS(FinParameters!$G$8:$G$39,FinParameters!$B$8:$B$39,Financials!$E120,FinParameters!$C$8:$C$39,Financials!$F120)</f>
        <v>5645226.4072616436</v>
      </c>
      <c r="P120" s="73">
        <f t="shared" si="19"/>
        <v>61857183.806648925</v>
      </c>
      <c r="Q120" s="73">
        <f>P120/SUMIFS(FinParameters!$H$8:$H$39,FinParameters!$B$8:$B$39,Financials!$E120,FinParameters!$C$8:$C$39,Financials!$F120)</f>
        <v>13461925.454253374</v>
      </c>
      <c r="R120" s="73">
        <f t="shared" si="31"/>
        <v>-6497589.7860894315</v>
      </c>
      <c r="S120" s="12">
        <f t="shared" si="20"/>
        <v>-9.5056854767780252E-2</v>
      </c>
      <c r="T120" s="114">
        <f t="shared" si="21"/>
        <v>4260603.785900021</v>
      </c>
      <c r="U120" s="73">
        <f>T120/SUMIFS(FinParameters!$L$8:$L$39,FinParameters!$B$8:$B$39,Financials!$E120,FinParameters!$C$8:$C$39,Financials!$F120)</f>
        <v>2870048.941952928</v>
      </c>
      <c r="V120" s="73">
        <f t="shared" si="22"/>
        <v>2870048.941952928</v>
      </c>
      <c r="W120" s="12"/>
      <c r="X120" s="73">
        <f t="shared" si="23"/>
        <v>66117787.592548952</v>
      </c>
      <c r="Y120" s="73">
        <f t="shared" si="24"/>
        <v>16331974.396206301</v>
      </c>
      <c r="Z120" s="73">
        <f t="shared" si="24"/>
        <v>-3627540.8441365035</v>
      </c>
      <c r="AA120" s="12">
        <f t="shared" si="25"/>
        <v>-5.3069312550862925E-2</v>
      </c>
      <c r="AB120" s="114">
        <f t="shared" si="26"/>
        <v>-346387.39022290386</v>
      </c>
      <c r="AC120" s="73">
        <f>AB120/SUMIFS(FinParameters!$L$8:$L$39,FinParameters!$B$8:$B$39,Financials!$E120,FinParameters!$C$8:$C$39,Financials!$F120)</f>
        <v>-233335.18270464442</v>
      </c>
      <c r="AD120" s="73">
        <f t="shared" si="27"/>
        <v>-233335.18270464442</v>
      </c>
      <c r="AE120" s="12"/>
      <c r="AF120" s="73">
        <f t="shared" si="28"/>
        <v>65771400.202326044</v>
      </c>
      <c r="AG120" s="73">
        <f t="shared" si="29"/>
        <v>16098639.213501656</v>
      </c>
      <c r="AH120" s="73">
        <f t="shared" si="29"/>
        <v>-3860876.0268411478</v>
      </c>
      <c r="AI120" s="12">
        <f t="shared" si="30"/>
        <v>-5.6482902713488124E-2</v>
      </c>
      <c r="AL120" s="73">
        <f>Summary!G120</f>
        <v>3669795.7627242352</v>
      </c>
      <c r="AM120" s="73">
        <f>IF(D120&lt;&gt;"avg",SUMIFS(Summary!$H:$H,Summary!$C:$C,Financials!C120,Summary!$E:$E,Financials!E120,Summary!$D:$D,1-Financials!D120,Summary!$F:$F,Financials!F120),SUMIFS(Summary!$H:$H,Summary!$C:$C,Financials!C120,Summary!$E:$E,Financials!E120,Summary!$D:$D,"avg",Summary!$F:$F,Financials!F120))</f>
        <v>-175793.72480460521</v>
      </c>
      <c r="AN120" s="20">
        <f>Summary!I120</f>
        <v>7862159.364724366</v>
      </c>
      <c r="AP120" s="12">
        <v>1</v>
      </c>
    </row>
    <row r="121" spans="1:42" x14ac:dyDescent="0.3">
      <c r="A121">
        <v>117</v>
      </c>
      <c r="B121" t="str">
        <f>Summary!B121</f>
        <v>MarinusPortland</v>
      </c>
      <c r="C121" t="str">
        <f>Summary!C121</f>
        <v>Wind</v>
      </c>
      <c r="D121" s="104">
        <f>Summary!D121</f>
        <v>0.25</v>
      </c>
      <c r="E121" t="str">
        <f>Summary!E121</f>
        <v>Cal-36</v>
      </c>
      <c r="F121" t="str">
        <f>Summary!F121</f>
        <v>Wartsila dual fuel</v>
      </c>
      <c r="G121" s="73">
        <f>SUMIFS(AL$5:AL121,$F$5:$F121,$F121,$D$5:$D121,$D121)</f>
        <v>-42720647.424217023</v>
      </c>
      <c r="H121" s="73">
        <f>SUMIFS(AM$5:AM121,$F$5:$F121,$F121,$D$5:$D121,$D121)</f>
        <v>42729838.401905246</v>
      </c>
      <c r="I121" s="20">
        <f>SUMIFS(AN$5:AN121,$F$5:$F121,$F121,$D$5:$D121,$D121)</f>
        <v>77131234.401255593</v>
      </c>
      <c r="J121" s="73">
        <f t="shared" si="16"/>
        <v>77131234.401255593</v>
      </c>
      <c r="K121" s="73">
        <f t="shared" si="17"/>
        <v>34410586.97703857</v>
      </c>
      <c r="L121" s="73">
        <f t="shared" si="18"/>
        <v>77140425.378943816</v>
      </c>
      <c r="M121" s="73">
        <f>-SUMIFS(FinParameters!$E$8:$E$39,FinParameters!$B$8:$B$39,Financials!$E121,FinParameters!$C$8:$C$39,Financials!$F121)</f>
        <v>-29339568.697033826</v>
      </c>
      <c r="N121" s="73">
        <f>-SUMIFS(FinParameters!$F$8:$F$39,FinParameters!$B$8:$B$39,Financials!$E121,FinParameters!$C$8:$C$39,Financials!$F121)</f>
        <v>-74000000</v>
      </c>
      <c r="O121" s="73">
        <f>SUMIFS(FinParameters!$G$8:$G$39,FinParameters!$B$8:$B$39,Financials!$E121,FinParameters!$C$8:$C$39,Financials!$F121)</f>
        <v>5645226.4072616436</v>
      </c>
      <c r="P121" s="73">
        <f t="shared" si="19"/>
        <v>47791665.70422177</v>
      </c>
      <c r="Q121" s="73">
        <f>P121/SUMIFS(FinParameters!$H$8:$H$39,FinParameters!$B$8:$B$39,Financials!$E121,FinParameters!$C$8:$C$39,Financials!$F121)</f>
        <v>10400858.905181462</v>
      </c>
      <c r="R121" s="73">
        <f t="shared" si="31"/>
        <v>-20563107.888516586</v>
      </c>
      <c r="S121" s="12">
        <f t="shared" si="20"/>
        <v>-0.30082914195624078</v>
      </c>
      <c r="T121" s="114">
        <f t="shared" si="21"/>
        <v>-42720647.424217023</v>
      </c>
      <c r="U121" s="73">
        <f>T121/SUMIFS(FinParameters!$L$8:$L$39,FinParameters!$B$8:$B$39,Financials!$E121,FinParameters!$C$8:$C$39,Financials!$F121)</f>
        <v>-28777693.280277085</v>
      </c>
      <c r="V121" s="73">
        <f t="shared" si="22"/>
        <v>-28777693.280277085</v>
      </c>
      <c r="W121" s="12"/>
      <c r="X121" s="73">
        <f t="shared" si="23"/>
        <v>5071018.2800047435</v>
      </c>
      <c r="Y121" s="73">
        <f t="shared" si="24"/>
        <v>-18376834.375095621</v>
      </c>
      <c r="Z121" s="73">
        <f t="shared" si="24"/>
        <v>-49340801.168793671</v>
      </c>
      <c r="AA121" s="12">
        <f t="shared" si="25"/>
        <v>-0.72183402234303307</v>
      </c>
      <c r="AB121" s="114">
        <f t="shared" si="26"/>
        <v>42729838.401905246</v>
      </c>
      <c r="AC121" s="73">
        <f>AB121/SUMIFS(FinParameters!$L$8:$L$39,FinParameters!$B$8:$B$39,Financials!$E121,FinParameters!$C$8:$C$39,Financials!$F121)</f>
        <v>28783884.552011125</v>
      </c>
      <c r="AD121" s="73">
        <f t="shared" si="27"/>
        <v>28783884.552011125</v>
      </c>
      <c r="AE121" s="12"/>
      <c r="AF121" s="73">
        <f t="shared" si="28"/>
        <v>47800856.681909993</v>
      </c>
      <c r="AG121" s="73">
        <f t="shared" si="29"/>
        <v>10407050.176915504</v>
      </c>
      <c r="AH121" s="73">
        <f t="shared" si="29"/>
        <v>-20556916.616782546</v>
      </c>
      <c r="AI121" s="12">
        <f t="shared" si="30"/>
        <v>-0.3007385663986224</v>
      </c>
      <c r="AL121" s="73">
        <f>Summary!G121</f>
        <v>-1785057.4252204103</v>
      </c>
      <c r="AM121" s="73">
        <f>IF(D121&lt;&gt;"avg",SUMIFS(Summary!$H:$H,Summary!$C:$C,Financials!C121,Summary!$E:$E,Financials!E121,Summary!$D:$D,1-Financials!D121,Summary!$F:$F,Financials!F121),SUMIFS(Summary!$H:$H,Summary!$C:$C,Financials!C121,Summary!$E:$E,Financials!E121,Summary!$D:$D,"avg",Summary!$F:$F,Financials!F121))</f>
        <v>4592155.5108230058</v>
      </c>
      <c r="AN121" s="20">
        <f>Summary!I121</f>
        <v>6426221.5026540291</v>
      </c>
      <c r="AP121" s="12">
        <v>1</v>
      </c>
    </row>
    <row r="122" spans="1:42" x14ac:dyDescent="0.3">
      <c r="A122">
        <v>118</v>
      </c>
      <c r="B122" t="str">
        <f>Summary!B122</f>
        <v>MarinusPortland</v>
      </c>
      <c r="C122" t="str">
        <f>Summary!C122</f>
        <v>Wind</v>
      </c>
      <c r="D122" s="104">
        <f>Summary!D122</f>
        <v>0.05</v>
      </c>
      <c r="E122" t="str">
        <f>Summary!E122</f>
        <v>Cal-36</v>
      </c>
      <c r="F122" t="str">
        <f>Summary!F122</f>
        <v>Wartsila dual fuel</v>
      </c>
      <c r="G122" s="73">
        <f>SUMIFS(AL$5:AL122,$F$5:$F122,$F122,$D$5:$D122,$D122)</f>
        <v>-99710784.664070681</v>
      </c>
      <c r="H122" s="73">
        <f>SUMIFS(AM$5:AM122,$F$5:$F122,$F122,$D$5:$D122,$D122)</f>
        <v>102842637.96883991</v>
      </c>
      <c r="I122" s="20">
        <f>SUMIFS(AN$5:AN122,$F$5:$F122,$F122,$D$5:$D122,$D122)</f>
        <v>58768533.71068088</v>
      </c>
      <c r="J122" s="73">
        <f t="shared" si="16"/>
        <v>58768533.71068088</v>
      </c>
      <c r="K122" s="73">
        <f t="shared" si="17"/>
        <v>-40942250.953389801</v>
      </c>
      <c r="L122" s="73">
        <f t="shared" si="18"/>
        <v>61900387.015450113</v>
      </c>
      <c r="M122" s="73">
        <f>-SUMIFS(FinParameters!$E$8:$E$39,FinParameters!$B$8:$B$39,Financials!$E122,FinParameters!$C$8:$C$39,Financials!$F122)</f>
        <v>-29339568.697033826</v>
      </c>
      <c r="N122" s="73">
        <f>-SUMIFS(FinParameters!$F$8:$F$39,FinParameters!$B$8:$B$39,Financials!$E122,FinParameters!$C$8:$C$39,Financials!$F122)</f>
        <v>-74000000</v>
      </c>
      <c r="O122" s="73">
        <f>SUMIFS(FinParameters!$G$8:$G$39,FinParameters!$B$8:$B$39,Financials!$E122,FinParameters!$C$8:$C$39,Financials!$F122)</f>
        <v>5645226.4072616436</v>
      </c>
      <c r="P122" s="73">
        <f t="shared" si="19"/>
        <v>29428965.013647053</v>
      </c>
      <c r="Q122" s="73">
        <f>P122/SUMIFS(FinParameters!$H$8:$H$39,FinParameters!$B$8:$B$39,Financials!$E122,FinParameters!$C$8:$C$39,Financials!$F122)</f>
        <v>6404600.2231185241</v>
      </c>
      <c r="R122" s="73">
        <f t="shared" si="31"/>
        <v>-38925808.579091311</v>
      </c>
      <c r="S122" s="12">
        <f t="shared" si="20"/>
        <v>-0.56946730320567662</v>
      </c>
      <c r="T122" s="114">
        <f t="shared" si="21"/>
        <v>-99710784.664070681</v>
      </c>
      <c r="U122" s="73">
        <f>T122/SUMIFS(FinParameters!$L$8:$L$39,FinParameters!$B$8:$B$39,Financials!$E122,FinParameters!$C$8:$C$39,Financials!$F122)</f>
        <v>-67167670.688712016</v>
      </c>
      <c r="V122" s="73">
        <f t="shared" si="22"/>
        <v>-67167670.688712016</v>
      </c>
      <c r="W122" s="12"/>
      <c r="X122" s="73">
        <f t="shared" si="23"/>
        <v>-70281819.650423631</v>
      </c>
      <c r="Y122" s="73">
        <f t="shared" si="24"/>
        <v>-60763070.465593494</v>
      </c>
      <c r="Z122" s="73">
        <f t="shared" si="24"/>
        <v>-106093479.26780333</v>
      </c>
      <c r="AA122" s="12">
        <f t="shared" si="25"/>
        <v>-1.5521005145875302</v>
      </c>
      <c r="AB122" s="114">
        <f t="shared" si="26"/>
        <v>102842637.96883991</v>
      </c>
      <c r="AC122" s="73">
        <f>AB122/SUMIFS(FinParameters!$L$8:$L$39,FinParameters!$B$8:$B$39,Financials!$E122,FinParameters!$C$8:$C$39,Financials!$F122)</f>
        <v>69277365.162873477</v>
      </c>
      <c r="AD122" s="73">
        <f t="shared" si="27"/>
        <v>69277365.162873477</v>
      </c>
      <c r="AE122" s="12"/>
      <c r="AF122" s="73">
        <f t="shared" si="28"/>
        <v>32560818.318416283</v>
      </c>
      <c r="AG122" s="73">
        <f t="shared" si="29"/>
        <v>8514294.6972799823</v>
      </c>
      <c r="AH122" s="73">
        <f t="shared" si="29"/>
        <v>-36816114.10492985</v>
      </c>
      <c r="AI122" s="12">
        <f t="shared" si="30"/>
        <v>-0.53860340938706575</v>
      </c>
      <c r="AL122" s="73">
        <f>Summary!G122</f>
        <v>-9446788.2757980544</v>
      </c>
      <c r="AM122" s="73">
        <f>IF(D122&lt;&gt;"avg",SUMIFS(Summary!$H:$H,Summary!$C:$C,Financials!C122,Summary!$E:$E,Financials!E122,Summary!$D:$D,1-Financials!D122,Summary!$F:$F,Financials!F122),SUMIFS(Summary!$H:$H,Summary!$C:$C,Financials!C122,Summary!$E:$E,Financials!E122,Summary!$D:$D,"avg",Summary!$F:$F,Financials!F122))</f>
        <v>12205899.659661293</v>
      </c>
      <c r="AN122" s="20">
        <f>Summary!I122</f>
        <v>4411048.433943389</v>
      </c>
      <c r="AP122" s="12">
        <v>1</v>
      </c>
    </row>
    <row r="123" spans="1:42" x14ac:dyDescent="0.3">
      <c r="A123">
        <v>119</v>
      </c>
      <c r="B123" t="str">
        <f>Summary!B123</f>
        <v>MarinusPortland</v>
      </c>
      <c r="C123" t="str">
        <f>Summary!C123</f>
        <v>Wind</v>
      </c>
      <c r="D123" s="104">
        <f>Summary!D123</f>
        <v>0</v>
      </c>
      <c r="E123" t="str">
        <f>Summary!E123</f>
        <v>Cal-36</v>
      </c>
      <c r="F123" t="str">
        <f>Summary!F123</f>
        <v>Wartsila dual fuel</v>
      </c>
      <c r="G123" s="73">
        <f>SUMIFS(AL$5:AL123,$F$5:$F123,$F123,$D$5:$D123,$D123)</f>
        <v>-170687523.61627626</v>
      </c>
      <c r="H123" s="73">
        <f>SUMIFS(AM$5:AM123,$F$5:$F123,$F123,$D$5:$D123,$D123)</f>
        <v>211894324.73071128</v>
      </c>
      <c r="I123" s="20">
        <f>SUMIFS(AN$5:AN123,$F$5:$F123,$F123,$D$5:$D123,$D123)</f>
        <v>32732264.623272479</v>
      </c>
      <c r="J123" s="73">
        <f t="shared" si="16"/>
        <v>32732264.623272479</v>
      </c>
      <c r="K123" s="73">
        <f t="shared" si="17"/>
        <v>-137955258.99300379</v>
      </c>
      <c r="L123" s="73">
        <f t="shared" si="18"/>
        <v>73939065.737707496</v>
      </c>
      <c r="M123" s="73">
        <f>-SUMIFS(FinParameters!$E$8:$E$39,FinParameters!$B$8:$B$39,Financials!$E123,FinParameters!$C$8:$C$39,Financials!$F123)</f>
        <v>-29339568.697033826</v>
      </c>
      <c r="N123" s="73">
        <f>-SUMIFS(FinParameters!$F$8:$F$39,FinParameters!$B$8:$B$39,Financials!$E123,FinParameters!$C$8:$C$39,Financials!$F123)</f>
        <v>-74000000</v>
      </c>
      <c r="O123" s="73">
        <f>SUMIFS(FinParameters!$G$8:$G$39,FinParameters!$B$8:$B$39,Financials!$E123,FinParameters!$C$8:$C$39,Financials!$F123)</f>
        <v>5645226.4072616436</v>
      </c>
      <c r="P123" s="73">
        <f t="shared" si="19"/>
        <v>3392695.9262386523</v>
      </c>
      <c r="Q123" s="73">
        <f>P123/SUMIFS(FinParameters!$H$8:$H$39,FinParameters!$B$8:$B$39,Financials!$E123,FinParameters!$C$8:$C$39,Financials!$F123)</f>
        <v>738349.48242607526</v>
      </c>
      <c r="R123" s="73">
        <f t="shared" si="31"/>
        <v>-64962077.666499704</v>
      </c>
      <c r="S123" s="12">
        <f t="shared" si="20"/>
        <v>-0.95036636436757826</v>
      </c>
      <c r="T123" s="114">
        <f t="shared" si="21"/>
        <v>-170687523.61627626</v>
      </c>
      <c r="U123" s="73">
        <f>T123/SUMIFS(FinParameters!$L$8:$L$39,FinParameters!$B$8:$B$39,Financials!$E123,FinParameters!$C$8:$C$39,Financials!$F123)</f>
        <v>-114979371.74554127</v>
      </c>
      <c r="V123" s="73">
        <f t="shared" si="22"/>
        <v>-114979371.74554127</v>
      </c>
      <c r="W123" s="12"/>
      <c r="X123" s="73">
        <f t="shared" si="23"/>
        <v>-167294827.69003761</v>
      </c>
      <c r="Y123" s="73">
        <f t="shared" si="24"/>
        <v>-114241022.2631152</v>
      </c>
      <c r="Z123" s="73">
        <f t="shared" si="24"/>
        <v>-179941449.41204098</v>
      </c>
      <c r="AA123" s="12">
        <f t="shared" si="25"/>
        <v>-2.6324635421096176</v>
      </c>
      <c r="AB123" s="114">
        <f t="shared" si="26"/>
        <v>211894324.73071128</v>
      </c>
      <c r="AC123" s="73">
        <f>AB123/SUMIFS(FinParameters!$L$8:$L$39,FinParameters!$B$8:$B$39,Financials!$E123,FinParameters!$C$8:$C$39,Financials!$F123)</f>
        <v>142737300.40606004</v>
      </c>
      <c r="AD123" s="73">
        <f t="shared" si="27"/>
        <v>142737300.40606004</v>
      </c>
      <c r="AE123" s="12"/>
      <c r="AF123" s="73">
        <f t="shared" si="28"/>
        <v>44599497.040673673</v>
      </c>
      <c r="AG123" s="73">
        <f t="shared" si="29"/>
        <v>28496278.142944843</v>
      </c>
      <c r="AH123" s="73">
        <f t="shared" si="29"/>
        <v>-37204149.005980939</v>
      </c>
      <c r="AI123" s="12">
        <f t="shared" si="30"/>
        <v>-0.54428018776926068</v>
      </c>
      <c r="AL123" s="73">
        <f>Summary!G123</f>
        <v>-14456791.14379588</v>
      </c>
      <c r="AM123" s="73">
        <f>IF(D123&lt;&gt;"avg",SUMIFS(Summary!$H:$H,Summary!$C:$C,Financials!C123,Summary!$E:$E,Financials!E123,Summary!$D:$D,1-Financials!D123,Summary!$F:$F,Financials!F123),SUMIFS(Summary!$H:$H,Summary!$C:$C,Financials!C123,Summary!$E:$E,Financials!E123,Summary!$D:$D,"avg",Summary!$F:$F,Financials!F123))</f>
        <v>21773614.066425137</v>
      </c>
      <c r="AN123" s="20">
        <f>Summary!I123</f>
        <v>2616826.9506293959</v>
      </c>
      <c r="AP123" s="12">
        <v>1</v>
      </c>
    </row>
    <row r="124" spans="1:42" x14ac:dyDescent="0.3">
      <c r="A124">
        <v>120</v>
      </c>
      <c r="B124" t="str">
        <f>Summary!B124</f>
        <v>MarinusPortland</v>
      </c>
      <c r="C124" t="str">
        <f>Summary!C124</f>
        <v>Wind</v>
      </c>
      <c r="D124" s="104" t="str">
        <f>Summary!D124</f>
        <v>avg</v>
      </c>
      <c r="E124" t="str">
        <f>Summary!E124</f>
        <v>Cal-36</v>
      </c>
      <c r="F124" t="str">
        <f>Summary!F124</f>
        <v>Wartsila dual fuel</v>
      </c>
      <c r="G124" s="73">
        <f>SUMIFS(AL$5:AL124,$F$5:$F124,$F124,$D$5:$D124,$D124)</f>
        <v>10009823.931538211</v>
      </c>
      <c r="H124" s="73">
        <f>SUMIFS(AM$5:AM124,$F$5:$F124,$F124,$D$5:$D124,$D124)</f>
        <v>-959883.57630451489</v>
      </c>
      <c r="I124" s="20">
        <f>SUMIFS(AN$5:AN124,$F$5:$F124,$F124,$D$5:$D124,$D124)</f>
        <v>92289359.057196572</v>
      </c>
      <c r="J124" s="73">
        <f t="shared" si="16"/>
        <v>92289359.057196572</v>
      </c>
      <c r="K124" s="73">
        <f t="shared" si="17"/>
        <v>102299182.98873478</v>
      </c>
      <c r="L124" s="73">
        <f t="shared" si="18"/>
        <v>101339299.41243027</v>
      </c>
      <c r="M124" s="73">
        <f>-SUMIFS(FinParameters!$E$8:$E$39,FinParameters!$B$8:$B$39,Financials!$E124,FinParameters!$C$8:$C$39,Financials!$F124)</f>
        <v>-29339568.697033826</v>
      </c>
      <c r="N124" s="73">
        <f>-SUMIFS(FinParameters!$F$8:$F$39,FinParameters!$B$8:$B$39,Financials!$E124,FinParameters!$C$8:$C$39,Financials!$F124)</f>
        <v>-74000000</v>
      </c>
      <c r="O124" s="73">
        <f>SUMIFS(FinParameters!$G$8:$G$39,FinParameters!$B$8:$B$39,Financials!$E124,FinParameters!$C$8:$C$39,Financials!$F124)</f>
        <v>5645226.4072616436</v>
      </c>
      <c r="P124" s="73">
        <f t="shared" si="19"/>
        <v>62949790.36016275</v>
      </c>
      <c r="Q124" s="73">
        <f>P124/SUMIFS(FinParameters!$H$8:$H$39,FinParameters!$B$8:$B$39,Financials!$E124,FinParameters!$C$8:$C$39,Financials!$F124)</f>
        <v>13699708.474253239</v>
      </c>
      <c r="R124" s="73">
        <f t="shared" si="31"/>
        <v>-5404983.2325756066</v>
      </c>
      <c r="S124" s="12">
        <f t="shared" si="20"/>
        <v>-7.9072505817644939E-2</v>
      </c>
      <c r="T124" s="114">
        <f t="shared" si="21"/>
        <v>10009823.931538211</v>
      </c>
      <c r="U124" s="73">
        <f>T124/SUMIFS(FinParameters!$L$8:$L$39,FinParameters!$B$8:$B$39,Financials!$E124,FinParameters!$C$8:$C$39,Financials!$F124)</f>
        <v>6742866.9802436503</v>
      </c>
      <c r="V124" s="73">
        <f t="shared" si="22"/>
        <v>6742866.9802436503</v>
      </c>
      <c r="W124" s="12"/>
      <c r="X124" s="73">
        <f t="shared" si="23"/>
        <v>72959614.291700959</v>
      </c>
      <c r="Y124" s="73">
        <f t="shared" si="24"/>
        <v>20442575.45449689</v>
      </c>
      <c r="Z124" s="73">
        <f t="shared" si="24"/>
        <v>1337883.7476680437</v>
      </c>
      <c r="AA124" s="12">
        <f t="shared" si="25"/>
        <v>1.9572645440086328E-2</v>
      </c>
      <c r="AB124" s="114">
        <f t="shared" si="26"/>
        <v>-959883.57630451489</v>
      </c>
      <c r="AC124" s="73">
        <f>AB124/SUMIFS(FinParameters!$L$8:$L$39,FinParameters!$B$8:$B$39,Financials!$E124,FinParameters!$C$8:$C$39,Financials!$F124)</f>
        <v>-646601.51025726285</v>
      </c>
      <c r="AD124" s="73">
        <f t="shared" si="27"/>
        <v>-646601.51025726285</v>
      </c>
      <c r="AE124" s="12"/>
      <c r="AF124" s="73">
        <f t="shared" si="28"/>
        <v>71999730.715396449</v>
      </c>
      <c r="AG124" s="73">
        <f t="shared" si="29"/>
        <v>19795973.944239628</v>
      </c>
      <c r="AH124" s="73">
        <f t="shared" si="29"/>
        <v>691282.23741078086</v>
      </c>
      <c r="AI124" s="12">
        <f t="shared" si="30"/>
        <v>1.0113152323925172E-2</v>
      </c>
      <c r="AL124" s="73">
        <f>Summary!G124</f>
        <v>2373923.0502044023</v>
      </c>
      <c r="AM124" s="73">
        <f>IF(D124&lt;&gt;"avg",SUMIFS(Summary!$H:$H,Summary!$C:$C,Financials!C124,Summary!$E:$E,Financials!E124,Summary!$D:$D,1-Financials!D124,Summary!$F:$F,Financials!F124),SUMIFS(Summary!$H:$H,Summary!$C:$C,Financials!C124,Summary!$E:$E,Financials!E124,Summary!$D:$D,"avg",Summary!$F:$F,Financials!F124))</f>
        <v>612120.30806827894</v>
      </c>
      <c r="AN124" s="20">
        <f>Summary!I124</f>
        <v>7663703.5738836424</v>
      </c>
      <c r="AP124" s="12">
        <v>1</v>
      </c>
    </row>
    <row r="125" spans="1:42" x14ac:dyDescent="0.3">
      <c r="A125">
        <v>121</v>
      </c>
      <c r="B125" t="str">
        <f>Summary!B125</f>
        <v>MarinusPortland</v>
      </c>
      <c r="C125" t="str">
        <f>Summary!C125</f>
        <v>Wind</v>
      </c>
      <c r="D125" s="104">
        <f>Summary!D125</f>
        <v>1</v>
      </c>
      <c r="E125" t="str">
        <f>Summary!E125</f>
        <v>Cal-37</v>
      </c>
      <c r="F125" t="str">
        <f>Summary!F125</f>
        <v>Wartsila dual fuel</v>
      </c>
      <c r="G125" s="73">
        <f>SUMIFS(AL$5:AL125,$F$5:$F125,$F125,$D$5:$D125,$D125)</f>
        <v>313947903.03748894</v>
      </c>
      <c r="H125" s="73">
        <f>SUMIFS(AM$5:AM125,$F$5:$F125,$F125,$D$5:$D125,$D125)</f>
        <v>-269335147.98458827</v>
      </c>
      <c r="I125" s="20">
        <f>SUMIFS(AN$5:AN125,$F$5:$F125,$F125,$D$5:$D125,$D125)</f>
        <v>205809711.71201116</v>
      </c>
      <c r="J125" s="73">
        <f t="shared" si="16"/>
        <v>205809711.71201116</v>
      </c>
      <c r="K125" s="73">
        <f t="shared" si="17"/>
        <v>519757614.7495001</v>
      </c>
      <c r="L125" s="73">
        <f t="shared" si="18"/>
        <v>250422466.76491183</v>
      </c>
      <c r="M125" s="73">
        <f>-SUMIFS(FinParameters!$E$8:$E$39,FinParameters!$B$8:$B$39,Financials!$E125,FinParameters!$C$8:$C$39,Financials!$F125)</f>
        <v>-31483682.914459672</v>
      </c>
      <c r="N125" s="73">
        <f>-SUMIFS(FinParameters!$F$8:$F$39,FinParameters!$B$8:$B$39,Financials!$E125,FinParameters!$C$8:$C$39,Financials!$F125)</f>
        <v>-74000000</v>
      </c>
      <c r="O125" s="73">
        <f>SUMIFS(FinParameters!$G$8:$G$39,FinParameters!$B$8:$B$39,Financials!$E125,FinParameters!$C$8:$C$39,Financials!$F125)</f>
        <v>4785612.3861558922</v>
      </c>
      <c r="P125" s="73">
        <f t="shared" si="19"/>
        <v>174326028.79755148</v>
      </c>
      <c r="Q125" s="73">
        <f>P125/SUMIFS(FinParameters!$H$8:$H$39,FinParameters!$B$8:$B$39,Financials!$E125,FinParameters!$C$8:$C$39,Financials!$F125)</f>
        <v>34489475.448126972</v>
      </c>
      <c r="R125" s="73">
        <f t="shared" si="31"/>
        <v>105111641.18370737</v>
      </c>
      <c r="S125" s="12">
        <f t="shared" si="20"/>
        <v>1.5186386069055269</v>
      </c>
      <c r="T125" s="114">
        <f t="shared" si="21"/>
        <v>313947903.03748894</v>
      </c>
      <c r="U125" s="73">
        <f>T125/SUMIFS(FinParameters!$L$8:$L$39,FinParameters!$B$8:$B$39,Financials!$E125,FinParameters!$C$8:$C$39,Financials!$F125)</f>
        <v>206325010.05516896</v>
      </c>
      <c r="V125" s="73">
        <f t="shared" si="22"/>
        <v>206325010.05516896</v>
      </c>
      <c r="W125" s="12"/>
      <c r="X125" s="73">
        <f t="shared" si="23"/>
        <v>488273931.83504045</v>
      </c>
      <c r="Y125" s="73">
        <f t="shared" si="24"/>
        <v>240814485.50329593</v>
      </c>
      <c r="Z125" s="73">
        <f t="shared" si="24"/>
        <v>311436651.23887634</v>
      </c>
      <c r="AA125" s="12">
        <f t="shared" si="25"/>
        <v>4.499594115842231</v>
      </c>
      <c r="AB125" s="114">
        <f t="shared" si="26"/>
        <v>-269335147.98458827</v>
      </c>
      <c r="AC125" s="73">
        <f>AB125/SUMIFS(FinParameters!$L$8:$L$39,FinParameters!$B$8:$B$39,Financials!$E125,FinParameters!$C$8:$C$39,Financials!$F125)</f>
        <v>-177005727.9519234</v>
      </c>
      <c r="AD125" s="73">
        <f t="shared" si="27"/>
        <v>-177005727.9519234</v>
      </c>
      <c r="AE125" s="12"/>
      <c r="AF125" s="73">
        <f t="shared" si="28"/>
        <v>218938783.85045218</v>
      </c>
      <c r="AG125" s="73">
        <f t="shared" si="29"/>
        <v>63808757.551372528</v>
      </c>
      <c r="AH125" s="73">
        <f t="shared" si="29"/>
        <v>134430923.28695294</v>
      </c>
      <c r="AI125" s="12">
        <f t="shared" si="30"/>
        <v>1.9422395822810743</v>
      </c>
      <c r="AL125" s="73">
        <f>Summary!G125</f>
        <v>19034076.10738232</v>
      </c>
      <c r="AM125" s="73">
        <f>IF(D125&lt;&gt;"avg",SUMIFS(Summary!$H:$H,Summary!$C:$C,Financials!C125,Summary!$E:$E,Financials!E125,Summary!$D:$D,1-Financials!D125,Summary!$F:$F,Financials!F125),SUMIFS(Summary!$H:$H,Summary!$C:$C,Financials!C125,Summary!$E:$E,Financials!E125,Summary!$D:$D,"avg",Summary!$F:$F,Financials!F125))</f>
        <v>-20749059.644596826</v>
      </c>
      <c r="AN125" s="20">
        <f>Summary!I125</f>
        <v>14583192.823021336</v>
      </c>
      <c r="AP125" s="12">
        <f>FinancialWalk!AH5</f>
        <v>1</v>
      </c>
    </row>
    <row r="126" spans="1:42" x14ac:dyDescent="0.3">
      <c r="A126">
        <v>122</v>
      </c>
      <c r="B126" t="str">
        <f>Summary!B126</f>
        <v>MarinusPortland</v>
      </c>
      <c r="C126" t="str">
        <f>Summary!C126</f>
        <v>Wind</v>
      </c>
      <c r="D126" s="104">
        <f>Summary!D126</f>
        <v>0.95</v>
      </c>
      <c r="E126" t="str">
        <f>Summary!E126</f>
        <v>Cal-37</v>
      </c>
      <c r="F126" t="str">
        <f>Summary!F126</f>
        <v>Wartsila dual fuel</v>
      </c>
      <c r="G126" s="73">
        <f>SUMIFS(AL$5:AL126,$F$5:$F126,$F126,$D$5:$D126,$D126)</f>
        <v>146272829.71612614</v>
      </c>
      <c r="H126" s="73">
        <f>SUMIFS(AM$5:AM126,$F$5:$F126,$F126,$D$5:$D126,$D126)</f>
        <v>-116017565.15956134</v>
      </c>
      <c r="I126" s="20">
        <f>SUMIFS(AN$5:AN126,$F$5:$F126,$F126,$D$5:$D126,$D126)</f>
        <v>141574056.2446768</v>
      </c>
      <c r="J126" s="73">
        <f t="shared" si="16"/>
        <v>141574056.2446768</v>
      </c>
      <c r="K126" s="73">
        <f t="shared" si="17"/>
        <v>287846885.96080291</v>
      </c>
      <c r="L126" s="73">
        <f t="shared" si="18"/>
        <v>171829320.80124161</v>
      </c>
      <c r="M126" s="73">
        <f>-SUMIFS(FinParameters!$E$8:$E$39,FinParameters!$B$8:$B$39,Financials!$E126,FinParameters!$C$8:$C$39,Financials!$F126)</f>
        <v>-31483682.914459672</v>
      </c>
      <c r="N126" s="73">
        <f>-SUMIFS(FinParameters!$F$8:$F$39,FinParameters!$B$8:$B$39,Financials!$E126,FinParameters!$C$8:$C$39,Financials!$F126)</f>
        <v>-74000000</v>
      </c>
      <c r="O126" s="73">
        <f>SUMIFS(FinParameters!$G$8:$G$39,FinParameters!$B$8:$B$39,Financials!$E126,FinParameters!$C$8:$C$39,Financials!$F126)</f>
        <v>4785612.3861558922</v>
      </c>
      <c r="P126" s="73">
        <f t="shared" si="19"/>
        <v>110090373.33021712</v>
      </c>
      <c r="Q126" s="73">
        <f>P126/SUMIFS(FinParameters!$H$8:$H$39,FinParameters!$B$8:$B$39,Financials!$E126,FinParameters!$C$8:$C$39,Financials!$F126)</f>
        <v>21780793.46060906</v>
      </c>
      <c r="R126" s="73">
        <f t="shared" si="31"/>
        <v>40875985.716373011</v>
      </c>
      <c r="S126" s="12">
        <f t="shared" si="20"/>
        <v>0.5905706476003999</v>
      </c>
      <c r="T126" s="114">
        <f t="shared" si="21"/>
        <v>146272829.71612614</v>
      </c>
      <c r="U126" s="73">
        <f>T126/SUMIFS(FinParameters!$L$8:$L$39,FinParameters!$B$8:$B$39,Financials!$E126,FinParameters!$C$8:$C$39,Financials!$F126)</f>
        <v>96129780.673750639</v>
      </c>
      <c r="V126" s="73">
        <f t="shared" si="22"/>
        <v>96129780.673750639</v>
      </c>
      <c r="W126" s="12"/>
      <c r="X126" s="73">
        <f t="shared" si="23"/>
        <v>256363203.04634324</v>
      </c>
      <c r="Y126" s="73">
        <f t="shared" si="24"/>
        <v>117910574.1343597</v>
      </c>
      <c r="Z126" s="73">
        <f t="shared" si="24"/>
        <v>137005766.39012367</v>
      </c>
      <c r="AA126" s="12">
        <f t="shared" si="25"/>
        <v>1.9794405630588874</v>
      </c>
      <c r="AB126" s="114">
        <f t="shared" si="26"/>
        <v>-116017565.15956134</v>
      </c>
      <c r="AC126" s="73">
        <f>AB126/SUMIFS(FinParameters!$L$8:$L$39,FinParameters!$B$8:$B$39,Financials!$E126,FinParameters!$C$8:$C$39,Financials!$F126)</f>
        <v>-76246170.356692344</v>
      </c>
      <c r="AD126" s="73">
        <f t="shared" si="27"/>
        <v>-76246170.356692344</v>
      </c>
      <c r="AE126" s="12"/>
      <c r="AF126" s="73">
        <f t="shared" si="28"/>
        <v>140345637.8867819</v>
      </c>
      <c r="AG126" s="73">
        <f t="shared" si="29"/>
        <v>41664403.777667359</v>
      </c>
      <c r="AH126" s="73">
        <f t="shared" si="29"/>
        <v>60759596.033431321</v>
      </c>
      <c r="AI126" s="12">
        <f t="shared" si="30"/>
        <v>0.87784632831567988</v>
      </c>
      <c r="AL126" s="73">
        <f>Summary!G126</f>
        <v>9698570.5594856013</v>
      </c>
      <c r="AM126" s="73">
        <f>IF(D126&lt;&gt;"avg",SUMIFS(Summary!$H:$H,Summary!$C:$C,Financials!C126,Summary!$E:$E,Financials!E126,Summary!$D:$D,1-Financials!D126,Summary!$F:$F,Financials!F126),SUMIFS(Summary!$H:$H,Summary!$C:$C,Financials!C126,Summary!$E:$E,Financials!E126,Summary!$D:$D,"avg",Summary!$F:$F,Financials!F126))</f>
        <v>-9188532.6132406686</v>
      </c>
      <c r="AN126" s="20">
        <f>Summary!I126</f>
        <v>10482163.533402247</v>
      </c>
      <c r="AP126" s="12">
        <f>FinancialWalk!AH6</f>
        <v>1</v>
      </c>
    </row>
    <row r="127" spans="1:42" x14ac:dyDescent="0.3">
      <c r="A127">
        <v>123</v>
      </c>
      <c r="B127" t="str">
        <f>Summary!B127</f>
        <v>MarinusPortland</v>
      </c>
      <c r="C127" t="str">
        <f>Summary!C127</f>
        <v>Wind</v>
      </c>
      <c r="D127" s="104">
        <f>Summary!D127</f>
        <v>0.75</v>
      </c>
      <c r="E127" t="str">
        <f>Summary!E127</f>
        <v>Cal-37</v>
      </c>
      <c r="F127" t="str">
        <f>Summary!F127</f>
        <v>Wartsila dual fuel</v>
      </c>
      <c r="G127" s="73">
        <f>SUMIFS(AL$5:AL127,$F$5:$F127,$F127,$D$5:$D127,$D127)</f>
        <v>64537283.215318352</v>
      </c>
      <c r="H127" s="73">
        <f>SUMIFS(AM$5:AM127,$F$5:$F127,$F127,$D$5:$D127,$D127)</f>
        <v>-48316983.413085386</v>
      </c>
      <c r="I127" s="20">
        <f>SUMIFS(AN$5:AN127,$F$5:$F127,$F127,$D$5:$D127,$D127)</f>
        <v>115001869.20396751</v>
      </c>
      <c r="J127" s="73">
        <f t="shared" si="16"/>
        <v>115001869.20396751</v>
      </c>
      <c r="K127" s="73">
        <f t="shared" si="17"/>
        <v>179539152.41928586</v>
      </c>
      <c r="L127" s="73">
        <f t="shared" si="18"/>
        <v>131222169.00620048</v>
      </c>
      <c r="M127" s="73">
        <f>-SUMIFS(FinParameters!$E$8:$E$39,FinParameters!$B$8:$B$39,Financials!$E127,FinParameters!$C$8:$C$39,Financials!$F127)</f>
        <v>-31483682.914459672</v>
      </c>
      <c r="N127" s="73">
        <f>-SUMIFS(FinParameters!$F$8:$F$39,FinParameters!$B$8:$B$39,Financials!$E127,FinParameters!$C$8:$C$39,Financials!$F127)</f>
        <v>-74000000</v>
      </c>
      <c r="O127" s="73">
        <f>SUMIFS(FinParameters!$G$8:$G$39,FinParameters!$B$8:$B$39,Financials!$E127,FinParameters!$C$8:$C$39,Financials!$F127)</f>
        <v>4785612.3861558922</v>
      </c>
      <c r="P127" s="73">
        <f t="shared" si="19"/>
        <v>83518186.289507836</v>
      </c>
      <c r="Q127" s="73">
        <f>P127/SUMIFS(FinParameters!$H$8:$H$39,FinParameters!$B$8:$B$39,Financials!$E127,FinParameters!$C$8:$C$39,Financials!$F127)</f>
        <v>16523627.913587471</v>
      </c>
      <c r="R127" s="73">
        <f t="shared" si="31"/>
        <v>14303798.675663728</v>
      </c>
      <c r="S127" s="12">
        <f t="shared" si="20"/>
        <v>0.20665932573826187</v>
      </c>
      <c r="T127" s="114">
        <f t="shared" si="21"/>
        <v>64537283.215318352</v>
      </c>
      <c r="U127" s="73">
        <f>T127/SUMIFS(FinParameters!$L$8:$L$39,FinParameters!$B$8:$B$39,Financials!$E127,FinParameters!$C$8:$C$39,Financials!$F127)</f>
        <v>42413583.526129827</v>
      </c>
      <c r="V127" s="73">
        <f t="shared" si="22"/>
        <v>42413583.526129827</v>
      </c>
      <c r="W127" s="12"/>
      <c r="X127" s="73">
        <f t="shared" si="23"/>
        <v>148055469.50482619</v>
      </c>
      <c r="Y127" s="73">
        <f t="shared" si="24"/>
        <v>58937211.4397173</v>
      </c>
      <c r="Z127" s="73">
        <f t="shared" si="24"/>
        <v>56717382.201793551</v>
      </c>
      <c r="AA127" s="12">
        <f t="shared" si="25"/>
        <v>0.81944497606808364</v>
      </c>
      <c r="AB127" s="114">
        <f t="shared" si="26"/>
        <v>-48316983.413085386</v>
      </c>
      <c r="AC127" s="73">
        <f>AB127/SUMIFS(FinParameters!$L$8:$L$39,FinParameters!$B$8:$B$39,Financials!$E127,FinParameters!$C$8:$C$39,Financials!$F127)</f>
        <v>-31753682.67183445</v>
      </c>
      <c r="AD127" s="73">
        <f t="shared" si="27"/>
        <v>-31753682.67183445</v>
      </c>
      <c r="AE127" s="12"/>
      <c r="AF127" s="73">
        <f t="shared" si="28"/>
        <v>99738486.091740802</v>
      </c>
      <c r="AG127" s="73">
        <f t="shared" si="29"/>
        <v>27183528.76788285</v>
      </c>
      <c r="AH127" s="73">
        <f t="shared" si="29"/>
        <v>24963699.529959101</v>
      </c>
      <c r="AI127" s="12">
        <f t="shared" si="30"/>
        <v>0.36067211443428154</v>
      </c>
      <c r="AL127" s="73">
        <f>Summary!G127</f>
        <v>5905344.5315388702</v>
      </c>
      <c r="AM127" s="73">
        <f>IF(D127&lt;&gt;"avg",SUMIFS(Summary!$H:$H,Summary!$C:$C,Financials!C127,Summary!$E:$E,Financials!E127,Summary!$D:$D,1-Financials!D127,Summary!$F:$F,Financials!F127),SUMIFS(Summary!$H:$H,Summary!$C:$C,Financials!C127,Summary!$E:$E,Financials!E127,Summary!$D:$D,"avg",Summary!$F:$F,Financials!F127))</f>
        <v>-4305145.686470422</v>
      </c>
      <c r="AN127" s="20">
        <f>Summary!I127</f>
        <v>8909042.614403192</v>
      </c>
      <c r="AP127" s="12">
        <f>FinancialWalk!AH7</f>
        <v>1</v>
      </c>
    </row>
    <row r="128" spans="1:42" x14ac:dyDescent="0.3">
      <c r="A128">
        <v>124</v>
      </c>
      <c r="B128" t="str">
        <f>Summary!B128</f>
        <v>MarinusPortland</v>
      </c>
      <c r="C128" t="str">
        <f>Summary!C128</f>
        <v>Wind</v>
      </c>
      <c r="D128" s="104">
        <f>Summary!D128</f>
        <v>0.5</v>
      </c>
      <c r="E128" t="str">
        <f>Summary!E128</f>
        <v>Cal-37</v>
      </c>
      <c r="F128" t="str">
        <f>Summary!F128</f>
        <v>Wartsila dual fuel</v>
      </c>
      <c r="G128" s="73">
        <f>SUMIFS(AL$5:AL128,$F$5:$F128,$F128,$D$5:$D128,$D128)</f>
        <v>6697531.6341014374</v>
      </c>
      <c r="H128" s="73">
        <f>SUMIFS(AM$5:AM128,$F$5:$F128,$F128,$D$5:$D128,$D128)</f>
        <v>-525798.35554089677</v>
      </c>
      <c r="I128" s="20">
        <f>SUMIFS(AN$5:AN128,$F$5:$F128,$F128,$D$5:$D128,$D128)</f>
        <v>98997110.581462339</v>
      </c>
      <c r="J128" s="73">
        <f t="shared" si="16"/>
        <v>98997110.581462339</v>
      </c>
      <c r="K128" s="73">
        <f t="shared" si="17"/>
        <v>105694642.21556377</v>
      </c>
      <c r="L128" s="73">
        <f t="shared" si="18"/>
        <v>105168843.86002287</v>
      </c>
      <c r="M128" s="73">
        <f>-SUMIFS(FinParameters!$E$8:$E$39,FinParameters!$B$8:$B$39,Financials!$E128,FinParameters!$C$8:$C$39,Financials!$F128)</f>
        <v>-31483682.914459672</v>
      </c>
      <c r="N128" s="73">
        <f>-SUMIFS(FinParameters!$F$8:$F$39,FinParameters!$B$8:$B$39,Financials!$E128,FinParameters!$C$8:$C$39,Financials!$F128)</f>
        <v>-74000000</v>
      </c>
      <c r="O128" s="73">
        <f>SUMIFS(FinParameters!$G$8:$G$39,FinParameters!$B$8:$B$39,Financials!$E128,FinParameters!$C$8:$C$39,Financials!$F128)</f>
        <v>4785612.3861558922</v>
      </c>
      <c r="P128" s="73">
        <f t="shared" si="19"/>
        <v>67513427.667002663</v>
      </c>
      <c r="Q128" s="73">
        <f>P128/SUMIFS(FinParameters!$H$8:$H$39,FinParameters!$B$8:$B$39,Financials!$E128,FinParameters!$C$8:$C$39,Financials!$F128)</f>
        <v>13357171.743091356</v>
      </c>
      <c r="R128" s="73">
        <f t="shared" si="31"/>
        <v>-1700959.9468414448</v>
      </c>
      <c r="S128" s="12">
        <f t="shared" si="20"/>
        <v>-2.4575236529308285E-2</v>
      </c>
      <c r="T128" s="114">
        <f t="shared" si="21"/>
        <v>6697531.6341014374</v>
      </c>
      <c r="U128" s="73">
        <f>T128/SUMIFS(FinParameters!$L$8:$L$39,FinParameters!$B$8:$B$39,Financials!$E128,FinParameters!$C$8:$C$39,Financials!$F128)</f>
        <v>4401584.6845321357</v>
      </c>
      <c r="V128" s="73">
        <f t="shared" si="22"/>
        <v>4401584.6845321357</v>
      </c>
      <c r="W128" s="12"/>
      <c r="X128" s="73">
        <f t="shared" si="23"/>
        <v>74210959.301104099</v>
      </c>
      <c r="Y128" s="73">
        <f t="shared" si="24"/>
        <v>17758756.427623492</v>
      </c>
      <c r="Z128" s="73">
        <f t="shared" si="24"/>
        <v>2700624.7376906909</v>
      </c>
      <c r="AA128" s="12">
        <f t="shared" si="25"/>
        <v>3.9018256619675964E-2</v>
      </c>
      <c r="AB128" s="114">
        <f t="shared" si="26"/>
        <v>-525798.35554089677</v>
      </c>
      <c r="AC128" s="73">
        <f>AB128/SUMIFS(FinParameters!$L$8:$L$39,FinParameters!$B$8:$B$39,Financials!$E128,FinParameters!$C$8:$C$39,Financials!$F128)</f>
        <v>-345552.08027942281</v>
      </c>
      <c r="AD128" s="73">
        <f t="shared" si="27"/>
        <v>-345552.08027942281</v>
      </c>
      <c r="AE128" s="12"/>
      <c r="AF128" s="73">
        <f t="shared" si="28"/>
        <v>73685160.945563197</v>
      </c>
      <c r="AG128" s="73">
        <f t="shared" si="29"/>
        <v>17413204.347344071</v>
      </c>
      <c r="AH128" s="73">
        <f t="shared" si="29"/>
        <v>2355072.657411268</v>
      </c>
      <c r="AI128" s="12">
        <f t="shared" si="30"/>
        <v>3.4025767453878496E-2</v>
      </c>
      <c r="AL128" s="73">
        <f>Summary!G128</f>
        <v>2436927.8482014164</v>
      </c>
      <c r="AM128" s="73">
        <f>IF(D128&lt;&gt;"avg",SUMIFS(Summary!$H:$H,Summary!$C:$C,Financials!C128,Summary!$E:$E,Financials!E128,Summary!$D:$D,1-Financials!D128,Summary!$F:$F,Financials!F128),SUMIFS(Summary!$H:$H,Summary!$C:$C,Financials!C128,Summary!$E:$E,Financials!E128,Summary!$D:$D,"avg",Summary!$F:$F,Financials!F128))</f>
        <v>-179410.96531799287</v>
      </c>
      <c r="AN128" s="20">
        <f>Summary!I128</f>
        <v>7800358.0777795855</v>
      </c>
      <c r="AP128" s="12">
        <f>FinancialWalk!AH8</f>
        <v>1</v>
      </c>
    </row>
    <row r="129" spans="1:42" x14ac:dyDescent="0.3">
      <c r="A129">
        <v>125</v>
      </c>
      <c r="B129" t="str">
        <f>Summary!B129</f>
        <v>MarinusPortland</v>
      </c>
      <c r="C129" t="str">
        <f>Summary!C129</f>
        <v>Wind</v>
      </c>
      <c r="D129" s="104">
        <f>Summary!D129</f>
        <v>0.25</v>
      </c>
      <c r="E129" t="str">
        <f>Summary!E129</f>
        <v>Cal-37</v>
      </c>
      <c r="F129" t="str">
        <f>Summary!F129</f>
        <v>Wartsila dual fuel</v>
      </c>
      <c r="G129" s="73">
        <f>SUMIFS(AL$5:AL129,$F$5:$F129,$F129,$D$5:$D129,$D129)</f>
        <v>-46027132.462235309</v>
      </c>
      <c r="H129" s="73">
        <f>SUMIFS(AM$5:AM129,$F$5:$F129,$F129,$D$5:$D129,$D129)</f>
        <v>47642978.562756099</v>
      </c>
      <c r="I129" s="20">
        <f>SUMIFS(AN$5:AN129,$F$5:$F129,$F129,$D$5:$D129,$D129)</f>
        <v>83437515.174562037</v>
      </c>
      <c r="J129" s="73">
        <f t="shared" si="16"/>
        <v>83437515.174562037</v>
      </c>
      <c r="K129" s="73">
        <f t="shared" si="17"/>
        <v>37410382.712326728</v>
      </c>
      <c r="L129" s="73">
        <f t="shared" si="18"/>
        <v>85053361.275082827</v>
      </c>
      <c r="M129" s="73">
        <f>-SUMIFS(FinParameters!$E$8:$E$39,FinParameters!$B$8:$B$39,Financials!$E129,FinParameters!$C$8:$C$39,Financials!$F129)</f>
        <v>-31483682.914459672</v>
      </c>
      <c r="N129" s="73">
        <f>-SUMIFS(FinParameters!$F$8:$F$39,FinParameters!$B$8:$B$39,Financials!$E129,FinParameters!$C$8:$C$39,Financials!$F129)</f>
        <v>-74000000</v>
      </c>
      <c r="O129" s="73">
        <f>SUMIFS(FinParameters!$G$8:$G$39,FinParameters!$B$8:$B$39,Financials!$E129,FinParameters!$C$8:$C$39,Financials!$F129)</f>
        <v>4785612.3861558922</v>
      </c>
      <c r="P129" s="73">
        <f t="shared" si="19"/>
        <v>51953832.260102361</v>
      </c>
      <c r="Q129" s="73">
        <f>P129/SUMIFS(FinParameters!$H$8:$H$39,FinParameters!$B$8:$B$39,Financials!$E129,FinParameters!$C$8:$C$39,Financials!$F129)</f>
        <v>10278788.741593104</v>
      </c>
      <c r="R129" s="73">
        <f t="shared" si="31"/>
        <v>-17260555.353741746</v>
      </c>
      <c r="S129" s="12">
        <f t="shared" si="20"/>
        <v>-0.249378141580051</v>
      </c>
      <c r="T129" s="114">
        <f t="shared" si="21"/>
        <v>-46027132.462235309</v>
      </c>
      <c r="U129" s="73">
        <f>T129/SUMIFS(FinParameters!$L$8:$L$39,FinParameters!$B$8:$B$39,Financials!$E129,FinParameters!$C$8:$C$39,Financials!$F129)</f>
        <v>-30248803.945498239</v>
      </c>
      <c r="V129" s="73">
        <f t="shared" si="22"/>
        <v>-30248803.945498239</v>
      </c>
      <c r="W129" s="12"/>
      <c r="X129" s="73">
        <f t="shared" si="23"/>
        <v>5926699.797867056</v>
      </c>
      <c r="Y129" s="73">
        <f t="shared" si="24"/>
        <v>-19970015.203905135</v>
      </c>
      <c r="Z129" s="73">
        <f t="shared" si="24"/>
        <v>-47509359.299239986</v>
      </c>
      <c r="AA129" s="12">
        <f t="shared" si="25"/>
        <v>-0.68640872132396458</v>
      </c>
      <c r="AB129" s="114">
        <f t="shared" si="26"/>
        <v>47642978.562756099</v>
      </c>
      <c r="AC129" s="73">
        <f>AB129/SUMIFS(FinParameters!$L$8:$L$39,FinParameters!$B$8:$B$39,Financials!$E129,FinParameters!$C$8:$C$39,Financials!$F129)</f>
        <v>31310730.015753746</v>
      </c>
      <c r="AD129" s="73">
        <f t="shared" si="27"/>
        <v>31310730.015753746</v>
      </c>
      <c r="AE129" s="12"/>
      <c r="AF129" s="73">
        <f t="shared" si="28"/>
        <v>53569678.360623151</v>
      </c>
      <c r="AG129" s="73">
        <f t="shared" si="29"/>
        <v>11340714.811848611</v>
      </c>
      <c r="AH129" s="73">
        <f t="shared" si="29"/>
        <v>-16198629.28348624</v>
      </c>
      <c r="AI129" s="12">
        <f t="shared" si="30"/>
        <v>-0.23403557904550795</v>
      </c>
      <c r="AL129" s="73">
        <f>Summary!G129</f>
        <v>-3306485.0380182895</v>
      </c>
      <c r="AM129" s="73">
        <f>IF(D129&lt;&gt;"avg",SUMIFS(Summary!$H:$H,Summary!$C:$C,Financials!C129,Summary!$E:$E,Financials!E129,Summary!$D:$D,1-Financials!D129,Summary!$F:$F,Financials!F129),SUMIFS(Summary!$H:$H,Summary!$C:$C,Financials!C129,Summary!$E:$E,Financials!E129,Summary!$D:$D,"avg",Summary!$F:$F,Financials!F129))</f>
        <v>4913140.1608508546</v>
      </c>
      <c r="AN129" s="20">
        <f>Summary!I129</f>
        <v>6306280.7733064415</v>
      </c>
      <c r="AP129" s="12">
        <f>FinancialWalk!AH9</f>
        <v>1</v>
      </c>
    </row>
    <row r="130" spans="1:42" x14ac:dyDescent="0.3">
      <c r="A130">
        <v>126</v>
      </c>
      <c r="B130" t="str">
        <f>Summary!B130</f>
        <v>MarinusPortland</v>
      </c>
      <c r="C130" t="str">
        <f>Summary!C130</f>
        <v>Wind</v>
      </c>
      <c r="D130" s="104">
        <f>Summary!D130</f>
        <v>0.05</v>
      </c>
      <c r="E130" t="str">
        <f>Summary!E130</f>
        <v>Cal-37</v>
      </c>
      <c r="F130" t="str">
        <f>Summary!F130</f>
        <v>Wartsila dual fuel</v>
      </c>
      <c r="G130" s="73">
        <f>SUMIFS(AL$5:AL130,$F$5:$F130,$F130,$D$5:$D130,$D130)</f>
        <v>-111286351.90908179</v>
      </c>
      <c r="H130" s="73">
        <f>SUMIFS(AM$5:AM130,$F$5:$F130,$F130,$D$5:$D130,$D130)</f>
        <v>115880579.3257257</v>
      </c>
      <c r="I130" s="20">
        <f>SUMIFS(AN$5:AN130,$F$5:$F130,$F130,$D$5:$D130,$D130)</f>
        <v>62948609.394574925</v>
      </c>
      <c r="J130" s="73">
        <f t="shared" si="16"/>
        <v>62948609.394574925</v>
      </c>
      <c r="K130" s="73">
        <f t="shared" si="17"/>
        <v>-48337742.514506862</v>
      </c>
      <c r="L130" s="73">
        <f t="shared" si="18"/>
        <v>67542836.811218843</v>
      </c>
      <c r="M130" s="73">
        <f>-SUMIFS(FinParameters!$E$8:$E$39,FinParameters!$B$8:$B$39,Financials!$E130,FinParameters!$C$8:$C$39,Financials!$F130)</f>
        <v>-31483682.914459672</v>
      </c>
      <c r="N130" s="73">
        <f>-SUMIFS(FinParameters!$F$8:$F$39,FinParameters!$B$8:$B$39,Financials!$E130,FinParameters!$C$8:$C$39,Financials!$F130)</f>
        <v>-74000000</v>
      </c>
      <c r="O130" s="73">
        <f>SUMIFS(FinParameters!$G$8:$G$39,FinParameters!$B$8:$B$39,Financials!$E130,FinParameters!$C$8:$C$39,Financials!$F130)</f>
        <v>4785612.3861558922</v>
      </c>
      <c r="P130" s="73">
        <f t="shared" si="19"/>
        <v>31464926.480115253</v>
      </c>
      <c r="Q130" s="73">
        <f>P130/SUMIFS(FinParameters!$H$8:$H$39,FinParameters!$B$8:$B$39,Financials!$E130,FinParameters!$C$8:$C$39,Financials!$F130)</f>
        <v>6225167.9614254925</v>
      </c>
      <c r="R130" s="73">
        <f t="shared" si="31"/>
        <v>-37749461.133728862</v>
      </c>
      <c r="S130" s="12">
        <f t="shared" si="20"/>
        <v>-0.54539904830680463</v>
      </c>
      <c r="T130" s="114">
        <f t="shared" si="21"/>
        <v>-111286351.90908179</v>
      </c>
      <c r="U130" s="73">
        <f>T130/SUMIFS(FinParameters!$L$8:$L$39,FinParameters!$B$8:$B$39,Financials!$E130,FinParameters!$C$8:$C$39,Financials!$F130)</f>
        <v>-73136840.394511402</v>
      </c>
      <c r="V130" s="73">
        <f t="shared" si="22"/>
        <v>-73136840.394511402</v>
      </c>
      <c r="W130" s="12"/>
      <c r="X130" s="73">
        <f t="shared" si="23"/>
        <v>-79821425.428966537</v>
      </c>
      <c r="Y130" s="73">
        <f t="shared" si="24"/>
        <v>-66911672.433085911</v>
      </c>
      <c r="Z130" s="73">
        <f t="shared" si="24"/>
        <v>-110886301.52824026</v>
      </c>
      <c r="AA130" s="12">
        <f t="shared" si="25"/>
        <v>-1.6020701092797218</v>
      </c>
      <c r="AB130" s="114">
        <f t="shared" si="26"/>
        <v>112404161.94595394</v>
      </c>
      <c r="AC130" s="73">
        <f>AB130/SUMIFS(FinParameters!$L$8:$L$39,FinParameters!$B$8:$B$39,Financials!$E130,FinParameters!$C$8:$C$39,Financials!$F130)</f>
        <v>73871459.625492141</v>
      </c>
      <c r="AD130" s="73">
        <f t="shared" si="27"/>
        <v>73871459.625492141</v>
      </c>
      <c r="AE130" s="12"/>
      <c r="AF130" s="73">
        <f t="shared" si="28"/>
        <v>32582736.516987398</v>
      </c>
      <c r="AG130" s="73">
        <f t="shared" si="29"/>
        <v>6959787.1924062297</v>
      </c>
      <c r="AH130" s="73">
        <f t="shared" si="29"/>
        <v>-37014841.902748123</v>
      </c>
      <c r="AI130" s="12">
        <f t="shared" si="30"/>
        <v>-0.53478537019295236</v>
      </c>
      <c r="AL130" s="73">
        <f>Summary!G130</f>
        <v>-11575567.245011112</v>
      </c>
      <c r="AM130" s="73">
        <f>IF(D130&lt;&gt;"avg",SUMIFS(Summary!$H:$H,Summary!$C:$C,Financials!C130,Summary!$E:$E,Financials!E130,Summary!$D:$D,1-Financials!D130,Summary!$F:$F,Financials!F130),SUMIFS(Summary!$H:$H,Summary!$C:$C,Financials!C130,Summary!$E:$E,Financials!E130,Summary!$D:$D,"avg",Summary!$F:$F,Financials!F130))</f>
        <v>13037941.356885795</v>
      </c>
      <c r="AN130" s="20">
        <f>Summary!I130</f>
        <v>4180075.6838940429</v>
      </c>
      <c r="AP130" s="12">
        <f>FinancialWalk!AH10</f>
        <v>0.97</v>
      </c>
    </row>
    <row r="131" spans="1:42" x14ac:dyDescent="0.3">
      <c r="A131">
        <v>127</v>
      </c>
      <c r="B131" t="str">
        <f>Summary!B131</f>
        <v>MarinusPortland</v>
      </c>
      <c r="C131" t="str">
        <f>Summary!C131</f>
        <v>Wind</v>
      </c>
      <c r="D131" s="104">
        <f>Summary!D131</f>
        <v>0</v>
      </c>
      <c r="E131" t="str">
        <f>Summary!E131</f>
        <v>Cal-37</v>
      </c>
      <c r="F131" t="str">
        <f>Summary!F131</f>
        <v>Wartsila dual fuel</v>
      </c>
      <c r="G131" s="73">
        <f>SUMIFS(AL$5:AL131,$F$5:$F131,$F131,$D$5:$D131,$D131)</f>
        <v>-188718738.16530144</v>
      </c>
      <c r="H131" s="73">
        <f>SUMIFS(AM$5:AM131,$F$5:$F131,$F131,$D$5:$D131,$D131)</f>
        <v>239187180.14478371</v>
      </c>
      <c r="I131" s="20">
        <f>SUMIFS(AN$5:AN131,$F$5:$F131,$F131,$D$5:$D131,$D131)</f>
        <v>34980314.748882592</v>
      </c>
      <c r="J131" s="73">
        <f t="shared" si="16"/>
        <v>34980314.748882592</v>
      </c>
      <c r="K131" s="73">
        <f t="shared" si="17"/>
        <v>-153738423.41641885</v>
      </c>
      <c r="L131" s="73">
        <f t="shared" si="18"/>
        <v>85448756.728364855</v>
      </c>
      <c r="M131" s="73">
        <f>-SUMIFS(FinParameters!$E$8:$E$39,FinParameters!$B$8:$B$39,Financials!$E131,FinParameters!$C$8:$C$39,Financials!$F131)</f>
        <v>-31483682.914459672</v>
      </c>
      <c r="N131" s="73">
        <f>-SUMIFS(FinParameters!$F$8:$F$39,FinParameters!$B$8:$B$39,Financials!$E131,FinParameters!$C$8:$C$39,Financials!$F131)</f>
        <v>-74000000</v>
      </c>
      <c r="O131" s="73">
        <f>SUMIFS(FinParameters!$G$8:$G$39,FinParameters!$B$8:$B$39,Financials!$E131,FinParameters!$C$8:$C$39,Financials!$F131)</f>
        <v>4785612.3861558922</v>
      </c>
      <c r="P131" s="73">
        <f t="shared" si="19"/>
        <v>3496631.8344229199</v>
      </c>
      <c r="Q131" s="73">
        <f>P131/SUMIFS(FinParameters!$H$8:$H$39,FinParameters!$B$8:$B$39,Financials!$E131,FinParameters!$C$8:$C$39,Financials!$F131)</f>
        <v>691789.96754707419</v>
      </c>
      <c r="R131" s="73">
        <f t="shared" si="31"/>
        <v>-65717755.779421195</v>
      </c>
      <c r="S131" s="12">
        <f t="shared" si="20"/>
        <v>-0.94948114178325071</v>
      </c>
      <c r="T131" s="114">
        <f t="shared" si="21"/>
        <v>-188718738.16530144</v>
      </c>
      <c r="U131" s="73">
        <f>T131/SUMIFS(FinParameters!$L$8:$L$39,FinParameters!$B$8:$B$39,Financials!$E131,FinParameters!$C$8:$C$39,Financials!$F131)</f>
        <v>-124025021.89958903</v>
      </c>
      <c r="V131" s="73">
        <f t="shared" si="22"/>
        <v>-124025021.89958903</v>
      </c>
      <c r="W131" s="12"/>
      <c r="X131" s="73">
        <f t="shared" si="23"/>
        <v>-185222106.33087853</v>
      </c>
      <c r="Y131" s="73">
        <f t="shared" si="24"/>
        <v>-123333231.93204196</v>
      </c>
      <c r="Z131" s="73">
        <f t="shared" si="24"/>
        <v>-189742777.67901021</v>
      </c>
      <c r="AA131" s="12">
        <f t="shared" si="25"/>
        <v>-2.7413776849057649</v>
      </c>
      <c r="AB131" s="114">
        <f t="shared" si="26"/>
        <v>167431026.10134858</v>
      </c>
      <c r="AC131" s="73">
        <f>AB131/SUMIFS(FinParameters!$L$8:$L$39,FinParameters!$B$8:$B$39,Financials!$E131,FinParameters!$C$8:$C$39,Financials!$F131)</f>
        <v>110034842.75473219</v>
      </c>
      <c r="AD131" s="73">
        <f t="shared" si="27"/>
        <v>110034842.75473219</v>
      </c>
      <c r="AE131" s="12"/>
      <c r="AF131" s="73">
        <f t="shared" si="28"/>
        <v>-17791080.229529947</v>
      </c>
      <c r="AG131" s="73">
        <f t="shared" si="29"/>
        <v>-13298389.177309766</v>
      </c>
      <c r="AH131" s="73">
        <f t="shared" si="29"/>
        <v>-79707934.924278021</v>
      </c>
      <c r="AI131" s="12">
        <f t="shared" si="30"/>
        <v>-1.1516093354604067</v>
      </c>
      <c r="AL131" s="73">
        <f>Summary!G131</f>
        <v>-18031214.549025174</v>
      </c>
      <c r="AM131" s="73">
        <f>IF(D131&lt;&gt;"avg",SUMIFS(Summary!$H:$H,Summary!$C:$C,Financials!C131,Summary!$E:$E,Financials!E131,Summary!$D:$D,1-Financials!D131,Summary!$F:$F,Financials!F131),SUMIFS(Summary!$H:$H,Summary!$C:$C,Financials!C131,Summary!$E:$E,Financials!E131,Summary!$D:$D,"avg",Summary!$F:$F,Financials!F131))</f>
        <v>27292855.414072435</v>
      </c>
      <c r="AN131" s="20">
        <f>Summary!I131</f>
        <v>2248050.1256101155</v>
      </c>
      <c r="AP131" s="12">
        <f>FinancialWalk!AH11</f>
        <v>0.7</v>
      </c>
    </row>
    <row r="132" spans="1:42" x14ac:dyDescent="0.3">
      <c r="A132">
        <v>128</v>
      </c>
      <c r="B132" t="str">
        <f>Summary!B132</f>
        <v>MarinusPortland</v>
      </c>
      <c r="C132" t="str">
        <f>Summary!C132</f>
        <v>Wind</v>
      </c>
      <c r="D132" s="104" t="str">
        <f>Summary!D132</f>
        <v>avg</v>
      </c>
      <c r="E132" t="str">
        <f>Summary!E132</f>
        <v>Cal-37</v>
      </c>
      <c r="F132" t="str">
        <f>Summary!F132</f>
        <v>Wartsila dual fuel</v>
      </c>
      <c r="G132" s="73">
        <f>SUMIFS(AL$5:AL132,$F$5:$F132,$F132,$D$5:$D132,$D132)</f>
        <v>11037424.57916015</v>
      </c>
      <c r="H132" s="73">
        <f>SUMIFS(AM$5:AM132,$F$5:$F132,$F132,$D$5:$D132,$D132)</f>
        <v>-361032.20026680978</v>
      </c>
      <c r="I132" s="20">
        <f>SUMIFS(AN$5:AN132,$F$5:$F132,$F132,$D$5:$D132,$D132)</f>
        <v>99858471.492450267</v>
      </c>
      <c r="J132" s="73">
        <f t="shared" si="16"/>
        <v>99858471.492450267</v>
      </c>
      <c r="K132" s="73">
        <f t="shared" si="17"/>
        <v>110895896.07161042</v>
      </c>
      <c r="L132" s="73">
        <f t="shared" si="18"/>
        <v>110534863.87134361</v>
      </c>
      <c r="M132" s="73">
        <f>-SUMIFS(FinParameters!$E$8:$E$39,FinParameters!$B$8:$B$39,Financials!$E132,FinParameters!$C$8:$C$39,Financials!$F132)</f>
        <v>-31483682.914459672</v>
      </c>
      <c r="N132" s="73">
        <f>-SUMIFS(FinParameters!$F$8:$F$39,FinParameters!$B$8:$B$39,Financials!$E132,FinParameters!$C$8:$C$39,Financials!$F132)</f>
        <v>-74000000</v>
      </c>
      <c r="O132" s="73">
        <f>SUMIFS(FinParameters!$G$8:$G$39,FinParameters!$B$8:$B$39,Financials!$E132,FinParameters!$C$8:$C$39,Financials!$F132)</f>
        <v>4785612.3861558922</v>
      </c>
      <c r="P132" s="73">
        <f t="shared" si="19"/>
        <v>68374788.577990592</v>
      </c>
      <c r="Q132" s="73">
        <f>P132/SUMIFS(FinParameters!$H$8:$H$39,FinParameters!$B$8:$B$39,Financials!$E132,FinParameters!$C$8:$C$39,Financials!$F132)</f>
        <v>13527587.40732928</v>
      </c>
      <c r="R132" s="73">
        <f t="shared" si="31"/>
        <v>-839599.03585351631</v>
      </c>
      <c r="S132" s="12">
        <f t="shared" si="20"/>
        <v>-1.213041196777968E-2</v>
      </c>
      <c r="T132" s="114">
        <f t="shared" si="21"/>
        <v>11037424.57916015</v>
      </c>
      <c r="U132" s="73">
        <f>T132/SUMIFS(FinParameters!$L$8:$L$39,FinParameters!$B$8:$B$39,Financials!$E132,FinParameters!$C$8:$C$39,Financials!$F132)</f>
        <v>7253740.8762575872</v>
      </c>
      <c r="V132" s="73">
        <f t="shared" si="22"/>
        <v>7253740.8762575872</v>
      </c>
      <c r="W132" s="12"/>
      <c r="X132" s="73">
        <f t="shared" si="23"/>
        <v>79412213.157150745</v>
      </c>
      <c r="Y132" s="73">
        <f t="shared" si="24"/>
        <v>20781328.283586867</v>
      </c>
      <c r="Z132" s="73">
        <f t="shared" si="24"/>
        <v>6414141.8404040709</v>
      </c>
      <c r="AA132" s="12">
        <f t="shared" si="25"/>
        <v>9.2670643511135076E-2</v>
      </c>
      <c r="AB132" s="114">
        <f t="shared" si="26"/>
        <v>-361032.20026680978</v>
      </c>
      <c r="AC132" s="73">
        <f>AB132/SUMIFS(FinParameters!$L$8:$L$39,FinParameters!$B$8:$B$39,Financials!$E132,FinParameters!$C$8:$C$39,Financials!$F132)</f>
        <v>-237268.57746010923</v>
      </c>
      <c r="AD132" s="73">
        <f t="shared" si="27"/>
        <v>-237268.57746010923</v>
      </c>
      <c r="AE132" s="12"/>
      <c r="AF132" s="73">
        <f t="shared" si="28"/>
        <v>79051180.956883937</v>
      </c>
      <c r="AG132" s="73">
        <f t="shared" si="29"/>
        <v>20544059.706126757</v>
      </c>
      <c r="AH132" s="73">
        <f t="shared" si="29"/>
        <v>6176873.2629439617</v>
      </c>
      <c r="AI132" s="12">
        <f t="shared" si="30"/>
        <v>8.9242619575073387E-2</v>
      </c>
      <c r="AL132" s="73">
        <f>Summary!G132</f>
        <v>1027600.6476219398</v>
      </c>
      <c r="AM132" s="73">
        <f>IF(D132&lt;&gt;"avg",SUMIFS(Summary!$H:$H,Summary!$C:$C,Financials!C132,Summary!$E:$E,Financials!E132,Summary!$D:$D,1-Financials!D132,Summary!$F:$F,Financials!F132),SUMIFS(Summary!$H:$H,Summary!$C:$C,Financials!C132,Summary!$E:$E,Financials!E132,Summary!$D:$D,"avg",Summary!$F:$F,Financials!F132))</f>
        <v>598851.37603770511</v>
      </c>
      <c r="AN132" s="20">
        <f>Summary!I132</f>
        <v>7569112.4352537012</v>
      </c>
      <c r="AP132" s="12">
        <f>FinancialWalk!AH12</f>
        <v>1</v>
      </c>
    </row>
    <row r="133" spans="1:42" x14ac:dyDescent="0.3">
      <c r="A133">
        <v>129</v>
      </c>
      <c r="B133" t="str">
        <f>Summary!B133</f>
        <v>MarinusPortland</v>
      </c>
      <c r="C133" t="str">
        <f>Summary!C133</f>
        <v>Wind</v>
      </c>
      <c r="D133" s="104">
        <f>Summary!D133</f>
        <v>1</v>
      </c>
      <c r="E133" t="str">
        <f>Summary!E133</f>
        <v>Cal-22</v>
      </c>
      <c r="F133" t="str">
        <f>Summary!F133</f>
        <v>2 Hour Battery</v>
      </c>
      <c r="G133" s="73">
        <f>SUMIFS(AL$5:AL133,$F$5:$F133,$F133,$D$5:$D133,$D133)</f>
        <v>42921549.349923119</v>
      </c>
      <c r="H133" s="73">
        <f>SUMIFS(AM$5:AM133,$F$5:$F133,$F133,$D$5:$D133,$D133)</f>
        <v>-9214907.5181044675</v>
      </c>
      <c r="I133" s="20">
        <f>SUMIFS(AN$5:AN133,$F$5:$F133,$F133,$D$5:$D133,$D133)</f>
        <v>8373890.6804175023</v>
      </c>
      <c r="J133" s="73">
        <f t="shared" si="16"/>
        <v>8373890.6804175023</v>
      </c>
      <c r="K133" s="73">
        <f t="shared" si="17"/>
        <v>51295440.030340619</v>
      </c>
      <c r="L133" s="73">
        <f t="shared" si="18"/>
        <v>42080532.512236156</v>
      </c>
      <c r="M133" s="73">
        <f>-SUMIFS(FinParameters!$E$8:$E$39,FinParameters!$B$8:$B$39,Financials!$E133,FinParameters!$C$8:$C$39,Financials!$F133)</f>
        <v>-2000000</v>
      </c>
      <c r="N133" s="73">
        <f>-SUMIFS(FinParameters!$F$8:$F$39,FinParameters!$B$8:$B$39,Financials!$E133,FinParameters!$C$8:$C$39,Financials!$F133)</f>
        <v>-73600000</v>
      </c>
      <c r="O133" s="73">
        <f>SUMIFS(FinParameters!$G$8:$G$39,FinParameters!$B$8:$B$39,Financials!$E133,FinParameters!$C$8:$C$39,Financials!$F133)</f>
        <v>50928800.422043659</v>
      </c>
      <c r="P133" s="73">
        <f t="shared" si="19"/>
        <v>6373890.6804175023</v>
      </c>
      <c r="Q133" s="73">
        <f>P133/SUMIFS(FinParameters!$H$8:$H$39,FinParameters!$B$8:$B$39,Financials!$E133,FinParameters!$C$8:$C$39,Financials!$F133)</f>
        <v>5173192.6632720567</v>
      </c>
      <c r="R133" s="73">
        <f t="shared" si="31"/>
        <v>-16297308.897538833</v>
      </c>
      <c r="S133" s="12">
        <f t="shared" si="20"/>
        <v>-0.71885516430215857</v>
      </c>
      <c r="T133" s="114">
        <f t="shared" si="21"/>
        <v>42921549.349923119</v>
      </c>
      <c r="U133" s="73">
        <f>T133/SUMIFS(FinParameters!$L$8:$L$39,FinParameters!$B$8:$B$39,Financials!$E133,FinParameters!$C$8:$C$39,Financials!$F133)</f>
        <v>40853348.578154072</v>
      </c>
      <c r="V133" s="73">
        <f t="shared" si="22"/>
        <v>40853348.578154072</v>
      </c>
      <c r="W133" s="12"/>
      <c r="X133" s="73">
        <f t="shared" si="23"/>
        <v>49295440.030340619</v>
      </c>
      <c r="Y133" s="73">
        <f t="shared" si="24"/>
        <v>46026541.241426125</v>
      </c>
      <c r="Z133" s="73">
        <f t="shared" si="24"/>
        <v>24556039.680615239</v>
      </c>
      <c r="AA133" s="12">
        <f t="shared" si="25"/>
        <v>1.0831380843425491</v>
      </c>
      <c r="AB133" s="114">
        <f t="shared" si="26"/>
        <v>-9214907.5181044675</v>
      </c>
      <c r="AC133" s="73">
        <f>AB133/SUMIFS(FinParameters!$L$8:$L$39,FinParameters!$B$8:$B$39,Financials!$E133,FinParameters!$C$8:$C$39,Financials!$F133)</f>
        <v>-8770881.6353165675</v>
      </c>
      <c r="AD133" s="73">
        <f t="shared" si="27"/>
        <v>-8770881.6353165675</v>
      </c>
      <c r="AE133" s="12"/>
      <c r="AF133" s="73">
        <f t="shared" si="28"/>
        <v>40080532.512236148</v>
      </c>
      <c r="AG133" s="73">
        <f t="shared" si="29"/>
        <v>37255659.60610956</v>
      </c>
      <c r="AH133" s="73">
        <f t="shared" si="29"/>
        <v>15785158.045298671</v>
      </c>
      <c r="AI133" s="12">
        <f t="shared" si="30"/>
        <v>0.69626479141610553</v>
      </c>
      <c r="AL133" s="73">
        <f>Summary!G133</f>
        <v>42921549.349923119</v>
      </c>
      <c r="AM133" s="73">
        <f>IF(D133&lt;&gt;"avg",SUMIFS(Summary!$H:$H,Summary!$C:$C,Financials!C133,Summary!$E:$E,Financials!E133,Summary!$D:$D,1-Financials!D133,Summary!$F:$F,Financials!F133),SUMIFS(Summary!$H:$H,Summary!$C:$C,Financials!C133,Summary!$E:$E,Financials!E133,Summary!$D:$D,"avg",Summary!$F:$F,Financials!F133))</f>
        <v>-9214907.5181044675</v>
      </c>
      <c r="AN133" s="20">
        <f>Summary!I133</f>
        <v>8373890.6804175023</v>
      </c>
      <c r="AP133" s="12">
        <v>1</v>
      </c>
    </row>
    <row r="134" spans="1:42" x14ac:dyDescent="0.3">
      <c r="A134">
        <v>130</v>
      </c>
      <c r="B134" t="str">
        <f>Summary!B134</f>
        <v>MarinusPortland</v>
      </c>
      <c r="C134" t="str">
        <f>Summary!C134</f>
        <v>Wind</v>
      </c>
      <c r="D134" s="104">
        <f>Summary!D134</f>
        <v>0.95</v>
      </c>
      <c r="E134" t="str">
        <f>Summary!E134</f>
        <v>Cal-22</v>
      </c>
      <c r="F134" t="str">
        <f>Summary!F134</f>
        <v>2 Hour Battery</v>
      </c>
      <c r="G134" s="73">
        <f>SUMIFS(AL$5:AL134,$F$5:$F134,$F134,$D$5:$D134,$D134)</f>
        <v>30217301.135695796</v>
      </c>
      <c r="H134" s="73">
        <f>SUMIFS(AM$5:AM134,$F$5:$F134,$F134,$D$5:$D134,$D134)</f>
        <v>-3924983.1195126427</v>
      </c>
      <c r="I134" s="20">
        <f>SUMIFS(AN$5:AN134,$F$5:$F134,$F134,$D$5:$D134,$D134)</f>
        <v>5483134.7462438159</v>
      </c>
      <c r="J134" s="73">
        <f t="shared" ref="J134:J197" si="32">I134</f>
        <v>5483134.7462438159</v>
      </c>
      <c r="K134" s="73">
        <f t="shared" ref="K134:K197" si="33">SUM(G134,I134)</f>
        <v>35700435.881939612</v>
      </c>
      <c r="L134" s="73">
        <f t="shared" ref="L134:L197" si="34">SUM(G134:I134)</f>
        <v>31775452.762426969</v>
      </c>
      <c r="M134" s="73">
        <f>-SUMIFS(FinParameters!$E$8:$E$39,FinParameters!$B$8:$B$39,Financials!$E134,FinParameters!$C$8:$C$39,Financials!$F134)</f>
        <v>-2000000</v>
      </c>
      <c r="N134" s="73">
        <f>-SUMIFS(FinParameters!$F$8:$F$39,FinParameters!$B$8:$B$39,Financials!$E134,FinParameters!$C$8:$C$39,Financials!$F134)</f>
        <v>-73600000</v>
      </c>
      <c r="O134" s="73">
        <f>SUMIFS(FinParameters!$G$8:$G$39,FinParameters!$B$8:$B$39,Financials!$E134,FinParameters!$C$8:$C$39,Financials!$F134)</f>
        <v>50928800.422043659</v>
      </c>
      <c r="P134" s="73">
        <f t="shared" ref="P134:P197" si="35">SUM(J134,M134)</f>
        <v>3483134.7462438159</v>
      </c>
      <c r="Q134" s="73">
        <f>P134/SUMIFS(FinParameters!$H$8:$H$39,FinParameters!$B$8:$B$39,Financials!$E134,FinParameters!$C$8:$C$39,Financials!$F134)</f>
        <v>2826990.2980633192</v>
      </c>
      <c r="R134" s="73">
        <f t="shared" si="31"/>
        <v>-19188064.831712522</v>
      </c>
      <c r="S134" s="12">
        <f t="shared" ref="S134:S197" si="36">-R134/SUM($N134,$O134)</f>
        <v>-0.84636301514320655</v>
      </c>
      <c r="T134" s="114">
        <f t="shared" ref="T134:T197" si="37">G134</f>
        <v>30217301.135695796</v>
      </c>
      <c r="U134" s="73">
        <f>T134/SUMIFS(FinParameters!$L$8:$L$39,FinParameters!$B$8:$B$39,Financials!$E134,FinParameters!$C$8:$C$39,Financials!$F134)</f>
        <v>28761262.235046566</v>
      </c>
      <c r="V134" s="73">
        <f t="shared" ref="V134:V197" si="38">U134</f>
        <v>28761262.235046566</v>
      </c>
      <c r="W134" s="12"/>
      <c r="X134" s="73">
        <f t="shared" ref="X134:X197" si="39">SUM(K134,M134)</f>
        <v>33700435.881939612</v>
      </c>
      <c r="Y134" s="73">
        <f t="shared" ref="Y134:Z197" si="40">SUM(Q134,U134)</f>
        <v>31588252.533109885</v>
      </c>
      <c r="Z134" s="73">
        <f t="shared" si="40"/>
        <v>9573197.4033340439</v>
      </c>
      <c r="AA134" s="12">
        <f t="shared" ref="AA134:AA197" si="41">-Z134/SUM($N134,$O134)</f>
        <v>0.42226249962715934</v>
      </c>
      <c r="AB134" s="114">
        <f t="shared" ref="AB134:AB197" si="42">H134*AP134</f>
        <v>-3924983.1195126427</v>
      </c>
      <c r="AC134" s="73">
        <f>AB134/SUMIFS(FinParameters!$L$8:$L$39,FinParameters!$B$8:$B$39,Financials!$E134,FinParameters!$C$8:$C$39,Financials!$F134)</f>
        <v>-3735855.4379656329</v>
      </c>
      <c r="AD134" s="73">
        <f t="shared" ref="AD134:AD197" si="43">AC134</f>
        <v>-3735855.4379656329</v>
      </c>
      <c r="AE134" s="12"/>
      <c r="AF134" s="73">
        <f t="shared" ref="AF134:AF197" si="44">X134+AB134</f>
        <v>29775452.762426969</v>
      </c>
      <c r="AG134" s="73">
        <f t="shared" ref="AG134:AH197" si="45">Y134+AC134</f>
        <v>27852397.095144253</v>
      </c>
      <c r="AH134" s="73">
        <f t="shared" si="45"/>
        <v>5837341.9653684106</v>
      </c>
      <c r="AI134" s="12">
        <f t="shared" ref="AI134:AI197" si="46">-AH134/SUM($N134,$O134)</f>
        <v>0.25747830172357417</v>
      </c>
      <c r="AL134" s="73">
        <f>Summary!G134</f>
        <v>30217301.135695796</v>
      </c>
      <c r="AM134" s="73">
        <f>IF(D134&lt;&gt;"avg",SUMIFS(Summary!$H:$H,Summary!$C:$C,Financials!C134,Summary!$E:$E,Financials!E134,Summary!$D:$D,1-Financials!D134,Summary!$F:$F,Financials!F134),SUMIFS(Summary!$H:$H,Summary!$C:$C,Financials!C134,Summary!$E:$E,Financials!E134,Summary!$D:$D,"avg",Summary!$F:$F,Financials!F134))</f>
        <v>-3924983.1195126427</v>
      </c>
      <c r="AN134" s="20">
        <f>Summary!I134</f>
        <v>5483134.7462438159</v>
      </c>
      <c r="AP134" s="12">
        <v>1</v>
      </c>
    </row>
    <row r="135" spans="1:42" x14ac:dyDescent="0.3">
      <c r="A135">
        <v>131</v>
      </c>
      <c r="B135" t="str">
        <f>Summary!B135</f>
        <v>MarinusPortland</v>
      </c>
      <c r="C135" t="str">
        <f>Summary!C135</f>
        <v>Wind</v>
      </c>
      <c r="D135" s="104">
        <f>Summary!D135</f>
        <v>0.75</v>
      </c>
      <c r="E135" t="str">
        <f>Summary!E135</f>
        <v>Cal-22</v>
      </c>
      <c r="F135" t="str">
        <f>Summary!F135</f>
        <v>2 Hour Battery</v>
      </c>
      <c r="G135" s="73">
        <f>SUMIFS(AL$5:AL135,$F$5:$F135,$F135,$D$5:$D135,$D135)</f>
        <v>23619270.426674854</v>
      </c>
      <c r="H135" s="73">
        <f>SUMIFS(AM$5:AM135,$F$5:$F135,$F135,$D$5:$D135,$D135)</f>
        <v>-1590820.0822472016</v>
      </c>
      <c r="I135" s="20">
        <f>SUMIFS(AN$5:AN135,$F$5:$F135,$F135,$D$5:$D135,$D135)</f>
        <v>4359555.4670132948</v>
      </c>
      <c r="J135" s="73">
        <f t="shared" si="32"/>
        <v>4359555.4670132948</v>
      </c>
      <c r="K135" s="73">
        <f t="shared" si="33"/>
        <v>27978825.89368815</v>
      </c>
      <c r="L135" s="73">
        <f t="shared" si="34"/>
        <v>26388005.811440948</v>
      </c>
      <c r="M135" s="73">
        <f>-SUMIFS(FinParameters!$E$8:$E$39,FinParameters!$B$8:$B$39,Financials!$E135,FinParameters!$C$8:$C$39,Financials!$F135)</f>
        <v>-2000000</v>
      </c>
      <c r="N135" s="73">
        <f>-SUMIFS(FinParameters!$F$8:$F$39,FinParameters!$B$8:$B$39,Financials!$E135,FinParameters!$C$8:$C$39,Financials!$F135)</f>
        <v>-73600000</v>
      </c>
      <c r="O135" s="73">
        <f>SUMIFS(FinParameters!$G$8:$G$39,FinParameters!$B$8:$B$39,Financials!$E135,FinParameters!$C$8:$C$39,Financials!$F135)</f>
        <v>50928800.422043659</v>
      </c>
      <c r="P135" s="73">
        <f t="shared" si="35"/>
        <v>2359555.4670132948</v>
      </c>
      <c r="Q135" s="73">
        <f>P135/SUMIFS(FinParameters!$H$8:$H$39,FinParameters!$B$8:$B$39,Financials!$E135,FinParameters!$C$8:$C$39,Financials!$F135)</f>
        <v>1915068.1495116423</v>
      </c>
      <c r="R135" s="73">
        <f t="shared" ref="R135:R198" si="47">SUM(P135,N135:O135)</f>
        <v>-20311644.110943042</v>
      </c>
      <c r="S135" s="12">
        <f t="shared" si="36"/>
        <v>-0.89592277819707689</v>
      </c>
      <c r="T135" s="114">
        <f t="shared" si="37"/>
        <v>23619270.426674854</v>
      </c>
      <c r="U135" s="73">
        <f>T135/SUMIFS(FinParameters!$L$8:$L$39,FinParameters!$B$8:$B$39,Financials!$E135,FinParameters!$C$8:$C$39,Financials!$F135)</f>
        <v>22481161.619678624</v>
      </c>
      <c r="V135" s="73">
        <f t="shared" si="38"/>
        <v>22481161.619678624</v>
      </c>
      <c r="W135" s="12"/>
      <c r="X135" s="73">
        <f t="shared" si="39"/>
        <v>25978825.89368815</v>
      </c>
      <c r="Y135" s="73">
        <f t="shared" si="40"/>
        <v>24396229.769190267</v>
      </c>
      <c r="Z135" s="73">
        <f t="shared" si="40"/>
        <v>2169517.5087355822</v>
      </c>
      <c r="AA135" s="12">
        <f t="shared" si="41"/>
        <v>9.569487054602295E-2</v>
      </c>
      <c r="AB135" s="114">
        <f t="shared" si="42"/>
        <v>-1590820.0822472016</v>
      </c>
      <c r="AC135" s="73">
        <f>AB135/SUMIFS(FinParameters!$L$8:$L$39,FinParameters!$B$8:$B$39,Financials!$E135,FinParameters!$C$8:$C$39,Financials!$F135)</f>
        <v>-1514165.4560354091</v>
      </c>
      <c r="AD135" s="73">
        <f t="shared" si="43"/>
        <v>-1514165.4560354091</v>
      </c>
      <c r="AE135" s="12"/>
      <c r="AF135" s="73">
        <f t="shared" si="44"/>
        <v>24388005.811440948</v>
      </c>
      <c r="AG135" s="73">
        <f t="shared" si="45"/>
        <v>22882064.313154858</v>
      </c>
      <c r="AH135" s="73">
        <f t="shared" si="45"/>
        <v>655352.05270017311</v>
      </c>
      <c r="AI135" s="12">
        <f t="shared" si="46"/>
        <v>2.8906809736586898E-2</v>
      </c>
      <c r="AL135" s="73">
        <f>Summary!G135</f>
        <v>23619270.426674854</v>
      </c>
      <c r="AM135" s="73">
        <f>IF(D135&lt;&gt;"avg",SUMIFS(Summary!$H:$H,Summary!$C:$C,Financials!C135,Summary!$E:$E,Financials!E135,Summary!$D:$D,1-Financials!D135,Summary!$F:$F,Financials!F135),SUMIFS(Summary!$H:$H,Summary!$C:$C,Financials!C135,Summary!$E:$E,Financials!E135,Summary!$D:$D,"avg",Summary!$F:$F,Financials!F135))</f>
        <v>-1590820.0822472016</v>
      </c>
      <c r="AN135" s="20">
        <f>Summary!I135</f>
        <v>4359555.4670132948</v>
      </c>
      <c r="AP135" s="12">
        <v>1</v>
      </c>
    </row>
    <row r="136" spans="1:42" x14ac:dyDescent="0.3">
      <c r="A136">
        <v>132</v>
      </c>
      <c r="B136" t="str">
        <f>Summary!B136</f>
        <v>MarinusPortland</v>
      </c>
      <c r="C136" t="str">
        <f>Summary!C136</f>
        <v>Wind</v>
      </c>
      <c r="D136" s="104">
        <f>Summary!D136</f>
        <v>0.5</v>
      </c>
      <c r="E136" t="str">
        <f>Summary!E136</f>
        <v>Cal-22</v>
      </c>
      <c r="F136" t="str">
        <f>Summary!F136</f>
        <v>2 Hour Battery</v>
      </c>
      <c r="G136" s="73">
        <f>SUMIFS(AL$5:AL136,$F$5:$F136,$F136,$D$5:$D136,$D136)</f>
        <v>17933129.052012369</v>
      </c>
      <c r="H136" s="73">
        <f>SUMIFS(AM$5:AM136,$F$5:$F136,$F136,$D$5:$D136,$D136)</f>
        <v>92.540903407009267</v>
      </c>
      <c r="I136" s="20">
        <f>SUMIFS(AN$5:AN136,$F$5:$F136,$F136,$D$5:$D136,$D136)</f>
        <v>3649025.2600621753</v>
      </c>
      <c r="J136" s="73">
        <f t="shared" si="32"/>
        <v>3649025.2600621753</v>
      </c>
      <c r="K136" s="73">
        <f t="shared" si="33"/>
        <v>21582154.312074546</v>
      </c>
      <c r="L136" s="73">
        <f t="shared" si="34"/>
        <v>21582246.852977954</v>
      </c>
      <c r="M136" s="73">
        <f>-SUMIFS(FinParameters!$E$8:$E$39,FinParameters!$B$8:$B$39,Financials!$E136,FinParameters!$C$8:$C$39,Financials!$F136)</f>
        <v>-2000000</v>
      </c>
      <c r="N136" s="73">
        <f>-SUMIFS(FinParameters!$F$8:$F$39,FinParameters!$B$8:$B$39,Financials!$E136,FinParameters!$C$8:$C$39,Financials!$F136)</f>
        <v>-73600000</v>
      </c>
      <c r="O136" s="73">
        <f>SUMIFS(FinParameters!$G$8:$G$39,FinParameters!$B$8:$B$39,Financials!$E136,FinParameters!$C$8:$C$39,Financials!$F136)</f>
        <v>50928800.422043659</v>
      </c>
      <c r="P136" s="73">
        <f t="shared" si="35"/>
        <v>1649025.2600621753</v>
      </c>
      <c r="Q136" s="73">
        <f>P136/SUMIFS(FinParameters!$H$8:$H$39,FinParameters!$B$8:$B$39,Financials!$E136,FinParameters!$C$8:$C$39,Financials!$F136)</f>
        <v>1338385.894052573</v>
      </c>
      <c r="R136" s="73">
        <f t="shared" si="47"/>
        <v>-21022174.317894168</v>
      </c>
      <c r="S136" s="12">
        <f t="shared" si="36"/>
        <v>-0.92726343154485957</v>
      </c>
      <c r="T136" s="114">
        <f t="shared" si="37"/>
        <v>17933129.052012369</v>
      </c>
      <c r="U136" s="73">
        <f>T136/SUMIFS(FinParameters!$L$8:$L$39,FinParameters!$B$8:$B$39,Financials!$E136,FinParameters!$C$8:$C$39,Financials!$F136)</f>
        <v>17069010.40048768</v>
      </c>
      <c r="V136" s="73">
        <f t="shared" si="38"/>
        <v>17069010.40048768</v>
      </c>
      <c r="W136" s="12"/>
      <c r="X136" s="73">
        <f t="shared" si="39"/>
        <v>19582154.312074546</v>
      </c>
      <c r="Y136" s="73">
        <f t="shared" si="40"/>
        <v>18407396.294540253</v>
      </c>
      <c r="Z136" s="73">
        <f t="shared" si="40"/>
        <v>-3953163.9174064882</v>
      </c>
      <c r="AA136" s="12">
        <f t="shared" si="41"/>
        <v>-0.17436941983653254</v>
      </c>
      <c r="AB136" s="114">
        <f t="shared" si="42"/>
        <v>92.540903407009267</v>
      </c>
      <c r="AC136" s="73">
        <f>AB136/SUMIFS(FinParameters!$L$8:$L$39,FinParameters!$B$8:$B$39,Financials!$E136,FinParameters!$C$8:$C$39,Financials!$F136)</f>
        <v>88.081764099473432</v>
      </c>
      <c r="AD136" s="73">
        <f t="shared" si="43"/>
        <v>88.081764099473432</v>
      </c>
      <c r="AE136" s="12"/>
      <c r="AF136" s="73">
        <f t="shared" si="44"/>
        <v>19582246.852977954</v>
      </c>
      <c r="AG136" s="73">
        <f t="shared" si="45"/>
        <v>18407484.376304351</v>
      </c>
      <c r="AH136" s="73">
        <f t="shared" si="45"/>
        <v>-3953075.8356423886</v>
      </c>
      <c r="AI136" s="12">
        <f t="shared" si="46"/>
        <v>-0.17436553465331595</v>
      </c>
      <c r="AL136" s="73">
        <f>Summary!G136</f>
        <v>17933129.052012369</v>
      </c>
      <c r="AM136" s="73">
        <f>IF(D136&lt;&gt;"avg",SUMIFS(Summary!$H:$H,Summary!$C:$C,Financials!C136,Summary!$E:$E,Financials!E136,Summary!$D:$D,1-Financials!D136,Summary!$F:$F,Financials!F136),SUMIFS(Summary!$H:$H,Summary!$C:$C,Financials!C136,Summary!$E:$E,Financials!E136,Summary!$D:$D,"avg",Summary!$F:$F,Financials!F136))</f>
        <v>92.540903407009267</v>
      </c>
      <c r="AN136" s="20">
        <f>Summary!I136</f>
        <v>3649025.2600621753</v>
      </c>
      <c r="AP136" s="12">
        <v>1</v>
      </c>
    </row>
    <row r="137" spans="1:42" x14ac:dyDescent="0.3">
      <c r="A137">
        <v>133</v>
      </c>
      <c r="B137" t="str">
        <f>Summary!B137</f>
        <v>MarinusPortland</v>
      </c>
      <c r="C137" t="str">
        <f>Summary!C137</f>
        <v>Wind</v>
      </c>
      <c r="D137" s="104">
        <f>Summary!D137</f>
        <v>0.25</v>
      </c>
      <c r="E137" t="str">
        <f>Summary!E137</f>
        <v>Cal-22</v>
      </c>
      <c r="F137" t="str">
        <f>Summary!F137</f>
        <v>2 Hour Battery</v>
      </c>
      <c r="G137" s="73">
        <f>SUMIFS(AL$5:AL137,$F$5:$F137,$F137,$D$5:$D137,$D137)</f>
        <v>13976925.106400451</v>
      </c>
      <c r="H137" s="73">
        <f>SUMIFS(AM$5:AM137,$F$5:$F137,$F137,$D$5:$D137,$D137)</f>
        <v>1411985.7959917195</v>
      </c>
      <c r="I137" s="20">
        <f>SUMIFS(AN$5:AN137,$F$5:$F137,$F137,$D$5:$D137,$D137)</f>
        <v>3056713.6529262657</v>
      </c>
      <c r="J137" s="73">
        <f t="shared" si="32"/>
        <v>3056713.6529262657</v>
      </c>
      <c r="K137" s="73">
        <f t="shared" si="33"/>
        <v>17033638.759326715</v>
      </c>
      <c r="L137" s="73">
        <f t="shared" si="34"/>
        <v>18445624.555318434</v>
      </c>
      <c r="M137" s="73">
        <f>-SUMIFS(FinParameters!$E$8:$E$39,FinParameters!$B$8:$B$39,Financials!$E137,FinParameters!$C$8:$C$39,Financials!$F137)</f>
        <v>-2000000</v>
      </c>
      <c r="N137" s="73">
        <f>-SUMIFS(FinParameters!$F$8:$F$39,FinParameters!$B$8:$B$39,Financials!$E137,FinParameters!$C$8:$C$39,Financials!$F137)</f>
        <v>-73600000</v>
      </c>
      <c r="O137" s="73">
        <f>SUMIFS(FinParameters!$G$8:$G$39,FinParameters!$B$8:$B$39,Financials!$E137,FinParameters!$C$8:$C$39,Financials!$F137)</f>
        <v>50928800.422043659</v>
      </c>
      <c r="P137" s="73">
        <f t="shared" si="35"/>
        <v>1056713.6529262657</v>
      </c>
      <c r="Q137" s="73">
        <f>P137/SUMIFS(FinParameters!$H$8:$H$39,FinParameters!$B$8:$B$39,Financials!$E137,FinParameters!$C$8:$C$39,Financials!$F137)</f>
        <v>857652.50623022928</v>
      </c>
      <c r="R137" s="73">
        <f t="shared" si="47"/>
        <v>-21614485.925030075</v>
      </c>
      <c r="S137" s="12">
        <f t="shared" si="36"/>
        <v>-0.95338960122984717</v>
      </c>
      <c r="T137" s="114">
        <f t="shared" si="37"/>
        <v>13976925.106400451</v>
      </c>
      <c r="U137" s="73">
        <f>T137/SUMIFS(FinParameters!$L$8:$L$39,FinParameters!$B$8:$B$39,Financials!$E137,FinParameters!$C$8:$C$39,Financials!$F137)</f>
        <v>13303438.530779729</v>
      </c>
      <c r="V137" s="73">
        <f t="shared" si="38"/>
        <v>13303438.530779729</v>
      </c>
      <c r="W137" s="12"/>
      <c r="X137" s="73">
        <f t="shared" si="39"/>
        <v>15033638.759326715</v>
      </c>
      <c r="Y137" s="73">
        <f t="shared" si="40"/>
        <v>14161091.037009958</v>
      </c>
      <c r="Z137" s="73">
        <f t="shared" si="40"/>
        <v>-8311047.3942503463</v>
      </c>
      <c r="AA137" s="12">
        <f t="shared" si="41"/>
        <v>-0.36659054434558208</v>
      </c>
      <c r="AB137" s="114">
        <f t="shared" si="42"/>
        <v>1411985.7959917195</v>
      </c>
      <c r="AC137" s="73">
        <f>AB137/SUMIFS(FinParameters!$L$8:$L$39,FinParameters!$B$8:$B$39,Financials!$E137,FinParameters!$C$8:$C$39,Financials!$F137)</f>
        <v>1343948.4078445872</v>
      </c>
      <c r="AD137" s="73">
        <f t="shared" si="43"/>
        <v>1343948.4078445872</v>
      </c>
      <c r="AE137" s="12"/>
      <c r="AF137" s="73">
        <f t="shared" si="44"/>
        <v>16445624.555318434</v>
      </c>
      <c r="AG137" s="73">
        <f t="shared" si="45"/>
        <v>15505039.444854546</v>
      </c>
      <c r="AH137" s="73">
        <f t="shared" si="45"/>
        <v>-6967098.9864057591</v>
      </c>
      <c r="AI137" s="12">
        <f t="shared" si="46"/>
        <v>-0.30731055771658455</v>
      </c>
      <c r="AL137" s="73">
        <f>Summary!G137</f>
        <v>13976925.106400451</v>
      </c>
      <c r="AM137" s="73">
        <f>IF(D137&lt;&gt;"avg",SUMIFS(Summary!$H:$H,Summary!$C:$C,Financials!C137,Summary!$E:$E,Financials!E137,Summary!$D:$D,1-Financials!D137,Summary!$F:$F,Financials!F137),SUMIFS(Summary!$H:$H,Summary!$C:$C,Financials!C137,Summary!$E:$E,Financials!E137,Summary!$D:$D,"avg",Summary!$F:$F,Financials!F137))</f>
        <v>1411985.7959917195</v>
      </c>
      <c r="AN137" s="20">
        <f>Summary!I137</f>
        <v>3056713.6529262657</v>
      </c>
      <c r="AP137" s="12">
        <v>1</v>
      </c>
    </row>
    <row r="138" spans="1:42" x14ac:dyDescent="0.3">
      <c r="A138">
        <v>134</v>
      </c>
      <c r="B138" t="str">
        <f>Summary!B138</f>
        <v>MarinusPortland</v>
      </c>
      <c r="C138" t="str">
        <f>Summary!C138</f>
        <v>Wind</v>
      </c>
      <c r="D138" s="104">
        <f>Summary!D138</f>
        <v>0.05</v>
      </c>
      <c r="E138" t="str">
        <f>Summary!E138</f>
        <v>Cal-22</v>
      </c>
      <c r="F138" t="str">
        <f>Summary!F138</f>
        <v>2 Hour Battery</v>
      </c>
      <c r="G138" s="73">
        <f>SUMIFS(AL$5:AL138,$F$5:$F138,$F138,$D$5:$D138,$D138)</f>
        <v>10329686.279967198</v>
      </c>
      <c r="H138" s="73">
        <f>SUMIFS(AM$5:AM138,$F$5:$F138,$F138,$D$5:$D138,$D138)</f>
        <v>3305517.361466316</v>
      </c>
      <c r="I138" s="20">
        <f>SUMIFS(AN$5:AN138,$F$5:$F138,$F138,$D$5:$D138,$D138)</f>
        <v>2360532.6534398715</v>
      </c>
      <c r="J138" s="73">
        <f t="shared" si="32"/>
        <v>2360532.6534398715</v>
      </c>
      <c r="K138" s="73">
        <f t="shared" si="33"/>
        <v>12690218.93340707</v>
      </c>
      <c r="L138" s="73">
        <f t="shared" si="34"/>
        <v>15995736.294873387</v>
      </c>
      <c r="M138" s="73">
        <f>-SUMIFS(FinParameters!$E$8:$E$39,FinParameters!$B$8:$B$39,Financials!$E138,FinParameters!$C$8:$C$39,Financials!$F138)</f>
        <v>-2000000</v>
      </c>
      <c r="N138" s="73">
        <f>-SUMIFS(FinParameters!$F$8:$F$39,FinParameters!$B$8:$B$39,Financials!$E138,FinParameters!$C$8:$C$39,Financials!$F138)</f>
        <v>-73600000</v>
      </c>
      <c r="O138" s="73">
        <f>SUMIFS(FinParameters!$G$8:$G$39,FinParameters!$B$8:$B$39,Financials!$E138,FinParameters!$C$8:$C$39,Financials!$F138)</f>
        <v>50928800.422043659</v>
      </c>
      <c r="P138" s="73">
        <f t="shared" si="35"/>
        <v>360532.6534398715</v>
      </c>
      <c r="Q138" s="73">
        <f>P138/SUMIFS(FinParameters!$H$8:$H$39,FinParameters!$B$8:$B$39,Financials!$E138,FinParameters!$C$8:$C$39,Financials!$F138)</f>
        <v>292616.38944880402</v>
      </c>
      <c r="R138" s="73">
        <f t="shared" si="47"/>
        <v>-22310666.924516477</v>
      </c>
      <c r="S138" s="12">
        <f t="shared" si="36"/>
        <v>-0.98409732788068183</v>
      </c>
      <c r="T138" s="114">
        <f t="shared" si="37"/>
        <v>10329686.279967198</v>
      </c>
      <c r="U138" s="73">
        <f>T138/SUMIFS(FinParameters!$L$8:$L$39,FinParameters!$B$8:$B$39,Financials!$E138,FinParameters!$C$8:$C$39,Financials!$F138)</f>
        <v>9831944.1094274353</v>
      </c>
      <c r="V138" s="73">
        <f t="shared" si="38"/>
        <v>9831944.1094274353</v>
      </c>
      <c r="W138" s="12"/>
      <c r="X138" s="73">
        <f t="shared" si="39"/>
        <v>10690218.93340707</v>
      </c>
      <c r="Y138" s="73">
        <f t="shared" si="40"/>
        <v>10124560.49887624</v>
      </c>
      <c r="Z138" s="73">
        <f t="shared" si="40"/>
        <v>-12478722.815089041</v>
      </c>
      <c r="AA138" s="12">
        <f t="shared" si="41"/>
        <v>-0.55042181478664909</v>
      </c>
      <c r="AB138" s="114">
        <f t="shared" si="42"/>
        <v>3305517.361466316</v>
      </c>
      <c r="AC138" s="73">
        <f>AB138/SUMIFS(FinParameters!$L$8:$L$39,FinParameters!$B$8:$B$39,Financials!$E138,FinParameters!$C$8:$C$39,Financials!$F138)</f>
        <v>3146239.0115086888</v>
      </c>
      <c r="AD138" s="73">
        <f t="shared" si="43"/>
        <v>3146239.0115086888</v>
      </c>
      <c r="AE138" s="12"/>
      <c r="AF138" s="73">
        <f t="shared" si="44"/>
        <v>13995736.294873387</v>
      </c>
      <c r="AG138" s="73">
        <f t="shared" si="45"/>
        <v>13270799.510384928</v>
      </c>
      <c r="AH138" s="73">
        <f t="shared" si="45"/>
        <v>-9332483.803580353</v>
      </c>
      <c r="AI138" s="12">
        <f t="shared" si="46"/>
        <v>-0.41164490531213499</v>
      </c>
      <c r="AL138" s="73">
        <f>Summary!G138</f>
        <v>10329686.279967198</v>
      </c>
      <c r="AM138" s="73">
        <f>IF(D138&lt;&gt;"avg",SUMIFS(Summary!$H:$H,Summary!$C:$C,Financials!C138,Summary!$E:$E,Financials!E138,Summary!$D:$D,1-Financials!D138,Summary!$F:$F,Financials!F138),SUMIFS(Summary!$H:$H,Summary!$C:$C,Financials!C138,Summary!$E:$E,Financials!E138,Summary!$D:$D,"avg",Summary!$F:$F,Financials!F138))</f>
        <v>3305517.361466316</v>
      </c>
      <c r="AN138" s="20">
        <f>Summary!I138</f>
        <v>2360532.6534398715</v>
      </c>
      <c r="AP138" s="12">
        <v>1</v>
      </c>
    </row>
    <row r="139" spans="1:42" x14ac:dyDescent="0.3">
      <c r="A139">
        <v>135</v>
      </c>
      <c r="B139" t="str">
        <f>Summary!B139</f>
        <v>MarinusPortland</v>
      </c>
      <c r="C139" t="str">
        <f>Summary!C139</f>
        <v>Wind</v>
      </c>
      <c r="D139" s="104">
        <f>Summary!D139</f>
        <v>0</v>
      </c>
      <c r="E139" t="str">
        <f>Summary!E139</f>
        <v>Cal-22</v>
      </c>
      <c r="F139" t="str">
        <f>Summary!F139</f>
        <v>2 Hour Battery</v>
      </c>
      <c r="G139" s="73">
        <f>SUMIFS(AL$5:AL139,$F$5:$F139,$F139,$D$5:$D139,$D139)</f>
        <v>3733222.8768259604</v>
      </c>
      <c r="H139" s="73">
        <f>SUMIFS(AM$5:AM139,$F$5:$F139,$F139,$D$5:$D139,$D139)</f>
        <v>7378144.2146676332</v>
      </c>
      <c r="I139" s="20">
        <f>SUMIFS(AN$5:AN139,$F$5:$F139,$F139,$D$5:$D139,$D139)</f>
        <v>1224189.049055109</v>
      </c>
      <c r="J139" s="73">
        <f t="shared" si="32"/>
        <v>1224189.049055109</v>
      </c>
      <c r="K139" s="73">
        <f t="shared" si="33"/>
        <v>4957411.9258810692</v>
      </c>
      <c r="L139" s="73">
        <f t="shared" si="34"/>
        <v>12335556.140548702</v>
      </c>
      <c r="M139" s="73">
        <f>-SUMIFS(FinParameters!$E$8:$E$39,FinParameters!$B$8:$B$39,Financials!$E139,FinParameters!$C$8:$C$39,Financials!$F139)</f>
        <v>-2000000</v>
      </c>
      <c r="N139" s="73">
        <f>-SUMIFS(FinParameters!$F$8:$F$39,FinParameters!$B$8:$B$39,Financials!$E139,FinParameters!$C$8:$C$39,Financials!$F139)</f>
        <v>-73600000</v>
      </c>
      <c r="O139" s="73">
        <f>SUMIFS(FinParameters!$G$8:$G$39,FinParameters!$B$8:$B$39,Financials!$E139,FinParameters!$C$8:$C$39,Financials!$F139)</f>
        <v>50928800.422043659</v>
      </c>
      <c r="P139" s="73">
        <f t="shared" si="35"/>
        <v>-775810.95094489097</v>
      </c>
      <c r="Q139" s="73">
        <f>P139/SUMIFS(FinParameters!$H$8:$H$39,FinParameters!$B$8:$B$39,Financials!$E139,FinParameters!$C$8:$C$39,Financials!$F139)</f>
        <v>-629665.57174327644</v>
      </c>
      <c r="R139" s="73">
        <f t="shared" si="47"/>
        <v>-23447010.528901227</v>
      </c>
      <c r="S139" s="12">
        <f t="shared" si="36"/>
        <v>-1.034220110333254</v>
      </c>
      <c r="T139" s="114">
        <f t="shared" si="37"/>
        <v>3733222.8768259604</v>
      </c>
      <c r="U139" s="73">
        <f>T139/SUMIFS(FinParameters!$L$8:$L$39,FinParameters!$B$8:$B$39,Financials!$E139,FinParameters!$C$8:$C$39,Financials!$F139)</f>
        <v>3553335.2783590346</v>
      </c>
      <c r="V139" s="73">
        <f t="shared" si="38"/>
        <v>3553335.2783590346</v>
      </c>
      <c r="W139" s="12"/>
      <c r="X139" s="73">
        <f t="shared" si="39"/>
        <v>2957411.9258810692</v>
      </c>
      <c r="Y139" s="73">
        <f t="shared" si="40"/>
        <v>2923669.7066157581</v>
      </c>
      <c r="Z139" s="73">
        <f t="shared" si="40"/>
        <v>-19893675.250542194</v>
      </c>
      <c r="AA139" s="12">
        <f t="shared" si="41"/>
        <v>-0.87748666241221795</v>
      </c>
      <c r="AB139" s="114">
        <f t="shared" si="42"/>
        <v>7378144.2146676332</v>
      </c>
      <c r="AC139" s="73">
        <f>AB139/SUMIFS(FinParameters!$L$8:$L$39,FinParameters!$B$8:$B$39,Financials!$E139,FinParameters!$C$8:$C$39,Financials!$F139)</f>
        <v>7022623.8807068495</v>
      </c>
      <c r="AD139" s="73">
        <f t="shared" si="43"/>
        <v>7022623.8807068495</v>
      </c>
      <c r="AE139" s="12"/>
      <c r="AF139" s="73">
        <f t="shared" si="44"/>
        <v>10335556.140548702</v>
      </c>
      <c r="AG139" s="73">
        <f t="shared" si="45"/>
        <v>9946293.5873226076</v>
      </c>
      <c r="AH139" s="73">
        <f t="shared" si="45"/>
        <v>-12871051.369835343</v>
      </c>
      <c r="AI139" s="12">
        <f t="shared" si="46"/>
        <v>-0.56772696678785906</v>
      </c>
      <c r="AL139" s="73">
        <f>Summary!G139</f>
        <v>3733222.8768259604</v>
      </c>
      <c r="AM139" s="73">
        <f>IF(D139&lt;&gt;"avg",SUMIFS(Summary!$H:$H,Summary!$C:$C,Financials!C139,Summary!$E:$E,Financials!E139,Summary!$D:$D,1-Financials!D139,Summary!$F:$F,Financials!F139),SUMIFS(Summary!$H:$H,Summary!$C:$C,Financials!C139,Summary!$E:$E,Financials!E139,Summary!$D:$D,"avg",Summary!$F:$F,Financials!F139))</f>
        <v>7378144.2146676332</v>
      </c>
      <c r="AN139" s="20">
        <f>Summary!I139</f>
        <v>1224189.049055109</v>
      </c>
      <c r="AP139" s="12">
        <v>1</v>
      </c>
    </row>
    <row r="140" spans="1:42" x14ac:dyDescent="0.3">
      <c r="A140">
        <v>136</v>
      </c>
      <c r="B140" t="str">
        <f>Summary!B140</f>
        <v>MarinusPortland</v>
      </c>
      <c r="C140" t="str">
        <f>Summary!C140</f>
        <v>Wind</v>
      </c>
      <c r="D140" s="104" t="str">
        <f>Summary!D140</f>
        <v>avg</v>
      </c>
      <c r="E140" t="str">
        <f>Summary!E140</f>
        <v>Cal-22</v>
      </c>
      <c r="F140" t="str">
        <f>Summary!F140</f>
        <v>2 Hour Battery</v>
      </c>
      <c r="G140" s="73">
        <f>SUMIFS(AL$5:AL140,$F$5:$F140,$F140,$D$5:$D140,$D140)</f>
        <v>19013643.015240952</v>
      </c>
      <c r="H140" s="73">
        <f>SUMIFS(AM$5:AM140,$F$5:$F140,$F140,$D$5:$D140,$D140)</f>
        <v>-122596.3724619749</v>
      </c>
      <c r="I140" s="20">
        <f>SUMIFS(AN$5:AN140,$F$5:$F140,$F140,$D$5:$D140,$D140)</f>
        <v>3758052.9532137904</v>
      </c>
      <c r="J140" s="73">
        <f t="shared" si="32"/>
        <v>3758052.9532137904</v>
      </c>
      <c r="K140" s="73">
        <f t="shared" si="33"/>
        <v>22771695.968454741</v>
      </c>
      <c r="L140" s="73">
        <f t="shared" si="34"/>
        <v>22649099.595992766</v>
      </c>
      <c r="M140" s="73">
        <f>-SUMIFS(FinParameters!$E$8:$E$39,FinParameters!$B$8:$B$39,Financials!$E140,FinParameters!$C$8:$C$39,Financials!$F140)</f>
        <v>-2000000</v>
      </c>
      <c r="N140" s="73">
        <f>-SUMIFS(FinParameters!$F$8:$F$39,FinParameters!$B$8:$B$39,Financials!$E140,FinParameters!$C$8:$C$39,Financials!$F140)</f>
        <v>-73600000</v>
      </c>
      <c r="O140" s="73">
        <f>SUMIFS(FinParameters!$G$8:$G$39,FinParameters!$B$8:$B$39,Financials!$E140,FinParameters!$C$8:$C$39,Financials!$F140)</f>
        <v>50928800.422043659</v>
      </c>
      <c r="P140" s="73">
        <f t="shared" si="35"/>
        <v>1758052.9532137904</v>
      </c>
      <c r="Q140" s="73">
        <f>P140/SUMIFS(FinParameters!$H$8:$H$39,FinParameters!$B$8:$B$39,Financials!$E140,FinParameters!$C$8:$C$39,Financials!$F140)</f>
        <v>1426875.2156592729</v>
      </c>
      <c r="R140" s="73">
        <f t="shared" si="47"/>
        <v>-20913146.624742545</v>
      </c>
      <c r="S140" s="12">
        <f t="shared" si="36"/>
        <v>-0.92245434798592718</v>
      </c>
      <c r="T140" s="114">
        <f t="shared" si="37"/>
        <v>19013643.015240952</v>
      </c>
      <c r="U140" s="73">
        <f>T140/SUMIFS(FinParameters!$L$8:$L$39,FinParameters!$B$8:$B$39,Financials!$E140,FinParameters!$C$8:$C$39,Financials!$F140)</f>
        <v>18097459.145975921</v>
      </c>
      <c r="V140" s="73">
        <f t="shared" si="38"/>
        <v>18097459.145975921</v>
      </c>
      <c r="W140" s="12"/>
      <c r="X140" s="73">
        <f t="shared" si="39"/>
        <v>20771695.968454741</v>
      </c>
      <c r="Y140" s="73">
        <f t="shared" si="40"/>
        <v>19524334.361635193</v>
      </c>
      <c r="Z140" s="73">
        <f t="shared" si="40"/>
        <v>-2815687.4787666239</v>
      </c>
      <c r="AA140" s="12">
        <f t="shared" si="41"/>
        <v>-0.1241966693947846</v>
      </c>
      <c r="AB140" s="114">
        <f t="shared" si="42"/>
        <v>-122596.3724619749</v>
      </c>
      <c r="AC140" s="73">
        <f>AB140/SUMIFS(FinParameters!$L$8:$L$39,FinParameters!$B$8:$B$39,Financials!$E140,FinParameters!$C$8:$C$39,Financials!$F140)</f>
        <v>-116688.9922303152</v>
      </c>
      <c r="AD140" s="73">
        <f t="shared" si="43"/>
        <v>-116688.9922303152</v>
      </c>
      <c r="AE140" s="12"/>
      <c r="AF140" s="73">
        <f t="shared" si="44"/>
        <v>20649099.595992766</v>
      </c>
      <c r="AG140" s="73">
        <f t="shared" si="45"/>
        <v>19407645.369404878</v>
      </c>
      <c r="AH140" s="73">
        <f t="shared" si="45"/>
        <v>-2932376.4709969391</v>
      </c>
      <c r="AI140" s="12">
        <f t="shared" si="46"/>
        <v>-0.1293436838625931</v>
      </c>
      <c r="AL140" s="73">
        <f>Summary!G140</f>
        <v>19013643.015240952</v>
      </c>
      <c r="AM140" s="73">
        <f>IF(D140&lt;&gt;"avg",SUMIFS(Summary!$H:$H,Summary!$C:$C,Financials!C140,Summary!$E:$E,Financials!E140,Summary!$D:$D,1-Financials!D140,Summary!$F:$F,Financials!F140),SUMIFS(Summary!$H:$H,Summary!$C:$C,Financials!C140,Summary!$E:$E,Financials!E140,Summary!$D:$D,"avg",Summary!$F:$F,Financials!F140))</f>
        <v>-122596.3724619749</v>
      </c>
      <c r="AN140" s="20">
        <f>Summary!I140</f>
        <v>3758052.9532137904</v>
      </c>
      <c r="AP140" s="12">
        <v>1</v>
      </c>
    </row>
    <row r="141" spans="1:42" x14ac:dyDescent="0.3">
      <c r="A141">
        <v>137</v>
      </c>
      <c r="B141" t="str">
        <f>Summary!B141</f>
        <v>MarinusPortland</v>
      </c>
      <c r="C141" t="str">
        <f>Summary!C141</f>
        <v>Wind</v>
      </c>
      <c r="D141" s="104">
        <f>Summary!D141</f>
        <v>1</v>
      </c>
      <c r="E141" t="str">
        <f>Summary!E141</f>
        <v>Cal-23</v>
      </c>
      <c r="F141" t="str">
        <f>Summary!F141</f>
        <v>2 Hour Battery</v>
      </c>
      <c r="G141" s="73">
        <f>SUMIFS(AL$5:AL141,$F$5:$F141,$F141,$D$5:$D141,$D141)</f>
        <v>69665697.112767428</v>
      </c>
      <c r="H141" s="73">
        <f>SUMIFS(AM$5:AM141,$F$5:$F141,$F141,$D$5:$D141,$D141)</f>
        <v>-25062185.641453579</v>
      </c>
      <c r="I141" s="20">
        <f>SUMIFS(AN$5:AN141,$F$5:$F141,$F141,$D$5:$D141,$D141)</f>
        <v>18603223.924436025</v>
      </c>
      <c r="J141" s="73">
        <f t="shared" si="32"/>
        <v>18603223.924436025</v>
      </c>
      <c r="K141" s="73">
        <f t="shared" si="33"/>
        <v>88268921.037203461</v>
      </c>
      <c r="L141" s="73">
        <f t="shared" si="34"/>
        <v>63206735.395749874</v>
      </c>
      <c r="M141" s="73">
        <f>-SUMIFS(FinParameters!$E$8:$E$39,FinParameters!$B$8:$B$39,Financials!$E141,FinParameters!$C$8:$C$39,Financials!$F141)</f>
        <v>-2958750</v>
      </c>
      <c r="N141" s="73">
        <f>-SUMIFS(FinParameters!$F$8:$F$39,FinParameters!$B$8:$B$39,Financials!$E141,FinParameters!$C$8:$C$39,Financials!$F141)</f>
        <v>-73600000</v>
      </c>
      <c r="O141" s="73">
        <f>SUMIFS(FinParameters!$G$8:$G$39,FinParameters!$B$8:$B$39,Financials!$E141,FinParameters!$C$8:$C$39,Financials!$F141)</f>
        <v>39644813.504154257</v>
      </c>
      <c r="P141" s="73">
        <f t="shared" si="35"/>
        <v>15644473.924436025</v>
      </c>
      <c r="Q141" s="73">
        <f>P141/SUMIFS(FinParameters!$H$8:$H$39,FinParameters!$B$8:$B$39,Financials!$E141,FinParameters!$C$8:$C$39,Financials!$F141)</f>
        <v>11439104.498535074</v>
      </c>
      <c r="R141" s="73">
        <f t="shared" si="47"/>
        <v>-18310712.571409717</v>
      </c>
      <c r="S141" s="12">
        <f t="shared" si="36"/>
        <v>-0.53926113978640489</v>
      </c>
      <c r="T141" s="114">
        <f t="shared" si="37"/>
        <v>69665697.112767428</v>
      </c>
      <c r="U141" s="73">
        <f>T141/SUMIFS(FinParameters!$L$8:$L$39,FinParameters!$B$8:$B$39,Financials!$E141,FinParameters!$C$8:$C$39,Financials!$F141)</f>
        <v>64691525.300229482</v>
      </c>
      <c r="V141" s="73">
        <f t="shared" si="38"/>
        <v>64691525.300229482</v>
      </c>
      <c r="W141" s="12"/>
      <c r="X141" s="73">
        <f t="shared" si="39"/>
        <v>85310171.037203461</v>
      </c>
      <c r="Y141" s="73">
        <f t="shared" si="40"/>
        <v>76130629.798764557</v>
      </c>
      <c r="Z141" s="73">
        <f t="shared" si="40"/>
        <v>46380812.728819765</v>
      </c>
      <c r="AA141" s="12">
        <f t="shared" si="41"/>
        <v>1.3659419227308394</v>
      </c>
      <c r="AB141" s="114">
        <f t="shared" si="42"/>
        <v>-25062185.641453579</v>
      </c>
      <c r="AC141" s="73">
        <f>AB141/SUMIFS(FinParameters!$L$8:$L$39,FinParameters!$B$8:$B$39,Financials!$E141,FinParameters!$C$8:$C$39,Financials!$F141)</f>
        <v>-23272730.823015179</v>
      </c>
      <c r="AD141" s="73">
        <f t="shared" si="43"/>
        <v>-23272730.823015179</v>
      </c>
      <c r="AE141" s="12"/>
      <c r="AF141" s="73">
        <f t="shared" si="44"/>
        <v>60247985.395749882</v>
      </c>
      <c r="AG141" s="73">
        <f t="shared" si="45"/>
        <v>52857898.975749373</v>
      </c>
      <c r="AH141" s="73">
        <f t="shared" si="45"/>
        <v>23108081.905804586</v>
      </c>
      <c r="AI141" s="12">
        <f t="shared" si="46"/>
        <v>0.68054645815689307</v>
      </c>
      <c r="AL141" s="73">
        <f>Summary!G141</f>
        <v>26744147.762844302</v>
      </c>
      <c r="AM141" s="73">
        <f>IF(D141&lt;&gt;"avg",SUMIFS(Summary!$H:$H,Summary!$C:$C,Financials!C141,Summary!$E:$E,Financials!E141,Summary!$D:$D,1-Financials!D141,Summary!$F:$F,Financials!F141),SUMIFS(Summary!$H:$H,Summary!$C:$C,Financials!C141,Summary!$E:$E,Financials!E141,Summary!$D:$D,"avg",Summary!$F:$F,Financials!F141))</f>
        <v>-15847278.123349112</v>
      </c>
      <c r="AN141" s="20">
        <f>Summary!I141</f>
        <v>10229333.244018523</v>
      </c>
      <c r="AP141" s="12">
        <v>1</v>
      </c>
    </row>
    <row r="142" spans="1:42" x14ac:dyDescent="0.3">
      <c r="A142">
        <v>138</v>
      </c>
      <c r="B142" t="str">
        <f>Summary!B142</f>
        <v>MarinusPortland</v>
      </c>
      <c r="C142" t="str">
        <f>Summary!C142</f>
        <v>Wind</v>
      </c>
      <c r="D142" s="104">
        <f>Summary!D142</f>
        <v>0.95</v>
      </c>
      <c r="E142" t="str">
        <f>Summary!E142</f>
        <v>Cal-23</v>
      </c>
      <c r="F142" t="str">
        <f>Summary!F142</f>
        <v>2 Hour Battery</v>
      </c>
      <c r="G142" s="73">
        <f>SUMIFS(AL$5:AL142,$F$5:$F142,$F142,$D$5:$D142,$D142)</f>
        <v>45690275.090821877</v>
      </c>
      <c r="H142" s="73">
        <f>SUMIFS(AM$5:AM142,$F$5:$F142,$F142,$D$5:$D142,$D142)</f>
        <v>-9397431.2797149718</v>
      </c>
      <c r="I142" s="20">
        <f>SUMIFS(AN$5:AN142,$F$5:$F142,$F142,$D$5:$D142,$D142)</f>
        <v>12293324.601443693</v>
      </c>
      <c r="J142" s="73">
        <f t="shared" si="32"/>
        <v>12293324.601443693</v>
      </c>
      <c r="K142" s="73">
        <f t="shared" si="33"/>
        <v>57983599.69226557</v>
      </c>
      <c r="L142" s="73">
        <f t="shared" si="34"/>
        <v>48586168.412550598</v>
      </c>
      <c r="M142" s="73">
        <f>-SUMIFS(FinParameters!$E$8:$E$39,FinParameters!$B$8:$B$39,Financials!$E142,FinParameters!$C$8:$C$39,Financials!$F142)</f>
        <v>-2958750</v>
      </c>
      <c r="N142" s="73">
        <f>-SUMIFS(FinParameters!$F$8:$F$39,FinParameters!$B$8:$B$39,Financials!$E142,FinParameters!$C$8:$C$39,Financials!$F142)</f>
        <v>-73600000</v>
      </c>
      <c r="O142" s="73">
        <f>SUMIFS(FinParameters!$G$8:$G$39,FinParameters!$B$8:$B$39,Financials!$E142,FinParameters!$C$8:$C$39,Financials!$F142)</f>
        <v>39644813.504154257</v>
      </c>
      <c r="P142" s="73">
        <f t="shared" si="35"/>
        <v>9334574.601443693</v>
      </c>
      <c r="Q142" s="73">
        <f>P142/SUMIFS(FinParameters!$H$8:$H$39,FinParameters!$B$8:$B$39,Financials!$E142,FinParameters!$C$8:$C$39,Financials!$F142)</f>
        <v>6825360.4966863804</v>
      </c>
      <c r="R142" s="73">
        <f t="shared" si="47"/>
        <v>-24620611.894402049</v>
      </c>
      <c r="S142" s="12">
        <f t="shared" si="36"/>
        <v>-0.72509134642550899</v>
      </c>
      <c r="T142" s="114">
        <f t="shared" si="37"/>
        <v>45690275.090821877</v>
      </c>
      <c r="U142" s="73">
        <f>T142/SUMIFS(FinParameters!$L$8:$L$39,FinParameters!$B$8:$B$39,Financials!$E142,FinParameters!$C$8:$C$39,Financials!$F142)</f>
        <v>42427962.534098469</v>
      </c>
      <c r="V142" s="73">
        <f t="shared" si="38"/>
        <v>42427962.534098469</v>
      </c>
      <c r="W142" s="12"/>
      <c r="X142" s="73">
        <f t="shared" si="39"/>
        <v>55024849.69226557</v>
      </c>
      <c r="Y142" s="73">
        <f t="shared" si="40"/>
        <v>49253323.030784845</v>
      </c>
      <c r="Z142" s="73">
        <f t="shared" si="40"/>
        <v>17807350.639696419</v>
      </c>
      <c r="AA142" s="12">
        <f t="shared" si="41"/>
        <v>0.52443683800338026</v>
      </c>
      <c r="AB142" s="114">
        <f t="shared" si="42"/>
        <v>-9397431.2797149718</v>
      </c>
      <c r="AC142" s="73">
        <f>AB142/SUMIFS(FinParameters!$L$8:$L$39,FinParameters!$B$8:$B$39,Financials!$E142,FinParameters!$C$8:$C$39,Financials!$F142)</f>
        <v>-8726449.1505021434</v>
      </c>
      <c r="AD142" s="73">
        <f t="shared" si="43"/>
        <v>-8726449.1505021434</v>
      </c>
      <c r="AE142" s="12"/>
      <c r="AF142" s="73">
        <f t="shared" si="44"/>
        <v>45627418.412550598</v>
      </c>
      <c r="AG142" s="73">
        <f t="shared" si="45"/>
        <v>40526873.8802827</v>
      </c>
      <c r="AH142" s="73">
        <f t="shared" si="45"/>
        <v>9080901.4891942758</v>
      </c>
      <c r="AI142" s="12">
        <f t="shared" si="46"/>
        <v>0.2674378328125302</v>
      </c>
      <c r="AL142" s="73">
        <f>Summary!G142</f>
        <v>15472973.955126081</v>
      </c>
      <c r="AM142" s="73">
        <f>IF(D142&lt;&gt;"avg",SUMIFS(Summary!$H:$H,Summary!$C:$C,Financials!C142,Summary!$E:$E,Financials!E142,Summary!$D:$D,1-Financials!D142,Summary!$F:$F,Financials!F142),SUMIFS(Summary!$H:$H,Summary!$C:$C,Financials!C142,Summary!$E:$E,Financials!E142,Summary!$D:$D,"avg",Summary!$F:$F,Financials!F142))</f>
        <v>-5472448.160202329</v>
      </c>
      <c r="AN142" s="20">
        <f>Summary!I142</f>
        <v>6810189.8551998781</v>
      </c>
      <c r="AP142" s="12">
        <v>1</v>
      </c>
    </row>
    <row r="143" spans="1:42" x14ac:dyDescent="0.3">
      <c r="A143">
        <v>139</v>
      </c>
      <c r="B143" t="str">
        <f>Summary!B143</f>
        <v>MarinusPortland</v>
      </c>
      <c r="C143" t="str">
        <f>Summary!C143</f>
        <v>Wind</v>
      </c>
      <c r="D143" s="104">
        <f>Summary!D143</f>
        <v>0.75</v>
      </c>
      <c r="E143" t="str">
        <f>Summary!E143</f>
        <v>Cal-23</v>
      </c>
      <c r="F143" t="str">
        <f>Summary!F143</f>
        <v>2 Hour Battery</v>
      </c>
      <c r="G143" s="73">
        <f>SUMIFS(AL$5:AL143,$F$5:$F143,$F143,$D$5:$D143,$D143)</f>
        <v>32593020.240949724</v>
      </c>
      <c r="H143" s="73">
        <f>SUMIFS(AM$5:AM143,$F$5:$F143,$F143,$D$5:$D143,$D143)</f>
        <v>-3715715.8652383452</v>
      </c>
      <c r="I143" s="20">
        <f>SUMIFS(AN$5:AN143,$F$5:$F143,$F143,$D$5:$D143,$D143)</f>
        <v>9852618.9046409018</v>
      </c>
      <c r="J143" s="73">
        <f t="shared" si="32"/>
        <v>9852618.9046409018</v>
      </c>
      <c r="K143" s="73">
        <f t="shared" si="33"/>
        <v>42445639.145590626</v>
      </c>
      <c r="L143" s="73">
        <f t="shared" si="34"/>
        <v>38729923.28035228</v>
      </c>
      <c r="M143" s="73">
        <f>-SUMIFS(FinParameters!$E$8:$E$39,FinParameters!$B$8:$B$39,Financials!$E143,FinParameters!$C$8:$C$39,Financials!$F143)</f>
        <v>-2958750</v>
      </c>
      <c r="N143" s="73">
        <f>-SUMIFS(FinParameters!$F$8:$F$39,FinParameters!$B$8:$B$39,Financials!$E143,FinParameters!$C$8:$C$39,Financials!$F143)</f>
        <v>-73600000</v>
      </c>
      <c r="O143" s="73">
        <f>SUMIFS(FinParameters!$G$8:$G$39,FinParameters!$B$8:$B$39,Financials!$E143,FinParameters!$C$8:$C$39,Financials!$F143)</f>
        <v>39644813.504154257</v>
      </c>
      <c r="P143" s="73">
        <f t="shared" si="35"/>
        <v>6893868.9046409018</v>
      </c>
      <c r="Q143" s="73">
        <f>P143/SUMIFS(FinParameters!$H$8:$H$39,FinParameters!$B$8:$B$39,Financials!$E143,FinParameters!$C$8:$C$39,Financials!$F143)</f>
        <v>5040737.5268920492</v>
      </c>
      <c r="R143" s="73">
        <f t="shared" si="47"/>
        <v>-27061317.591204844</v>
      </c>
      <c r="S143" s="12">
        <f t="shared" si="36"/>
        <v>-0.79697154938364623</v>
      </c>
      <c r="T143" s="114">
        <f t="shared" si="37"/>
        <v>32593020.240949724</v>
      </c>
      <c r="U143" s="73">
        <f>T143/SUMIFS(FinParameters!$L$8:$L$39,FinParameters!$B$8:$B$39,Financials!$E143,FinParameters!$C$8:$C$39,Financials!$F143)</f>
        <v>30265859.395841364</v>
      </c>
      <c r="V143" s="73">
        <f t="shared" si="38"/>
        <v>30265859.395841364</v>
      </c>
      <c r="W143" s="12"/>
      <c r="X143" s="73">
        <f t="shared" si="39"/>
        <v>39486889.145590626</v>
      </c>
      <c r="Y143" s="73">
        <f t="shared" si="40"/>
        <v>35306596.922733411</v>
      </c>
      <c r="Z143" s="73">
        <f t="shared" si="40"/>
        <v>3204541.8046365194</v>
      </c>
      <c r="AA143" s="12">
        <f t="shared" si="41"/>
        <v>9.4375620791497639E-2</v>
      </c>
      <c r="AB143" s="114">
        <f t="shared" si="42"/>
        <v>-3715715.8652383452</v>
      </c>
      <c r="AC143" s="73">
        <f>AB143/SUMIFS(FinParameters!$L$8:$L$39,FinParameters!$B$8:$B$39,Financials!$E143,FinParameters!$C$8:$C$39,Financials!$F143)</f>
        <v>-3450411.563605492</v>
      </c>
      <c r="AD143" s="73">
        <f t="shared" si="43"/>
        <v>-3450411.563605492</v>
      </c>
      <c r="AE143" s="12"/>
      <c r="AF143" s="73">
        <f t="shared" si="44"/>
        <v>35771173.28035228</v>
      </c>
      <c r="AG143" s="73">
        <f t="shared" si="45"/>
        <v>31856185.35912792</v>
      </c>
      <c r="AH143" s="73">
        <f t="shared" si="45"/>
        <v>-245869.7589689726</v>
      </c>
      <c r="AI143" s="12">
        <f t="shared" si="46"/>
        <v>-7.2410074672702388E-3</v>
      </c>
      <c r="AL143" s="73">
        <f>Summary!G143</f>
        <v>8973749.8142748699</v>
      </c>
      <c r="AM143" s="73">
        <f>IF(D143&lt;&gt;"avg",SUMIFS(Summary!$H:$H,Summary!$C:$C,Financials!C143,Summary!$E:$E,Financials!E143,Summary!$D:$D,1-Financials!D143,Summary!$F:$F,Financials!F143),SUMIFS(Summary!$H:$H,Summary!$C:$C,Financials!C143,Summary!$E:$E,Financials!E143,Summary!$D:$D,"avg",Summary!$F:$F,Financials!F143))</f>
        <v>-2124895.7829911434</v>
      </c>
      <c r="AN143" s="20">
        <f>Summary!I143</f>
        <v>5493063.437627607</v>
      </c>
      <c r="AP143" s="12">
        <v>1</v>
      </c>
    </row>
    <row r="144" spans="1:42" x14ac:dyDescent="0.3">
      <c r="A144">
        <v>140</v>
      </c>
      <c r="B144" t="str">
        <f>Summary!B144</f>
        <v>MarinusPortland</v>
      </c>
      <c r="C144" t="str">
        <f>Summary!C144</f>
        <v>Wind</v>
      </c>
      <c r="D144" s="104">
        <f>Summary!D144</f>
        <v>0.5</v>
      </c>
      <c r="E144" t="str">
        <f>Summary!E144</f>
        <v>Cal-23</v>
      </c>
      <c r="F144" t="str">
        <f>Summary!F144</f>
        <v>2 Hour Battery</v>
      </c>
      <c r="G144" s="73">
        <f>SUMIFS(AL$5:AL144,$F$5:$F144,$F144,$D$5:$D144,$D144)</f>
        <v>21681204.564310979</v>
      </c>
      <c r="H144" s="73">
        <f>SUMIFS(AM$5:AM144,$F$5:$F144,$F144,$D$5:$D144,$D144)</f>
        <v>481.73691650225555</v>
      </c>
      <c r="I144" s="20">
        <f>SUMIFS(AN$5:AN144,$F$5:$F144,$F144,$D$5:$D144,$D144)</f>
        <v>8358560.0076484587</v>
      </c>
      <c r="J144" s="73">
        <f t="shared" si="32"/>
        <v>8358560.0076484587</v>
      </c>
      <c r="K144" s="73">
        <f t="shared" si="33"/>
        <v>30039764.571959436</v>
      </c>
      <c r="L144" s="73">
        <f t="shared" si="34"/>
        <v>30040246.308875941</v>
      </c>
      <c r="M144" s="73">
        <f>-SUMIFS(FinParameters!$E$8:$E$39,FinParameters!$B$8:$B$39,Financials!$E144,FinParameters!$C$8:$C$39,Financials!$F144)</f>
        <v>-2958750</v>
      </c>
      <c r="N144" s="73">
        <f>-SUMIFS(FinParameters!$F$8:$F$39,FinParameters!$B$8:$B$39,Financials!$E144,FinParameters!$C$8:$C$39,Financials!$F144)</f>
        <v>-73600000</v>
      </c>
      <c r="O144" s="73">
        <f>SUMIFS(FinParameters!$G$8:$G$39,FinParameters!$B$8:$B$39,Financials!$E144,FinParameters!$C$8:$C$39,Financials!$F144)</f>
        <v>39644813.504154257</v>
      </c>
      <c r="P144" s="73">
        <f t="shared" si="35"/>
        <v>5399810.0076484587</v>
      </c>
      <c r="Q144" s="73">
        <f>P144/SUMIFS(FinParameters!$H$8:$H$39,FinParameters!$B$8:$B$39,Financials!$E144,FinParameters!$C$8:$C$39,Financials!$F144)</f>
        <v>3948294.5382551709</v>
      </c>
      <c r="R144" s="73">
        <f t="shared" si="47"/>
        <v>-28555376.488197289</v>
      </c>
      <c r="S144" s="12">
        <f t="shared" si="36"/>
        <v>-0.84097245325661529</v>
      </c>
      <c r="T144" s="114">
        <f t="shared" si="37"/>
        <v>21681204.564310979</v>
      </c>
      <c r="U144" s="73">
        <f>T144/SUMIFS(FinParameters!$L$8:$L$39,FinParameters!$B$8:$B$39,Financials!$E144,FinParameters!$C$8:$C$39,Financials!$F144)</f>
        <v>20133153.786449745</v>
      </c>
      <c r="V144" s="73">
        <f t="shared" si="38"/>
        <v>20133153.786449745</v>
      </c>
      <c r="W144" s="12"/>
      <c r="X144" s="73">
        <f t="shared" si="39"/>
        <v>27081014.571959436</v>
      </c>
      <c r="Y144" s="73">
        <f t="shared" si="40"/>
        <v>24081448.324704915</v>
      </c>
      <c r="Z144" s="73">
        <f t="shared" si="40"/>
        <v>-8422222.7017475441</v>
      </c>
      <c r="AA144" s="12">
        <f t="shared" si="41"/>
        <v>-0.24803935925305443</v>
      </c>
      <c r="AB144" s="114">
        <f t="shared" si="42"/>
        <v>481.73691650225555</v>
      </c>
      <c r="AC144" s="73">
        <f>AB144/SUMIFS(FinParameters!$L$8:$L$39,FinParameters!$B$8:$B$39,Financials!$E144,FinParameters!$C$8:$C$39,Financials!$F144)</f>
        <v>447.3406168822907</v>
      </c>
      <c r="AD144" s="73">
        <f t="shared" si="43"/>
        <v>447.3406168822907</v>
      </c>
      <c r="AE144" s="12"/>
      <c r="AF144" s="73">
        <f t="shared" si="44"/>
        <v>27081496.308875937</v>
      </c>
      <c r="AG144" s="73">
        <f t="shared" si="45"/>
        <v>24081895.665321797</v>
      </c>
      <c r="AH144" s="73">
        <f t="shared" si="45"/>
        <v>-8421775.3611306623</v>
      </c>
      <c r="AI144" s="12">
        <f t="shared" si="46"/>
        <v>-0.24802618481159061</v>
      </c>
      <c r="AL144" s="73">
        <f>Summary!G144</f>
        <v>3748075.5122986105</v>
      </c>
      <c r="AM144" s="73">
        <f>IF(D144&lt;&gt;"avg",SUMIFS(Summary!$H:$H,Summary!$C:$C,Financials!C144,Summary!$E:$E,Financials!E144,Summary!$D:$D,1-Financials!D144,Summary!$F:$F,Financials!F144),SUMIFS(Summary!$H:$H,Summary!$C:$C,Financials!C144,Summary!$E:$E,Financials!E144,Summary!$D:$D,"avg",Summary!$F:$F,Financials!F144))</f>
        <v>389.19601309524626</v>
      </c>
      <c r="AN144" s="20">
        <f>Summary!I144</f>
        <v>4709534.7475862838</v>
      </c>
      <c r="AP144" s="12">
        <v>1</v>
      </c>
    </row>
    <row r="145" spans="1:42" x14ac:dyDescent="0.3">
      <c r="A145">
        <v>141</v>
      </c>
      <c r="B145" t="str">
        <f>Summary!B145</f>
        <v>MarinusPortland</v>
      </c>
      <c r="C145" t="str">
        <f>Summary!C145</f>
        <v>Wind</v>
      </c>
      <c r="D145" s="104">
        <f>Summary!D145</f>
        <v>0.25</v>
      </c>
      <c r="E145" t="str">
        <f>Summary!E145</f>
        <v>Cal-23</v>
      </c>
      <c r="F145" t="str">
        <f>Summary!F145</f>
        <v>2 Hour Battery</v>
      </c>
      <c r="G145" s="73">
        <f>SUMIFS(AL$5:AL145,$F$5:$F145,$F145,$D$5:$D145,$D145)</f>
        <v>15578949.358699121</v>
      </c>
      <c r="H145" s="73">
        <f>SUMIFS(AM$5:AM145,$F$5:$F145,$F145,$D$5:$D145,$D145)</f>
        <v>3370929.3160436135</v>
      </c>
      <c r="I145" s="20">
        <f>SUMIFS(AN$5:AN145,$F$5:$F145,$F145,$D$5:$D145,$D145)</f>
        <v>7020127.5408447087</v>
      </c>
      <c r="J145" s="73">
        <f t="shared" si="32"/>
        <v>7020127.5408447087</v>
      </c>
      <c r="K145" s="73">
        <f t="shared" si="33"/>
        <v>22599076.899543829</v>
      </c>
      <c r="L145" s="73">
        <f t="shared" si="34"/>
        <v>25970006.215587445</v>
      </c>
      <c r="M145" s="73">
        <f>-SUMIFS(FinParameters!$E$8:$E$39,FinParameters!$B$8:$B$39,Financials!$E145,FinParameters!$C$8:$C$39,Financials!$F145)</f>
        <v>-2958750</v>
      </c>
      <c r="N145" s="73">
        <f>-SUMIFS(FinParameters!$F$8:$F$39,FinParameters!$B$8:$B$39,Financials!$E145,FinParameters!$C$8:$C$39,Financials!$F145)</f>
        <v>-73600000</v>
      </c>
      <c r="O145" s="73">
        <f>SUMIFS(FinParameters!$G$8:$G$39,FinParameters!$B$8:$B$39,Financials!$E145,FinParameters!$C$8:$C$39,Financials!$F145)</f>
        <v>39644813.504154257</v>
      </c>
      <c r="P145" s="73">
        <f t="shared" si="35"/>
        <v>4061377.5408447087</v>
      </c>
      <c r="Q145" s="73">
        <f>P145/SUMIFS(FinParameters!$H$8:$H$39,FinParameters!$B$8:$B$39,Financials!$E145,FinParameters!$C$8:$C$39,Financials!$F145)</f>
        <v>2969644.254074899</v>
      </c>
      <c r="R145" s="73">
        <f t="shared" si="47"/>
        <v>-29893808.955001034</v>
      </c>
      <c r="S145" s="12">
        <f t="shared" si="36"/>
        <v>-0.88039006820529175</v>
      </c>
      <c r="T145" s="114">
        <f t="shared" si="37"/>
        <v>15578949.358699121</v>
      </c>
      <c r="U145" s="73">
        <f>T145/SUMIFS(FinParameters!$L$8:$L$39,FinParameters!$B$8:$B$39,Financials!$E145,FinParameters!$C$8:$C$39,Financials!$F145)</f>
        <v>14466603.197236601</v>
      </c>
      <c r="V145" s="73">
        <f t="shared" si="38"/>
        <v>14466603.197236601</v>
      </c>
      <c r="W145" s="12"/>
      <c r="X145" s="73">
        <f t="shared" si="39"/>
        <v>19640326.899543829</v>
      </c>
      <c r="Y145" s="73">
        <f t="shared" si="40"/>
        <v>17436247.451311499</v>
      </c>
      <c r="Z145" s="73">
        <f t="shared" si="40"/>
        <v>-15427205.757764433</v>
      </c>
      <c r="AA145" s="12">
        <f t="shared" si="41"/>
        <v>-0.4543401862820538</v>
      </c>
      <c r="AB145" s="114">
        <f t="shared" si="42"/>
        <v>3370929.3160436135</v>
      </c>
      <c r="AC145" s="73">
        <f>AB145/SUMIFS(FinParameters!$L$8:$L$39,FinParameters!$B$8:$B$39,Financials!$E145,FinParameters!$C$8:$C$39,Financials!$F145)</f>
        <v>3130242.9771302114</v>
      </c>
      <c r="AD145" s="73">
        <f t="shared" si="43"/>
        <v>3130242.9771302114</v>
      </c>
      <c r="AE145" s="12"/>
      <c r="AF145" s="73">
        <f t="shared" si="44"/>
        <v>23011256.215587445</v>
      </c>
      <c r="AG145" s="73">
        <f t="shared" si="45"/>
        <v>20566490.428441711</v>
      </c>
      <c r="AH145" s="73">
        <f t="shared" si="45"/>
        <v>-12296962.780634221</v>
      </c>
      <c r="AI145" s="12">
        <f t="shared" si="46"/>
        <v>-0.36215270919329795</v>
      </c>
      <c r="AL145" s="73">
        <f>Summary!G145</f>
        <v>1602024.2522986692</v>
      </c>
      <c r="AM145" s="73">
        <f>IF(D145&lt;&gt;"avg",SUMIFS(Summary!$H:$H,Summary!$C:$C,Financials!C145,Summary!$E:$E,Financials!E145,Summary!$D:$D,1-Financials!D145,Summary!$F:$F,Financials!F145),SUMIFS(Summary!$H:$H,Summary!$C:$C,Financials!C145,Summary!$E:$E,Financials!E145,Summary!$D:$D,"avg",Summary!$F:$F,Financials!F145))</f>
        <v>1958943.5200518938</v>
      </c>
      <c r="AN145" s="20">
        <f>Summary!I145</f>
        <v>3963413.8879184434</v>
      </c>
      <c r="AP145" s="12">
        <v>1</v>
      </c>
    </row>
    <row r="146" spans="1:42" x14ac:dyDescent="0.3">
      <c r="A146">
        <v>142</v>
      </c>
      <c r="B146" t="str">
        <f>Summary!B146</f>
        <v>MarinusPortland</v>
      </c>
      <c r="C146" t="str">
        <f>Summary!C146</f>
        <v>Wind</v>
      </c>
      <c r="D146" s="104">
        <f>Summary!D146</f>
        <v>0.05</v>
      </c>
      <c r="E146" t="str">
        <f>Summary!E146</f>
        <v>Cal-23</v>
      </c>
      <c r="F146" t="str">
        <f>Summary!F146</f>
        <v>2 Hour Battery</v>
      </c>
      <c r="G146" s="73">
        <f>SUMIFS(AL$5:AL146,$F$5:$F146,$F146,$D$5:$D146,$D146)</f>
        <v>8103503.5018378571</v>
      </c>
      <c r="H146" s="73">
        <f>SUMIFS(AM$5:AM146,$F$5:$F146,$F146,$D$5:$D146,$D146)</f>
        <v>7799317.7709221579</v>
      </c>
      <c r="I146" s="20">
        <f>SUMIFS(AN$5:AN146,$F$5:$F146,$F146,$D$5:$D146,$D146)</f>
        <v>5446689.8870032802</v>
      </c>
      <c r="J146" s="73">
        <f t="shared" si="32"/>
        <v>5446689.8870032802</v>
      </c>
      <c r="K146" s="73">
        <f t="shared" si="33"/>
        <v>13550193.388841137</v>
      </c>
      <c r="L146" s="73">
        <f t="shared" si="34"/>
        <v>21349511.159763295</v>
      </c>
      <c r="M146" s="73">
        <f>-SUMIFS(FinParameters!$E$8:$E$39,FinParameters!$B$8:$B$39,Financials!$E146,FinParameters!$C$8:$C$39,Financials!$F146)</f>
        <v>-2958750</v>
      </c>
      <c r="N146" s="73">
        <f>-SUMIFS(FinParameters!$F$8:$F$39,FinParameters!$B$8:$B$39,Financials!$E146,FinParameters!$C$8:$C$39,Financials!$F146)</f>
        <v>-73600000</v>
      </c>
      <c r="O146" s="73">
        <f>SUMIFS(FinParameters!$G$8:$G$39,FinParameters!$B$8:$B$39,Financials!$E146,FinParameters!$C$8:$C$39,Financials!$F146)</f>
        <v>39644813.504154257</v>
      </c>
      <c r="P146" s="73">
        <f t="shared" si="35"/>
        <v>2487939.8870032802</v>
      </c>
      <c r="Q146" s="73">
        <f>P146/SUMIFS(FinParameters!$H$8:$H$39,FinParameters!$B$8:$B$39,Financials!$E146,FinParameters!$C$8:$C$39,Financials!$F146)</f>
        <v>1819160.2025716584</v>
      </c>
      <c r="R146" s="73">
        <f t="shared" si="47"/>
        <v>-31467246.60884247</v>
      </c>
      <c r="S146" s="12">
        <f t="shared" si="36"/>
        <v>-0.9267287226560319</v>
      </c>
      <c r="T146" s="114">
        <f t="shared" si="37"/>
        <v>8103503.5018378571</v>
      </c>
      <c r="U146" s="73">
        <f>T146/SUMIFS(FinParameters!$L$8:$L$39,FinParameters!$B$8:$B$39,Financials!$E146,FinParameters!$C$8:$C$39,Financials!$F146)</f>
        <v>7524908.5781927556</v>
      </c>
      <c r="V146" s="73">
        <f t="shared" si="38"/>
        <v>7524908.5781927556</v>
      </c>
      <c r="W146" s="12"/>
      <c r="X146" s="73">
        <f t="shared" si="39"/>
        <v>10591443.388841137</v>
      </c>
      <c r="Y146" s="73">
        <f t="shared" si="40"/>
        <v>9344068.780764414</v>
      </c>
      <c r="Z146" s="73">
        <f t="shared" si="40"/>
        <v>-23942338.030649714</v>
      </c>
      <c r="AA146" s="12">
        <f t="shared" si="41"/>
        <v>-0.70511578646693474</v>
      </c>
      <c r="AB146" s="114">
        <f t="shared" si="42"/>
        <v>7799317.7709221579</v>
      </c>
      <c r="AC146" s="73">
        <f>AB146/SUMIFS(FinParameters!$L$8:$L$39,FinParameters!$B$8:$B$39,Financials!$E146,FinParameters!$C$8:$C$39,Financials!$F146)</f>
        <v>7242441.887654244</v>
      </c>
      <c r="AD146" s="73">
        <f t="shared" si="43"/>
        <v>7242441.887654244</v>
      </c>
      <c r="AE146" s="12"/>
      <c r="AF146" s="73">
        <f t="shared" si="44"/>
        <v>18390761.159763295</v>
      </c>
      <c r="AG146" s="73">
        <f t="shared" si="45"/>
        <v>16586510.668418657</v>
      </c>
      <c r="AH146" s="73">
        <f t="shared" si="45"/>
        <v>-16699896.142995469</v>
      </c>
      <c r="AI146" s="12">
        <f t="shared" si="46"/>
        <v>-0.49182165867469535</v>
      </c>
      <c r="AL146" s="73">
        <f>Summary!G146</f>
        <v>-2226182.7781293415</v>
      </c>
      <c r="AM146" s="73">
        <f>IF(D146&lt;&gt;"avg",SUMIFS(Summary!$H:$H,Summary!$C:$C,Financials!C146,Summary!$E:$E,Financials!E146,Summary!$D:$D,1-Financials!D146,Summary!$F:$F,Financials!F146),SUMIFS(Summary!$H:$H,Summary!$C:$C,Financials!C146,Summary!$E:$E,Financials!E146,Summary!$D:$D,"avg",Summary!$F:$F,Financials!F146))</f>
        <v>4493800.4094558423</v>
      </c>
      <c r="AN146" s="20">
        <f>Summary!I146</f>
        <v>3086157.2335634087</v>
      </c>
      <c r="AP146" s="12">
        <v>1</v>
      </c>
    </row>
    <row r="147" spans="1:42" x14ac:dyDescent="0.3">
      <c r="A147">
        <v>143</v>
      </c>
      <c r="B147" t="str">
        <f>Summary!B147</f>
        <v>MarinusPortland</v>
      </c>
      <c r="C147" t="str">
        <f>Summary!C147</f>
        <v>Wind</v>
      </c>
      <c r="D147" s="104">
        <f>Summary!D147</f>
        <v>0</v>
      </c>
      <c r="E147" t="str">
        <f>Summary!E147</f>
        <v>Cal-23</v>
      </c>
      <c r="F147" t="str">
        <f>Summary!F147</f>
        <v>2 Hour Battery</v>
      </c>
      <c r="G147" s="73">
        <f>SUMIFS(AL$5:AL147,$F$5:$F147,$F147,$D$5:$D147,$D147)</f>
        <v>-2676456.1285104537</v>
      </c>
      <c r="H147" s="73">
        <f>SUMIFS(AM$5:AM147,$F$5:$F147,$F147,$D$5:$D147,$D147)</f>
        <v>17405272.209456462</v>
      </c>
      <c r="I147" s="20">
        <f>SUMIFS(AN$5:AN147,$F$5:$F147,$F147,$D$5:$D147,$D147)</f>
        <v>2812503.2211727994</v>
      </c>
      <c r="J147" s="73">
        <f t="shared" si="32"/>
        <v>2812503.2211727994</v>
      </c>
      <c r="K147" s="73">
        <f t="shared" si="33"/>
        <v>136047.09266234562</v>
      </c>
      <c r="L147" s="73">
        <f t="shared" si="34"/>
        <v>17541319.302118808</v>
      </c>
      <c r="M147" s="73">
        <f>-SUMIFS(FinParameters!$E$8:$E$39,FinParameters!$B$8:$B$39,Financials!$E147,FinParameters!$C$8:$C$39,Financials!$F147)</f>
        <v>-2958750</v>
      </c>
      <c r="N147" s="73">
        <f>-SUMIFS(FinParameters!$F$8:$F$39,FinParameters!$B$8:$B$39,Financials!$E147,FinParameters!$C$8:$C$39,Financials!$F147)</f>
        <v>-73600000</v>
      </c>
      <c r="O147" s="73">
        <f>SUMIFS(FinParameters!$G$8:$G$39,FinParameters!$B$8:$B$39,Financials!$E147,FinParameters!$C$8:$C$39,Financials!$F147)</f>
        <v>39644813.504154257</v>
      </c>
      <c r="P147" s="73">
        <f t="shared" si="35"/>
        <v>-146246.77882720064</v>
      </c>
      <c r="Q147" s="73">
        <f>P147/SUMIFS(FinParameters!$H$8:$H$39,FinParameters!$B$8:$B$39,Financials!$E147,FinParameters!$C$8:$C$39,Financials!$F147)</f>
        <v>-106934.3842214754</v>
      </c>
      <c r="R147" s="73">
        <f t="shared" si="47"/>
        <v>-34101433.274672948</v>
      </c>
      <c r="S147" s="12">
        <f t="shared" si="36"/>
        <v>-1.0043070527339055</v>
      </c>
      <c r="T147" s="114">
        <f t="shared" si="37"/>
        <v>-2676456.1285104537</v>
      </c>
      <c r="U147" s="73">
        <f>T147/SUMIFS(FinParameters!$L$8:$L$39,FinParameters!$B$8:$B$39,Financials!$E147,FinParameters!$C$8:$C$39,Financials!$F147)</f>
        <v>-2485355.5842873589</v>
      </c>
      <c r="V147" s="73">
        <f t="shared" si="38"/>
        <v>-2485355.5842873589</v>
      </c>
      <c r="W147" s="12"/>
      <c r="X147" s="73">
        <f t="shared" si="39"/>
        <v>-2822702.9073376544</v>
      </c>
      <c r="Y147" s="73">
        <f t="shared" si="40"/>
        <v>-2592289.9685088345</v>
      </c>
      <c r="Z147" s="73">
        <f t="shared" si="40"/>
        <v>-36586788.858960308</v>
      </c>
      <c r="AA147" s="12">
        <f t="shared" si="41"/>
        <v>-1.0775022208591472</v>
      </c>
      <c r="AB147" s="114">
        <f t="shared" si="42"/>
        <v>17405272.209456462</v>
      </c>
      <c r="AC147" s="73">
        <f>AB147/SUMIFS(FinParameters!$L$8:$L$39,FinParameters!$B$8:$B$39,Financials!$E147,FinParameters!$C$8:$C$39,Financials!$F147)</f>
        <v>16162525.520599145</v>
      </c>
      <c r="AD147" s="73">
        <f t="shared" si="43"/>
        <v>16162525.520599145</v>
      </c>
      <c r="AE147" s="12"/>
      <c r="AF147" s="73">
        <f t="shared" si="44"/>
        <v>14582569.302118808</v>
      </c>
      <c r="AG147" s="73">
        <f t="shared" si="45"/>
        <v>13570235.552090311</v>
      </c>
      <c r="AH147" s="73">
        <f t="shared" si="45"/>
        <v>-20424263.338361163</v>
      </c>
      <c r="AI147" s="12">
        <f t="shared" si="46"/>
        <v>-0.60150643969692152</v>
      </c>
      <c r="AL147" s="73">
        <f>Summary!G147</f>
        <v>-6409679.0053364141</v>
      </c>
      <c r="AM147" s="73">
        <f>IF(D147&lt;&gt;"avg",SUMIFS(Summary!$H:$H,Summary!$C:$C,Financials!C147,Summary!$E:$E,Financials!E147,Summary!$D:$D,1-Financials!D147,Summary!$F:$F,Financials!F147),SUMIFS(Summary!$H:$H,Summary!$C:$C,Financials!C147,Summary!$E:$E,Financials!E147,Summary!$D:$D,"avg",Summary!$F:$F,Financials!F147))</f>
        <v>10027127.994788829</v>
      </c>
      <c r="AN147" s="20">
        <f>Summary!I147</f>
        <v>1588314.1721176903</v>
      </c>
      <c r="AP147" s="12">
        <v>1</v>
      </c>
    </row>
    <row r="148" spans="1:42" x14ac:dyDescent="0.3">
      <c r="A148">
        <v>144</v>
      </c>
      <c r="B148" t="str">
        <f>Summary!B148</f>
        <v>MarinusPortland</v>
      </c>
      <c r="C148" t="str">
        <f>Summary!C148</f>
        <v>Wind</v>
      </c>
      <c r="D148" s="104" t="str">
        <f>Summary!D148</f>
        <v>avg</v>
      </c>
      <c r="E148" t="str">
        <f>Summary!E148</f>
        <v>Cal-23</v>
      </c>
      <c r="F148" t="str">
        <f>Summary!F148</f>
        <v>2 Hour Battery</v>
      </c>
      <c r="G148" s="73">
        <f>SUMIFS(AL$5:AL148,$F$5:$F148,$F148,$D$5:$D148,$D148)</f>
        <v>24416497.176652879</v>
      </c>
      <c r="H148" s="73">
        <f>SUMIFS(AM$5:AM148,$F$5:$F148,$F148,$D$5:$D148,$D148)</f>
        <v>-297670.50282898149</v>
      </c>
      <c r="I148" s="20">
        <f>SUMIFS(AN$5:AN148,$F$5:$F148,$F148,$D$5:$D148,$D148)</f>
        <v>8534903.2336501293</v>
      </c>
      <c r="J148" s="73">
        <f t="shared" si="32"/>
        <v>8534903.2336501293</v>
      </c>
      <c r="K148" s="73">
        <f t="shared" si="33"/>
        <v>32951400.410303008</v>
      </c>
      <c r="L148" s="73">
        <f t="shared" si="34"/>
        <v>32653729.907474026</v>
      </c>
      <c r="M148" s="73">
        <f>-SUMIFS(FinParameters!$E$8:$E$39,FinParameters!$B$8:$B$39,Financials!$E148,FinParameters!$C$8:$C$39,Financials!$F148)</f>
        <v>-2958750</v>
      </c>
      <c r="N148" s="73">
        <f>-SUMIFS(FinParameters!$F$8:$F$39,FinParameters!$B$8:$B$39,Financials!$E148,FinParameters!$C$8:$C$39,Financials!$F148)</f>
        <v>-73600000</v>
      </c>
      <c r="O148" s="73">
        <f>SUMIFS(FinParameters!$G$8:$G$39,FinParameters!$B$8:$B$39,Financials!$E148,FinParameters!$C$8:$C$39,Financials!$F148)</f>
        <v>39644813.504154257</v>
      </c>
      <c r="P148" s="73">
        <f t="shared" si="35"/>
        <v>5576153.2336501293</v>
      </c>
      <c r="Q148" s="73">
        <f>P148/SUMIFS(FinParameters!$H$8:$H$39,FinParameters!$B$8:$B$39,Financials!$E148,FinParameters!$C$8:$C$39,Financials!$F148)</f>
        <v>4077235.1852583983</v>
      </c>
      <c r="R148" s="73">
        <f t="shared" si="47"/>
        <v>-28379033.26219561</v>
      </c>
      <c r="S148" s="12">
        <f t="shared" si="36"/>
        <v>-0.83577904264103076</v>
      </c>
      <c r="T148" s="114">
        <f t="shared" si="37"/>
        <v>24416497.176652879</v>
      </c>
      <c r="U148" s="73">
        <f>T148/SUMIFS(FinParameters!$L$8:$L$39,FinParameters!$B$8:$B$39,Financials!$E148,FinParameters!$C$8:$C$39,Financials!$F148)</f>
        <v>22673144.894963574</v>
      </c>
      <c r="V148" s="73">
        <f t="shared" si="38"/>
        <v>22673144.894963574</v>
      </c>
      <c r="W148" s="12"/>
      <c r="X148" s="73">
        <f t="shared" si="39"/>
        <v>29992650.410303008</v>
      </c>
      <c r="Y148" s="73">
        <f t="shared" si="40"/>
        <v>26750380.080221973</v>
      </c>
      <c r="Z148" s="73">
        <f t="shared" si="40"/>
        <v>-5705888.3672320358</v>
      </c>
      <c r="AA148" s="12">
        <f t="shared" si="41"/>
        <v>-0.16804173253267582</v>
      </c>
      <c r="AB148" s="114">
        <f t="shared" si="42"/>
        <v>-297670.50282898149</v>
      </c>
      <c r="AC148" s="73">
        <f>AB148/SUMIFS(FinParameters!$L$8:$L$39,FinParameters!$B$8:$B$39,Financials!$E148,FinParameters!$C$8:$C$39,Financials!$F148)</f>
        <v>-276416.65357517765</v>
      </c>
      <c r="AD148" s="73">
        <f t="shared" si="43"/>
        <v>-276416.65357517765</v>
      </c>
      <c r="AE148" s="12"/>
      <c r="AF148" s="73">
        <f t="shared" si="44"/>
        <v>29694979.907474026</v>
      </c>
      <c r="AG148" s="73">
        <f t="shared" si="45"/>
        <v>26473963.426646795</v>
      </c>
      <c r="AH148" s="73">
        <f t="shared" si="45"/>
        <v>-5982305.0208072131</v>
      </c>
      <c r="AI148" s="12">
        <f t="shared" si="46"/>
        <v>-0.17618236382059393</v>
      </c>
      <c r="AL148" s="73">
        <f>Summary!G148</f>
        <v>5402854.1614119262</v>
      </c>
      <c r="AM148" s="73">
        <f>IF(D148&lt;&gt;"avg",SUMIFS(Summary!$H:$H,Summary!$C:$C,Financials!C148,Summary!$E:$E,Financials!E148,Summary!$D:$D,1-Financials!D148,Summary!$F:$F,Financials!F148),SUMIFS(Summary!$H:$H,Summary!$C:$C,Financials!C148,Summary!$E:$E,Financials!E148,Summary!$D:$D,"avg",Summary!$F:$F,Financials!F148))</f>
        <v>-175074.13036700661</v>
      </c>
      <c r="AN148" s="20">
        <f>Summary!I148</f>
        <v>4776850.2804363398</v>
      </c>
      <c r="AP148" s="12">
        <v>1</v>
      </c>
    </row>
    <row r="149" spans="1:42" x14ac:dyDescent="0.3">
      <c r="A149">
        <v>145</v>
      </c>
      <c r="B149" t="str">
        <f>Summary!B149</f>
        <v>MarinusPortland</v>
      </c>
      <c r="C149" t="str">
        <f>Summary!C149</f>
        <v>Wind</v>
      </c>
      <c r="D149" s="104">
        <f>Summary!D149</f>
        <v>1</v>
      </c>
      <c r="E149" t="str">
        <f>Summary!E149</f>
        <v>Cal-24</v>
      </c>
      <c r="F149" t="str">
        <f>Summary!F149</f>
        <v>2 Hour Battery</v>
      </c>
      <c r="G149" s="73">
        <f>SUMIFS(AL$5:AL149,$F$5:$F149,$F149,$D$5:$D149,$D149)</f>
        <v>86006842.733915493</v>
      </c>
      <c r="H149" s="73">
        <f>SUMIFS(AM$5:AM149,$F$5:$F149,$F149,$D$5:$D149,$D149)</f>
        <v>-39336406.747550413</v>
      </c>
      <c r="I149" s="20">
        <f>SUMIFS(AN$5:AN149,$F$5:$F149,$F149,$D$5:$D149,$D149)</f>
        <v>28419559.658228923</v>
      </c>
      <c r="J149" s="73">
        <f t="shared" si="32"/>
        <v>28419559.658228923</v>
      </c>
      <c r="K149" s="73">
        <f t="shared" si="33"/>
        <v>114426402.39214441</v>
      </c>
      <c r="L149" s="73">
        <f t="shared" si="34"/>
        <v>75089995.644593999</v>
      </c>
      <c r="M149" s="73">
        <f>-SUMIFS(FinParameters!$E$8:$E$39,FinParameters!$B$8:$B$39,Financials!$E149,FinParameters!$C$8:$C$39,Financials!$F149)</f>
        <v>-3926468.75</v>
      </c>
      <c r="N149" s="73">
        <f>-SUMIFS(FinParameters!$F$8:$F$39,FinParameters!$B$8:$B$39,Financials!$E149,FinParameters!$C$8:$C$39,Financials!$F149)</f>
        <v>-73600000</v>
      </c>
      <c r="O149" s="73">
        <f>SUMIFS(FinParameters!$G$8:$G$39,FinParameters!$B$8:$B$39,Financials!$E149,FinParameters!$C$8:$C$39,Financials!$F149)</f>
        <v>31240191.585855849</v>
      </c>
      <c r="P149" s="73">
        <f t="shared" si="35"/>
        <v>24493090.908228923</v>
      </c>
      <c r="Q149" s="73">
        <f>P149/SUMIFS(FinParameters!$H$8:$H$39,FinParameters!$B$8:$B$39,Financials!$E149,FinParameters!$C$8:$C$39,Financials!$F149)</f>
        <v>16134357.633799683</v>
      </c>
      <c r="R149" s="73">
        <f t="shared" si="47"/>
        <v>-17866717.505915232</v>
      </c>
      <c r="S149" s="12">
        <f t="shared" si="36"/>
        <v>-0.42178466274529813</v>
      </c>
      <c r="T149" s="114">
        <f t="shared" si="37"/>
        <v>86006842.733915493</v>
      </c>
      <c r="U149" s="73">
        <f>T149/SUMIFS(FinParameters!$L$8:$L$39,FinParameters!$B$8:$B$39,Financials!$E149,FinParameters!$C$8:$C$39,Financials!$F149)</f>
        <v>77917954.631981865</v>
      </c>
      <c r="V149" s="73">
        <f t="shared" si="38"/>
        <v>77917954.631981865</v>
      </c>
      <c r="W149" s="12"/>
      <c r="X149" s="73">
        <f t="shared" si="39"/>
        <v>110499933.64214441</v>
      </c>
      <c r="Y149" s="73">
        <f t="shared" si="40"/>
        <v>94052312.265781552</v>
      </c>
      <c r="Z149" s="73">
        <f t="shared" si="40"/>
        <v>60051237.126066633</v>
      </c>
      <c r="AA149" s="12">
        <f t="shared" si="41"/>
        <v>1.4176465705169532</v>
      </c>
      <c r="AB149" s="114">
        <f t="shared" si="42"/>
        <v>-39336406.747550413</v>
      </c>
      <c r="AC149" s="73">
        <f>AB149/SUMIFS(FinParameters!$L$8:$L$39,FinParameters!$B$8:$B$39,Financials!$E149,FinParameters!$C$8:$C$39,Financials!$F149)</f>
        <v>-35636843.057048731</v>
      </c>
      <c r="AD149" s="73">
        <f t="shared" si="43"/>
        <v>-35636843.057048731</v>
      </c>
      <c r="AE149" s="12"/>
      <c r="AF149" s="73">
        <f t="shared" si="44"/>
        <v>71163526.894593999</v>
      </c>
      <c r="AG149" s="73">
        <f t="shared" si="45"/>
        <v>58415469.208732821</v>
      </c>
      <c r="AH149" s="73">
        <f t="shared" si="45"/>
        <v>24414394.069017902</v>
      </c>
      <c r="AI149" s="12">
        <f t="shared" si="46"/>
        <v>0.5763575186724833</v>
      </c>
      <c r="AL149" s="73">
        <f>Summary!G149</f>
        <v>16341145.621148063</v>
      </c>
      <c r="AM149" s="73">
        <f>IF(D149&lt;&gt;"avg",SUMIFS(Summary!$H:$H,Summary!$C:$C,Financials!C149,Summary!$E:$E,Financials!E149,Summary!$D:$D,1-Financials!D149,Summary!$F:$F,Financials!F149),SUMIFS(Summary!$H:$H,Summary!$C:$C,Financials!C149,Summary!$E:$E,Financials!E149,Summary!$D:$D,"avg",Summary!$F:$F,Financials!F149))</f>
        <v>-14274221.106096838</v>
      </c>
      <c r="AN149" s="20">
        <f>Summary!I149</f>
        <v>9816335.7337928973</v>
      </c>
      <c r="AP149" s="12">
        <v>1</v>
      </c>
    </row>
    <row r="150" spans="1:42" x14ac:dyDescent="0.3">
      <c r="A150">
        <v>146</v>
      </c>
      <c r="B150" t="str">
        <f>Summary!B150</f>
        <v>MarinusPortland</v>
      </c>
      <c r="C150" t="str">
        <f>Summary!C150</f>
        <v>Wind</v>
      </c>
      <c r="D150" s="104">
        <f>Summary!D150</f>
        <v>0.95</v>
      </c>
      <c r="E150" t="str">
        <f>Summary!E150</f>
        <v>Cal-24</v>
      </c>
      <c r="F150" t="str">
        <f>Summary!F150</f>
        <v>2 Hour Battery</v>
      </c>
      <c r="G150" s="73">
        <f>SUMIFS(AL$5:AL150,$F$5:$F150,$F150,$D$5:$D150,$D150)</f>
        <v>51797046.002224758</v>
      </c>
      <c r="H150" s="73">
        <f>SUMIFS(AM$5:AM150,$F$5:$F150,$F150,$D$5:$D150,$D150)</f>
        <v>-15742893.344050366</v>
      </c>
      <c r="I150" s="20">
        <f>SUMIFS(AN$5:AN150,$F$5:$F150,$F150,$D$5:$D150,$D150)</f>
        <v>18334947.904545359</v>
      </c>
      <c r="J150" s="73">
        <f t="shared" si="32"/>
        <v>18334947.904545359</v>
      </c>
      <c r="K150" s="73">
        <f t="shared" si="33"/>
        <v>70131993.90677011</v>
      </c>
      <c r="L150" s="73">
        <f t="shared" si="34"/>
        <v>54389100.562719755</v>
      </c>
      <c r="M150" s="73">
        <f>-SUMIFS(FinParameters!$E$8:$E$39,FinParameters!$B$8:$B$39,Financials!$E150,FinParameters!$C$8:$C$39,Financials!$F150)</f>
        <v>-3926468.75</v>
      </c>
      <c r="N150" s="73">
        <f>-SUMIFS(FinParameters!$F$8:$F$39,FinParameters!$B$8:$B$39,Financials!$E150,FinParameters!$C$8:$C$39,Financials!$F150)</f>
        <v>-73600000</v>
      </c>
      <c r="O150" s="73">
        <f>SUMIFS(FinParameters!$G$8:$G$39,FinParameters!$B$8:$B$39,Financials!$E150,FinParameters!$C$8:$C$39,Financials!$F150)</f>
        <v>31240191.585855849</v>
      </c>
      <c r="P150" s="73">
        <f t="shared" si="35"/>
        <v>14408479.154545359</v>
      </c>
      <c r="Q150" s="73">
        <f>P150/SUMIFS(FinParameters!$H$8:$H$39,FinParameters!$B$8:$B$39,Financials!$E150,FinParameters!$C$8:$C$39,Financials!$F150)</f>
        <v>9491311.5094215926</v>
      </c>
      <c r="R150" s="73">
        <f t="shared" si="47"/>
        <v>-27951329.259598792</v>
      </c>
      <c r="S150" s="12">
        <f t="shared" si="36"/>
        <v>-0.65985494991676363</v>
      </c>
      <c r="T150" s="114">
        <f t="shared" si="37"/>
        <v>51797046.002224758</v>
      </c>
      <c r="U150" s="73">
        <f>T150/SUMIFS(FinParameters!$L$8:$L$39,FinParameters!$B$8:$B$39,Financials!$E150,FinParameters!$C$8:$C$39,Financials!$F150)</f>
        <v>46925567.224438094</v>
      </c>
      <c r="V150" s="73">
        <f t="shared" si="38"/>
        <v>46925567.224438094</v>
      </c>
      <c r="W150" s="12"/>
      <c r="X150" s="73">
        <f t="shared" si="39"/>
        <v>66205525.15677011</v>
      </c>
      <c r="Y150" s="73">
        <f t="shared" si="40"/>
        <v>56416878.733859688</v>
      </c>
      <c r="Z150" s="73">
        <f t="shared" si="40"/>
        <v>18974237.964839302</v>
      </c>
      <c r="AA150" s="12">
        <f t="shared" si="41"/>
        <v>0.44793021203806271</v>
      </c>
      <c r="AB150" s="114">
        <f t="shared" si="42"/>
        <v>-15742893.344050366</v>
      </c>
      <c r="AC150" s="73">
        <f>AB150/SUMIFS(FinParameters!$L$8:$L$39,FinParameters!$B$8:$B$39,Financials!$E150,FinParameters!$C$8:$C$39,Financials!$F150)</f>
        <v>-14262284.376056202</v>
      </c>
      <c r="AD150" s="73">
        <f t="shared" si="43"/>
        <v>-14262284.376056202</v>
      </c>
      <c r="AE150" s="12"/>
      <c r="AF150" s="73">
        <f t="shared" si="44"/>
        <v>50462631.812719747</v>
      </c>
      <c r="AG150" s="73">
        <f t="shared" si="45"/>
        <v>42154594.357803486</v>
      </c>
      <c r="AH150" s="73">
        <f t="shared" si="45"/>
        <v>4711953.5887831002</v>
      </c>
      <c r="AI150" s="12">
        <f t="shared" si="46"/>
        <v>0.11123642351530928</v>
      </c>
      <c r="AL150" s="73">
        <f>Summary!G150</f>
        <v>6106770.9114028793</v>
      </c>
      <c r="AM150" s="73">
        <f>IF(D150&lt;&gt;"avg",SUMIFS(Summary!$H:$H,Summary!$C:$C,Financials!C150,Summary!$E:$E,Financials!E150,Summary!$D:$D,1-Financials!D150,Summary!$F:$F,Financials!F150),SUMIFS(Summary!$H:$H,Summary!$C:$C,Financials!C150,Summary!$E:$E,Financials!E150,Summary!$D:$D,"avg",Summary!$F:$F,Financials!F150))</f>
        <v>-6345462.0643353947</v>
      </c>
      <c r="AN150" s="20">
        <f>Summary!I150</f>
        <v>6041623.3031016644</v>
      </c>
      <c r="AP150" s="12">
        <v>1</v>
      </c>
    </row>
    <row r="151" spans="1:42" x14ac:dyDescent="0.3">
      <c r="A151">
        <v>147</v>
      </c>
      <c r="B151" t="str">
        <f>Summary!B151</f>
        <v>MarinusPortland</v>
      </c>
      <c r="C151" t="str">
        <f>Summary!C151</f>
        <v>Wind</v>
      </c>
      <c r="D151" s="104">
        <f>Summary!D151</f>
        <v>0.75</v>
      </c>
      <c r="E151" t="str">
        <f>Summary!E151</f>
        <v>Cal-24</v>
      </c>
      <c r="F151" t="str">
        <f>Summary!F151</f>
        <v>2 Hour Battery</v>
      </c>
      <c r="G151" s="73">
        <f>SUMIFS(AL$5:AL151,$F$5:$F151,$F151,$D$5:$D151,$D151)</f>
        <v>32266564.774680376</v>
      </c>
      <c r="H151" s="73">
        <f>SUMIFS(AM$5:AM151,$F$5:$F151,$F151,$D$5:$D151,$D151)</f>
        <v>-6247358.4010618636</v>
      </c>
      <c r="I151" s="20">
        <f>SUMIFS(AN$5:AN151,$F$5:$F151,$F151,$D$5:$D151,$D151)</f>
        <v>14459764.381728765</v>
      </c>
      <c r="J151" s="73">
        <f t="shared" si="32"/>
        <v>14459764.381728765</v>
      </c>
      <c r="K151" s="73">
        <f t="shared" si="33"/>
        <v>46726329.156409144</v>
      </c>
      <c r="L151" s="73">
        <f t="shared" si="34"/>
        <v>40478970.755347282</v>
      </c>
      <c r="M151" s="73">
        <f>-SUMIFS(FinParameters!$E$8:$E$39,FinParameters!$B$8:$B$39,Financials!$E151,FinParameters!$C$8:$C$39,Financials!$F151)</f>
        <v>-3926468.75</v>
      </c>
      <c r="N151" s="73">
        <f>-SUMIFS(FinParameters!$F$8:$F$39,FinParameters!$B$8:$B$39,Financials!$E151,FinParameters!$C$8:$C$39,Financials!$F151)</f>
        <v>-73600000</v>
      </c>
      <c r="O151" s="73">
        <f>SUMIFS(FinParameters!$G$8:$G$39,FinParameters!$B$8:$B$39,Financials!$E151,FinParameters!$C$8:$C$39,Financials!$F151)</f>
        <v>31240191.585855849</v>
      </c>
      <c r="P151" s="73">
        <f t="shared" si="35"/>
        <v>10533295.631728765</v>
      </c>
      <c r="Q151" s="73">
        <f>P151/SUMIFS(FinParameters!$H$8:$H$39,FinParameters!$B$8:$B$39,Financials!$E151,FinParameters!$C$8:$C$39,Financials!$F151)</f>
        <v>6938608.0924459631</v>
      </c>
      <c r="R151" s="73">
        <f t="shared" si="47"/>
        <v>-31826512.782415383</v>
      </c>
      <c r="S151" s="12">
        <f t="shared" si="36"/>
        <v>-0.75133750538372013</v>
      </c>
      <c r="T151" s="114">
        <f t="shared" si="37"/>
        <v>32266564.774680376</v>
      </c>
      <c r="U151" s="73">
        <f>T151/SUMIFS(FinParameters!$L$8:$L$39,FinParameters!$B$8:$B$39,Financials!$E151,FinParameters!$C$8:$C$39,Financials!$F151)</f>
        <v>29231915.163094748</v>
      </c>
      <c r="V151" s="73">
        <f t="shared" si="38"/>
        <v>29231915.163094748</v>
      </c>
      <c r="W151" s="12"/>
      <c r="X151" s="73">
        <f t="shared" si="39"/>
        <v>42799860.406409144</v>
      </c>
      <c r="Y151" s="73">
        <f t="shared" si="40"/>
        <v>36170523.255540714</v>
      </c>
      <c r="Z151" s="73">
        <f t="shared" si="40"/>
        <v>-2594597.6193206348</v>
      </c>
      <c r="AA151" s="12">
        <f t="shared" si="41"/>
        <v>-6.1251401185617393E-2</v>
      </c>
      <c r="AB151" s="114">
        <f t="shared" si="42"/>
        <v>-6247358.4010618636</v>
      </c>
      <c r="AC151" s="73">
        <f>AB151/SUMIFS(FinParameters!$L$8:$L$39,FinParameters!$B$8:$B$39,Financials!$E151,FinParameters!$C$8:$C$39,Financials!$F151)</f>
        <v>-5659798.3717371617</v>
      </c>
      <c r="AD151" s="73">
        <f t="shared" si="43"/>
        <v>-5659798.3717371617</v>
      </c>
      <c r="AE151" s="12"/>
      <c r="AF151" s="73">
        <f t="shared" si="44"/>
        <v>36552502.005347282</v>
      </c>
      <c r="AG151" s="73">
        <f t="shared" si="45"/>
        <v>30510724.883803554</v>
      </c>
      <c r="AH151" s="73">
        <f t="shared" si="45"/>
        <v>-8254395.9910577964</v>
      </c>
      <c r="AI151" s="12">
        <f t="shared" si="46"/>
        <v>-0.19486386506652878</v>
      </c>
      <c r="AL151" s="73">
        <f>Summary!G151</f>
        <v>-326455.46626934822</v>
      </c>
      <c r="AM151" s="73">
        <f>IF(D151&lt;&gt;"avg",SUMIFS(Summary!$H:$H,Summary!$C:$C,Financials!C151,Summary!$E:$E,Financials!E151,Summary!$D:$D,1-Financials!D151,Summary!$F:$F,Financials!F151),SUMIFS(Summary!$H:$H,Summary!$C:$C,Financials!C151,Summary!$E:$E,Financials!E151,Summary!$D:$D,"avg",Summary!$F:$F,Financials!F151))</f>
        <v>-2531642.5358235184</v>
      </c>
      <c r="AN151" s="20">
        <f>Summary!I151</f>
        <v>4607145.4770878619</v>
      </c>
      <c r="AP151" s="12">
        <v>1</v>
      </c>
    </row>
    <row r="152" spans="1:42" x14ac:dyDescent="0.3">
      <c r="A152">
        <v>148</v>
      </c>
      <c r="B152" t="str">
        <f>Summary!B152</f>
        <v>MarinusPortland</v>
      </c>
      <c r="C152" t="str">
        <f>Summary!C152</f>
        <v>Wind</v>
      </c>
      <c r="D152" s="104">
        <f>Summary!D152</f>
        <v>0.5</v>
      </c>
      <c r="E152" t="str">
        <f>Summary!E152</f>
        <v>Cal-24</v>
      </c>
      <c r="F152" t="str">
        <f>Summary!F152</f>
        <v>2 Hour Battery</v>
      </c>
      <c r="G152" s="73">
        <f>SUMIFS(AL$5:AL152,$F$5:$F152,$F152,$D$5:$D152,$D152)</f>
        <v>17250274.179693006</v>
      </c>
      <c r="H152" s="73">
        <f>SUMIFS(AM$5:AM152,$F$5:$F152,$F152,$D$5:$D152,$D152)</f>
        <v>-847.26187807799192</v>
      </c>
      <c r="I152" s="20">
        <f>SUMIFS(AN$5:AN152,$F$5:$F152,$F152,$D$5:$D152,$D152)</f>
        <v>12122150.339149486</v>
      </c>
      <c r="J152" s="73">
        <f t="shared" si="32"/>
        <v>12122150.339149486</v>
      </c>
      <c r="K152" s="73">
        <f t="shared" si="33"/>
        <v>29372424.518842492</v>
      </c>
      <c r="L152" s="73">
        <f t="shared" si="34"/>
        <v>29371577.256964415</v>
      </c>
      <c r="M152" s="73">
        <f>-SUMIFS(FinParameters!$E$8:$E$39,FinParameters!$B$8:$B$39,Financials!$E152,FinParameters!$C$8:$C$39,Financials!$F152)</f>
        <v>-3926468.75</v>
      </c>
      <c r="N152" s="73">
        <f>-SUMIFS(FinParameters!$F$8:$F$39,FinParameters!$B$8:$B$39,Financials!$E152,FinParameters!$C$8:$C$39,Financials!$F152)</f>
        <v>-73600000</v>
      </c>
      <c r="O152" s="73">
        <f>SUMIFS(FinParameters!$G$8:$G$39,FinParameters!$B$8:$B$39,Financials!$E152,FinParameters!$C$8:$C$39,Financials!$F152)</f>
        <v>31240191.585855849</v>
      </c>
      <c r="P152" s="73">
        <f t="shared" si="35"/>
        <v>8195681.5891494863</v>
      </c>
      <c r="Q152" s="73">
        <f>P152/SUMIFS(FinParameters!$H$8:$H$39,FinParameters!$B$8:$B$39,Financials!$E152,FinParameters!$C$8:$C$39,Financials!$F152)</f>
        <v>5398749.3170026839</v>
      </c>
      <c r="R152" s="73">
        <f t="shared" si="47"/>
        <v>-34164126.824994661</v>
      </c>
      <c r="S152" s="12">
        <f t="shared" si="36"/>
        <v>-0.80652222245620664</v>
      </c>
      <c r="T152" s="114">
        <f t="shared" si="37"/>
        <v>17250274.179693006</v>
      </c>
      <c r="U152" s="73">
        <f>T152/SUMIFS(FinParameters!$L$8:$L$39,FinParameters!$B$8:$B$39,Financials!$E152,FinParameters!$C$8:$C$39,Financials!$F152)</f>
        <v>15627897.016065443</v>
      </c>
      <c r="V152" s="73">
        <f t="shared" si="38"/>
        <v>15627897.016065443</v>
      </c>
      <c r="W152" s="12"/>
      <c r="X152" s="73">
        <f t="shared" si="39"/>
        <v>25445955.768842492</v>
      </c>
      <c r="Y152" s="73">
        <f t="shared" si="40"/>
        <v>21026646.333068125</v>
      </c>
      <c r="Z152" s="73">
        <f t="shared" si="40"/>
        <v>-18536229.80892922</v>
      </c>
      <c r="AA152" s="12">
        <f t="shared" si="41"/>
        <v>-0.43759002939068725</v>
      </c>
      <c r="AB152" s="114">
        <f t="shared" si="42"/>
        <v>-847.26187807799192</v>
      </c>
      <c r="AC152" s="73">
        <f>AB152/SUMIFS(FinParameters!$L$8:$L$39,FinParameters!$B$8:$B$39,Financials!$E152,FinParameters!$C$8:$C$39,Financials!$F152)</f>
        <v>-767.57744475900824</v>
      </c>
      <c r="AD152" s="73">
        <f t="shared" si="43"/>
        <v>-767.57744475900824</v>
      </c>
      <c r="AE152" s="12"/>
      <c r="AF152" s="73">
        <f t="shared" si="44"/>
        <v>25445108.506964415</v>
      </c>
      <c r="AG152" s="73">
        <f t="shared" si="45"/>
        <v>21025878.755623367</v>
      </c>
      <c r="AH152" s="73">
        <f t="shared" si="45"/>
        <v>-18536997.386373978</v>
      </c>
      <c r="AI152" s="12">
        <f t="shared" si="46"/>
        <v>-0.43760814980892082</v>
      </c>
      <c r="AL152" s="73">
        <f>Summary!G152</f>
        <v>-4430930.384617975</v>
      </c>
      <c r="AM152" s="73">
        <f>IF(D152&lt;&gt;"avg",SUMIFS(Summary!$H:$H,Summary!$C:$C,Financials!C152,Summary!$E:$E,Financials!E152,Summary!$D:$D,1-Financials!D152,Summary!$F:$F,Financials!F152),SUMIFS(Summary!$H:$H,Summary!$C:$C,Financials!C152,Summary!$E:$E,Financials!E152,Summary!$D:$D,"avg",Summary!$F:$F,Financials!F152))</f>
        <v>-1328.9987945802475</v>
      </c>
      <c r="AN152" s="20">
        <f>Summary!I152</f>
        <v>3763590.331501028</v>
      </c>
      <c r="AP152" s="12">
        <v>1</v>
      </c>
    </row>
    <row r="153" spans="1:42" x14ac:dyDescent="0.3">
      <c r="A153">
        <v>149</v>
      </c>
      <c r="B153" t="str">
        <f>Summary!B153</f>
        <v>MarinusPortland</v>
      </c>
      <c r="C153" t="str">
        <f>Summary!C153</f>
        <v>Wind</v>
      </c>
      <c r="D153" s="104">
        <f>Summary!D153</f>
        <v>0.25</v>
      </c>
      <c r="E153" t="str">
        <f>Summary!E153</f>
        <v>Cal-24</v>
      </c>
      <c r="F153" t="str">
        <f>Summary!F153</f>
        <v>2 Hour Battery</v>
      </c>
      <c r="G153" s="73">
        <f>SUMIFS(AL$5:AL153,$F$5:$F153,$F153,$D$5:$D153,$D153)</f>
        <v>8356275.7185376519</v>
      </c>
      <c r="H153" s="73">
        <f>SUMIFS(AM$5:AM153,$F$5:$F153,$F153,$D$5:$D153,$D153)</f>
        <v>5860148.7622348657</v>
      </c>
      <c r="I153" s="20">
        <f>SUMIFS(AN$5:AN153,$F$5:$F153,$F153,$D$5:$D153,$D153)</f>
        <v>10014448.861796638</v>
      </c>
      <c r="J153" s="73">
        <f t="shared" si="32"/>
        <v>10014448.861796638</v>
      </c>
      <c r="K153" s="73">
        <f t="shared" si="33"/>
        <v>18370724.580334291</v>
      </c>
      <c r="L153" s="73">
        <f t="shared" si="34"/>
        <v>24230873.342569157</v>
      </c>
      <c r="M153" s="73">
        <f>-SUMIFS(FinParameters!$E$8:$E$39,FinParameters!$B$8:$B$39,Financials!$E153,FinParameters!$C$8:$C$39,Financials!$F153)</f>
        <v>-3926468.75</v>
      </c>
      <c r="N153" s="73">
        <f>-SUMIFS(FinParameters!$F$8:$F$39,FinParameters!$B$8:$B$39,Financials!$E153,FinParameters!$C$8:$C$39,Financials!$F153)</f>
        <v>-73600000</v>
      </c>
      <c r="O153" s="73">
        <f>SUMIFS(FinParameters!$G$8:$G$39,FinParameters!$B$8:$B$39,Financials!$E153,FinParameters!$C$8:$C$39,Financials!$F153)</f>
        <v>31240191.585855849</v>
      </c>
      <c r="P153" s="73">
        <f t="shared" si="35"/>
        <v>6087980.111796638</v>
      </c>
      <c r="Q153" s="73">
        <f>P153/SUMIFS(FinParameters!$H$8:$H$39,FinParameters!$B$8:$B$39,Financials!$E153,FinParameters!$C$8:$C$39,Financials!$F153)</f>
        <v>4010341.0696191862</v>
      </c>
      <c r="R153" s="73">
        <f t="shared" si="47"/>
        <v>-36271828.302347519</v>
      </c>
      <c r="S153" s="12">
        <f t="shared" si="36"/>
        <v>-0.85627932845504029</v>
      </c>
      <c r="T153" s="114">
        <f t="shared" si="37"/>
        <v>8356275.7185376519</v>
      </c>
      <c r="U153" s="73">
        <f>T153/SUMIFS(FinParameters!$L$8:$L$39,FinParameters!$B$8:$B$39,Financials!$E153,FinParameters!$C$8:$C$39,Financials!$F153)</f>
        <v>7570373.3753337217</v>
      </c>
      <c r="V153" s="73">
        <f t="shared" si="38"/>
        <v>7570373.3753337217</v>
      </c>
      <c r="W153" s="12"/>
      <c r="X153" s="73">
        <f t="shared" si="39"/>
        <v>14444255.830334291</v>
      </c>
      <c r="Y153" s="73">
        <f t="shared" si="40"/>
        <v>11580714.444952909</v>
      </c>
      <c r="Z153" s="73">
        <f t="shared" si="40"/>
        <v>-28701454.927013796</v>
      </c>
      <c r="AA153" s="12">
        <f t="shared" si="41"/>
        <v>-0.67756337909758435</v>
      </c>
      <c r="AB153" s="114">
        <f t="shared" si="42"/>
        <v>5860148.7622348657</v>
      </c>
      <c r="AC153" s="73">
        <f>AB153/SUMIFS(FinParameters!$L$8:$L$39,FinParameters!$B$8:$B$39,Financials!$E153,FinParameters!$C$8:$C$39,Financials!$F153)</f>
        <v>5309005.5497691631</v>
      </c>
      <c r="AD153" s="73">
        <f t="shared" si="43"/>
        <v>5309005.5497691631</v>
      </c>
      <c r="AE153" s="12"/>
      <c r="AF153" s="73">
        <f t="shared" si="44"/>
        <v>20304404.592569157</v>
      </c>
      <c r="AG153" s="73">
        <f t="shared" si="45"/>
        <v>16889719.994722072</v>
      </c>
      <c r="AH153" s="73">
        <f t="shared" si="45"/>
        <v>-23392449.377244633</v>
      </c>
      <c r="AI153" s="12">
        <f t="shared" si="46"/>
        <v>-0.55223218076297476</v>
      </c>
      <c r="AL153" s="73">
        <f>Summary!G153</f>
        <v>-7222673.6401614686</v>
      </c>
      <c r="AM153" s="73">
        <f>IF(D153&lt;&gt;"avg",SUMIFS(Summary!$H:$H,Summary!$C:$C,Financials!C153,Summary!$E:$E,Financials!E153,Summary!$D:$D,1-Financials!D153,Summary!$F:$F,Financials!F153),SUMIFS(Summary!$H:$H,Summary!$C:$C,Financials!C153,Summary!$E:$E,Financials!E153,Summary!$D:$D,"avg",Summary!$F:$F,Financials!F153))</f>
        <v>2489219.4461912522</v>
      </c>
      <c r="AN153" s="20">
        <f>Summary!I153</f>
        <v>2994321.3209519293</v>
      </c>
      <c r="AP153" s="12">
        <v>1</v>
      </c>
    </row>
    <row r="154" spans="1:42" x14ac:dyDescent="0.3">
      <c r="A154">
        <v>150</v>
      </c>
      <c r="B154" t="str">
        <f>Summary!B154</f>
        <v>MarinusPortland</v>
      </c>
      <c r="C154" t="str">
        <f>Summary!C154</f>
        <v>Wind</v>
      </c>
      <c r="D154" s="104">
        <f>Summary!D154</f>
        <v>0.05</v>
      </c>
      <c r="E154" t="str">
        <f>Summary!E154</f>
        <v>Cal-24</v>
      </c>
      <c r="F154" t="str">
        <f>Summary!F154</f>
        <v>2 Hour Battery</v>
      </c>
      <c r="G154" s="73">
        <f>SUMIFS(AL$5:AL154,$F$5:$F154,$F154,$D$5:$D154,$D154)</f>
        <v>-2693441.7415489927</v>
      </c>
      <c r="H154" s="73">
        <f>SUMIFS(AM$5:AM154,$F$5:$F154,$F154,$D$5:$D154,$D154)</f>
        <v>13687546.828722453</v>
      </c>
      <c r="I154" s="20">
        <f>SUMIFS(AN$5:AN154,$F$5:$F154,$F154,$D$5:$D154,$D154)</f>
        <v>7548435.5710159261</v>
      </c>
      <c r="J154" s="73">
        <f t="shared" si="32"/>
        <v>7548435.5710159261</v>
      </c>
      <c r="K154" s="73">
        <f t="shared" si="33"/>
        <v>4854993.8294669334</v>
      </c>
      <c r="L154" s="73">
        <f t="shared" si="34"/>
        <v>18542540.658189386</v>
      </c>
      <c r="M154" s="73">
        <f>-SUMIFS(FinParameters!$E$8:$E$39,FinParameters!$B$8:$B$39,Financials!$E154,FinParameters!$C$8:$C$39,Financials!$F154)</f>
        <v>-3926468.75</v>
      </c>
      <c r="N154" s="73">
        <f>-SUMIFS(FinParameters!$F$8:$F$39,FinParameters!$B$8:$B$39,Financials!$E154,FinParameters!$C$8:$C$39,Financials!$F154)</f>
        <v>-73600000</v>
      </c>
      <c r="O154" s="73">
        <f>SUMIFS(FinParameters!$G$8:$G$39,FinParameters!$B$8:$B$39,Financials!$E154,FinParameters!$C$8:$C$39,Financials!$F154)</f>
        <v>31240191.585855849</v>
      </c>
      <c r="P154" s="73">
        <f t="shared" si="35"/>
        <v>3621966.8210159261</v>
      </c>
      <c r="Q154" s="73">
        <f>P154/SUMIFS(FinParameters!$H$8:$H$39,FinParameters!$B$8:$B$39,Financials!$E154,FinParameters!$C$8:$C$39,Financials!$F154)</f>
        <v>2385901.7323286901</v>
      </c>
      <c r="R154" s="73">
        <f t="shared" si="47"/>
        <v>-38737841.593128227</v>
      </c>
      <c r="S154" s="12">
        <f t="shared" si="36"/>
        <v>-0.9144952029620953</v>
      </c>
      <c r="T154" s="114">
        <f t="shared" si="37"/>
        <v>-2693441.7415489927</v>
      </c>
      <c r="U154" s="73">
        <f>T154/SUMIFS(FinParameters!$L$8:$L$39,FinParameters!$B$8:$B$39,Financials!$E154,FinParameters!$C$8:$C$39,Financials!$F154)</f>
        <v>-2440125.2824868849</v>
      </c>
      <c r="V154" s="73">
        <f t="shared" si="38"/>
        <v>-2440125.2824868849</v>
      </c>
      <c r="W154" s="12"/>
      <c r="X154" s="73">
        <f t="shared" si="39"/>
        <v>928525.07946693338</v>
      </c>
      <c r="Y154" s="73">
        <f t="shared" si="40"/>
        <v>-54223.550158194732</v>
      </c>
      <c r="Z154" s="73">
        <f t="shared" si="40"/>
        <v>-41177966.875615112</v>
      </c>
      <c r="AA154" s="12">
        <f t="shared" si="41"/>
        <v>-0.97209993192192024</v>
      </c>
      <c r="AB154" s="114">
        <f t="shared" si="42"/>
        <v>13687546.828722453</v>
      </c>
      <c r="AC154" s="73">
        <f>AB154/SUMIFS(FinParameters!$L$8:$L$39,FinParameters!$B$8:$B$39,Financials!$E154,FinParameters!$C$8:$C$39,Financials!$F154)</f>
        <v>12400241.875207948</v>
      </c>
      <c r="AD154" s="73">
        <f t="shared" si="43"/>
        <v>12400241.875207948</v>
      </c>
      <c r="AE154" s="12"/>
      <c r="AF154" s="73">
        <f t="shared" si="44"/>
        <v>14616071.908189386</v>
      </c>
      <c r="AG154" s="73">
        <f t="shared" si="45"/>
        <v>12346018.325049752</v>
      </c>
      <c r="AH154" s="73">
        <f t="shared" si="45"/>
        <v>-28777725.000407167</v>
      </c>
      <c r="AI154" s="12">
        <f t="shared" si="46"/>
        <v>-0.67936390833151505</v>
      </c>
      <c r="AL154" s="73">
        <f>Summary!G154</f>
        <v>-10796945.24338685</v>
      </c>
      <c r="AM154" s="73">
        <f>IF(D154&lt;&gt;"avg",SUMIFS(Summary!$H:$H,Summary!$C:$C,Financials!C154,Summary!$E:$E,Financials!E154,Summary!$D:$D,1-Financials!D154,Summary!$F:$F,Financials!F154),SUMIFS(Summary!$H:$H,Summary!$C:$C,Financials!C154,Summary!$E:$E,Financials!E154,Summary!$D:$D,"avg",Summary!$F:$F,Financials!F154))</f>
        <v>5888229.0578002948</v>
      </c>
      <c r="AN154" s="20">
        <f>Summary!I154</f>
        <v>2101745.6840126454</v>
      </c>
      <c r="AP154" s="12">
        <v>1</v>
      </c>
    </row>
    <row r="155" spans="1:42" x14ac:dyDescent="0.3">
      <c r="A155">
        <v>151</v>
      </c>
      <c r="B155" t="str">
        <f>Summary!B155</f>
        <v>MarinusPortland</v>
      </c>
      <c r="C155" t="str">
        <f>Summary!C155</f>
        <v>Wind</v>
      </c>
      <c r="D155" s="104">
        <f>Summary!D155</f>
        <v>0</v>
      </c>
      <c r="E155" t="str">
        <f>Summary!E155</f>
        <v>Cal-24</v>
      </c>
      <c r="F155" t="str">
        <f>Summary!F155</f>
        <v>2 Hour Battery</v>
      </c>
      <c r="G155" s="73">
        <f>SUMIFS(AL$5:AL155,$F$5:$F155,$F155,$D$5:$D155,$D155)</f>
        <v>-19110612.624901958</v>
      </c>
      <c r="H155" s="73">
        <f>SUMIFS(AM$5:AM155,$F$5:$F155,$F155,$D$5:$D155,$D155)</f>
        <v>29330056.225025401</v>
      </c>
      <c r="I155" s="20">
        <f>SUMIFS(AN$5:AN155,$F$5:$F155,$F155,$D$5:$D155,$D155)</f>
        <v>3680373.5680613979</v>
      </c>
      <c r="J155" s="73">
        <f t="shared" si="32"/>
        <v>3680373.5680613979</v>
      </c>
      <c r="K155" s="73">
        <f t="shared" si="33"/>
        <v>-15430239.056840559</v>
      </c>
      <c r="L155" s="73">
        <f t="shared" si="34"/>
        <v>13899817.168184841</v>
      </c>
      <c r="M155" s="73">
        <f>-SUMIFS(FinParameters!$E$8:$E$39,FinParameters!$B$8:$B$39,Financials!$E155,FinParameters!$C$8:$C$39,Financials!$F155)</f>
        <v>-3926468.75</v>
      </c>
      <c r="N155" s="73">
        <f>-SUMIFS(FinParameters!$F$8:$F$39,FinParameters!$B$8:$B$39,Financials!$E155,FinParameters!$C$8:$C$39,Financials!$F155)</f>
        <v>-73600000</v>
      </c>
      <c r="O155" s="73">
        <f>SUMIFS(FinParameters!$G$8:$G$39,FinParameters!$B$8:$B$39,Financials!$E155,FinParameters!$C$8:$C$39,Financials!$F155)</f>
        <v>31240191.585855849</v>
      </c>
      <c r="P155" s="73">
        <f t="shared" si="35"/>
        <v>-246095.18193860212</v>
      </c>
      <c r="Q155" s="73">
        <f>P155/SUMIFS(FinParameters!$H$8:$H$39,FinParameters!$B$8:$B$39,Financials!$E155,FinParameters!$C$8:$C$39,Financials!$F155)</f>
        <v>-162110.5189308064</v>
      </c>
      <c r="R155" s="73">
        <f t="shared" si="47"/>
        <v>-42605903.596082754</v>
      </c>
      <c r="S155" s="12">
        <f t="shared" si="36"/>
        <v>-1.0058096386917659</v>
      </c>
      <c r="T155" s="114">
        <f t="shared" si="37"/>
        <v>-19110612.624901958</v>
      </c>
      <c r="U155" s="73">
        <f>T155/SUMIFS(FinParameters!$L$8:$L$39,FinParameters!$B$8:$B$39,Financials!$E155,FinParameters!$C$8:$C$39,Financials!$F155)</f>
        <v>-17313271.830048267</v>
      </c>
      <c r="V155" s="73">
        <f t="shared" si="38"/>
        <v>-17313271.830048267</v>
      </c>
      <c r="W155" s="12"/>
      <c r="X155" s="73">
        <f t="shared" si="39"/>
        <v>-19356707.806840561</v>
      </c>
      <c r="Y155" s="73">
        <f t="shared" si="40"/>
        <v>-17475382.348979075</v>
      </c>
      <c r="Z155" s="73">
        <f t="shared" si="40"/>
        <v>-59919175.426131025</v>
      </c>
      <c r="AA155" s="12">
        <f t="shared" si="41"/>
        <v>-1.4145289525465303</v>
      </c>
      <c r="AB155" s="114">
        <f t="shared" si="42"/>
        <v>29330056.225025401</v>
      </c>
      <c r="AC155" s="73">
        <f>AB155/SUMIFS(FinParameters!$L$8:$L$39,FinParameters!$B$8:$B$39,Financials!$E155,FinParameters!$C$8:$C$39,Financials!$F155)</f>
        <v>26571583.349074829</v>
      </c>
      <c r="AD155" s="73">
        <f t="shared" si="43"/>
        <v>26571583.349074829</v>
      </c>
      <c r="AE155" s="12"/>
      <c r="AF155" s="73">
        <f t="shared" si="44"/>
        <v>9973348.4181848392</v>
      </c>
      <c r="AG155" s="73">
        <f t="shared" si="45"/>
        <v>9096201.0000957549</v>
      </c>
      <c r="AH155" s="73">
        <f t="shared" si="45"/>
        <v>-33347592.077056196</v>
      </c>
      <c r="AI155" s="12">
        <f t="shared" si="46"/>
        <v>-0.78724605529427438</v>
      </c>
      <c r="AL155" s="73">
        <f>Summary!G155</f>
        <v>-16434156.496391505</v>
      </c>
      <c r="AM155" s="73">
        <f>IF(D155&lt;&gt;"avg",SUMIFS(Summary!$H:$H,Summary!$C:$C,Financials!C155,Summary!$E:$E,Financials!E155,Summary!$D:$D,1-Financials!D155,Summary!$F:$F,Financials!F155),SUMIFS(Summary!$H:$H,Summary!$C:$C,Financials!C155,Summary!$E:$E,Financials!E155,Summary!$D:$D,"avg",Summary!$F:$F,Financials!F155))</f>
        <v>11924784.01556894</v>
      </c>
      <c r="AN155" s="20">
        <f>Summary!I155</f>
        <v>867870.34688859864</v>
      </c>
      <c r="AP155" s="12">
        <v>1</v>
      </c>
    </row>
    <row r="156" spans="1:42" x14ac:dyDescent="0.3">
      <c r="A156">
        <v>152</v>
      </c>
      <c r="B156" t="str">
        <f>Summary!B156</f>
        <v>MarinusPortland</v>
      </c>
      <c r="C156" t="str">
        <f>Summary!C156</f>
        <v>Wind</v>
      </c>
      <c r="D156" s="104" t="str">
        <f>Summary!D156</f>
        <v>avg</v>
      </c>
      <c r="E156" t="str">
        <f>Summary!E156</f>
        <v>Cal-24</v>
      </c>
      <c r="F156" t="str">
        <f>Summary!F156</f>
        <v>2 Hour Battery</v>
      </c>
      <c r="G156" s="73">
        <f>SUMIFS(AL$5:AL156,$F$5:$F156,$F156,$D$5:$D156,$D156)</f>
        <v>20864265.046559762</v>
      </c>
      <c r="H156" s="73">
        <f>SUMIFS(AM$5:AM156,$F$5:$F156,$F156,$D$5:$D156,$D156)</f>
        <v>-386192.93970963685</v>
      </c>
      <c r="I156" s="20">
        <f>SUMIFS(AN$5:AN156,$F$5:$F156,$F156,$D$5:$D156,$D156)</f>
        <v>12366322.279043935</v>
      </c>
      <c r="J156" s="73">
        <f t="shared" si="32"/>
        <v>12366322.279043935</v>
      </c>
      <c r="K156" s="73">
        <f t="shared" si="33"/>
        <v>33230587.325603697</v>
      </c>
      <c r="L156" s="73">
        <f t="shared" si="34"/>
        <v>32844394.38589406</v>
      </c>
      <c r="M156" s="73">
        <f>-SUMIFS(FinParameters!$E$8:$E$39,FinParameters!$B$8:$B$39,Financials!$E156,FinParameters!$C$8:$C$39,Financials!$F156)</f>
        <v>-3926468.75</v>
      </c>
      <c r="N156" s="73">
        <f>-SUMIFS(FinParameters!$F$8:$F$39,FinParameters!$B$8:$B$39,Financials!$E156,FinParameters!$C$8:$C$39,Financials!$F156)</f>
        <v>-73600000</v>
      </c>
      <c r="O156" s="73">
        <f>SUMIFS(FinParameters!$G$8:$G$39,FinParameters!$B$8:$B$39,Financials!$E156,FinParameters!$C$8:$C$39,Financials!$F156)</f>
        <v>31240191.585855849</v>
      </c>
      <c r="P156" s="73">
        <f t="shared" si="35"/>
        <v>8439853.5290439352</v>
      </c>
      <c r="Q156" s="73">
        <f>P156/SUMIFS(FinParameters!$H$8:$H$39,FinParameters!$B$8:$B$39,Financials!$E156,FinParameters!$C$8:$C$39,Financials!$F156)</f>
        <v>5559592.9368282286</v>
      </c>
      <c r="R156" s="73">
        <f t="shared" si="47"/>
        <v>-33919954.885100216</v>
      </c>
      <c r="S156" s="12">
        <f t="shared" si="36"/>
        <v>-0.80075798628433303</v>
      </c>
      <c r="T156" s="114">
        <f t="shared" si="37"/>
        <v>20864265.046559762</v>
      </c>
      <c r="U156" s="73">
        <f>T156/SUMIFS(FinParameters!$L$8:$L$39,FinParameters!$B$8:$B$39,Financials!$E156,FinParameters!$C$8:$C$39,Financials!$F156)</f>
        <v>18901994.372203808</v>
      </c>
      <c r="V156" s="73">
        <f t="shared" si="38"/>
        <v>18901994.372203808</v>
      </c>
      <c r="W156" s="12"/>
      <c r="X156" s="73">
        <f t="shared" si="39"/>
        <v>29304118.575603697</v>
      </c>
      <c r="Y156" s="73">
        <f t="shared" si="40"/>
        <v>24461587.309032038</v>
      </c>
      <c r="Z156" s="73">
        <f t="shared" si="40"/>
        <v>-15017960.512896407</v>
      </c>
      <c r="AA156" s="12">
        <f t="shared" si="41"/>
        <v>-0.35453324920803553</v>
      </c>
      <c r="AB156" s="114">
        <f t="shared" si="42"/>
        <v>-386192.93970963685</v>
      </c>
      <c r="AC156" s="73">
        <f>AB156/SUMIFS(FinParameters!$L$8:$L$39,FinParameters!$B$8:$B$39,Financials!$E156,FinParameters!$C$8:$C$39,Financials!$F156)</f>
        <v>-349871.74274705839</v>
      </c>
      <c r="AD156" s="73">
        <f t="shared" si="43"/>
        <v>-349871.74274705839</v>
      </c>
      <c r="AE156" s="12"/>
      <c r="AF156" s="73">
        <f t="shared" si="44"/>
        <v>28917925.63589406</v>
      </c>
      <c r="AG156" s="73">
        <f t="shared" si="45"/>
        <v>24111715.566284981</v>
      </c>
      <c r="AH156" s="73">
        <f t="shared" si="45"/>
        <v>-15367832.255643466</v>
      </c>
      <c r="AI156" s="12">
        <f t="shared" si="46"/>
        <v>-0.36279277057617831</v>
      </c>
      <c r="AL156" s="73">
        <f>Summary!G156</f>
        <v>-3552232.1300931172</v>
      </c>
      <c r="AM156" s="73">
        <f>IF(D156&lt;&gt;"avg",SUMIFS(Summary!$H:$H,Summary!$C:$C,Financials!C156,Summary!$E:$E,Financials!E156,Summary!$D:$D,1-Financials!D156,Summary!$F:$F,Financials!F156),SUMIFS(Summary!$H:$H,Summary!$C:$C,Financials!C156,Summary!$E:$E,Financials!E156,Summary!$D:$D,"avg",Summary!$F:$F,Financials!F156))</f>
        <v>-88522.436880655383</v>
      </c>
      <c r="AN156" s="20">
        <f>Summary!I156</f>
        <v>3831419.0453938055</v>
      </c>
      <c r="AP156" s="12">
        <v>1</v>
      </c>
    </row>
    <row r="157" spans="1:42" x14ac:dyDescent="0.3">
      <c r="A157">
        <v>153</v>
      </c>
      <c r="B157" t="str">
        <f>Summary!B157</f>
        <v>MarinusPortland</v>
      </c>
      <c r="C157" t="str">
        <f>Summary!C157</f>
        <v>Wind</v>
      </c>
      <c r="D157" s="104">
        <f>Summary!D157</f>
        <v>1</v>
      </c>
      <c r="E157" t="str">
        <f>Summary!E157</f>
        <v>Cal-25</v>
      </c>
      <c r="F157" t="str">
        <f>Summary!F157</f>
        <v>2 Hour Battery</v>
      </c>
      <c r="G157" s="73">
        <f>SUMIFS(AL$5:AL157,$F$5:$F157,$F157,$D$5:$D157,$D157)</f>
        <v>100015233.62717754</v>
      </c>
      <c r="H157" s="73">
        <f>SUMIFS(AM$5:AM157,$F$5:$F157,$F157,$D$5:$D157,$D157)</f>
        <v>-54398693.05164589</v>
      </c>
      <c r="I157" s="20">
        <f>SUMIFS(AN$5:AN157,$F$5:$F157,$F157,$D$5:$D157,$D157)</f>
        <v>37520235.945253253</v>
      </c>
      <c r="J157" s="73">
        <f t="shared" si="32"/>
        <v>37520235.945253253</v>
      </c>
      <c r="K157" s="73">
        <f t="shared" si="33"/>
        <v>137535469.57243079</v>
      </c>
      <c r="L157" s="73">
        <f t="shared" si="34"/>
        <v>83136776.5207849</v>
      </c>
      <c r="M157" s="73">
        <f>-SUMIFS(FinParameters!$E$8:$E$39,FinParameters!$B$8:$B$39,Financials!$E157,FinParameters!$C$8:$C$39,Financials!$F157)</f>
        <v>-4903380.46875</v>
      </c>
      <c r="N157" s="73">
        <f>-SUMIFS(FinParameters!$F$8:$F$39,FinParameters!$B$8:$B$39,Financials!$E157,FinParameters!$C$8:$C$39,Financials!$F157)</f>
        <v>-73600000</v>
      </c>
      <c r="O157" s="73">
        <f>SUMIFS(FinParameters!$G$8:$G$39,FinParameters!$B$8:$B$39,Financials!$E157,FinParameters!$C$8:$C$39,Financials!$F157)</f>
        <v>24886496.936233528</v>
      </c>
      <c r="P157" s="73">
        <f t="shared" si="35"/>
        <v>32616855.476503253</v>
      </c>
      <c r="Q157" s="73">
        <f>P157/SUMIFS(FinParameters!$H$8:$H$39,FinParameters!$B$8:$B$39,Financials!$E157,FinParameters!$C$8:$C$39,Financials!$F157)</f>
        <v>19356516.199624926</v>
      </c>
      <c r="R157" s="73">
        <f t="shared" si="47"/>
        <v>-16096647.587263219</v>
      </c>
      <c r="S157" s="12">
        <f t="shared" si="36"/>
        <v>-0.33043502468283881</v>
      </c>
      <c r="T157" s="114">
        <f t="shared" si="37"/>
        <v>100015233.62717754</v>
      </c>
      <c r="U157" s="73">
        <f>T157/SUMIFS(FinParameters!$L$8:$L$39,FinParameters!$B$8:$B$39,Financials!$E157,FinParameters!$C$8:$C$39,Financials!$F157)</f>
        <v>88398893.067648426</v>
      </c>
      <c r="V157" s="73">
        <f t="shared" si="38"/>
        <v>88398893.067648426</v>
      </c>
      <c r="W157" s="12"/>
      <c r="X157" s="73">
        <f t="shared" si="39"/>
        <v>132632089.10368079</v>
      </c>
      <c r="Y157" s="73">
        <f t="shared" si="40"/>
        <v>107755409.26727335</v>
      </c>
      <c r="Z157" s="73">
        <f t="shared" si="40"/>
        <v>72302245.480385214</v>
      </c>
      <c r="AA157" s="12">
        <f t="shared" si="41"/>
        <v>1.4842341636925769</v>
      </c>
      <c r="AB157" s="114">
        <f t="shared" si="42"/>
        <v>-54398693.05164589</v>
      </c>
      <c r="AC157" s="73">
        <f>AB157/SUMIFS(FinParameters!$L$8:$L$39,FinParameters!$B$8:$B$39,Financials!$E157,FinParameters!$C$8:$C$39,Financials!$F157)</f>
        <v>-48080518.094051272</v>
      </c>
      <c r="AD157" s="73">
        <f t="shared" si="43"/>
        <v>-48080518.094051272</v>
      </c>
      <c r="AE157" s="12"/>
      <c r="AF157" s="73">
        <f t="shared" si="44"/>
        <v>78233396.0520349</v>
      </c>
      <c r="AG157" s="73">
        <f t="shared" si="45"/>
        <v>59674891.17322208</v>
      </c>
      <c r="AH157" s="73">
        <f t="shared" si="45"/>
        <v>24221727.386333942</v>
      </c>
      <c r="AI157" s="12">
        <f t="shared" si="46"/>
        <v>0.49722819881435038</v>
      </c>
      <c r="AL157" s="73">
        <f>Summary!G157</f>
        <v>14008390.89326204</v>
      </c>
      <c r="AM157" s="73">
        <f>IF(D157&lt;&gt;"avg",SUMIFS(Summary!$H:$H,Summary!$C:$C,Financials!C157,Summary!$E:$E,Financials!E157,Summary!$D:$D,1-Financials!D157,Summary!$F:$F,Financials!F157),SUMIFS(Summary!$H:$H,Summary!$C:$C,Financials!C157,Summary!$E:$E,Financials!E157,Summary!$D:$D,"avg",Summary!$F:$F,Financials!F157))</f>
        <v>-15062286.304095477</v>
      </c>
      <c r="AN157" s="20">
        <f>Summary!I157</f>
        <v>9100676.2870243285</v>
      </c>
      <c r="AP157" s="12">
        <v>1</v>
      </c>
    </row>
    <row r="158" spans="1:42" x14ac:dyDescent="0.3">
      <c r="A158">
        <v>154</v>
      </c>
      <c r="B158" t="str">
        <f>Summary!B158</f>
        <v>MarinusPortland</v>
      </c>
      <c r="C158" t="str">
        <f>Summary!C158</f>
        <v>Wind</v>
      </c>
      <c r="D158" s="104">
        <f>Summary!D158</f>
        <v>0.95</v>
      </c>
      <c r="E158" t="str">
        <f>Summary!E158</f>
        <v>Cal-25</v>
      </c>
      <c r="F158" t="str">
        <f>Summary!F158</f>
        <v>2 Hour Battery</v>
      </c>
      <c r="G158" s="73">
        <f>SUMIFS(AL$5:AL158,$F$5:$F158,$F158,$D$5:$D158,$D158)</f>
        <v>56888597.124111243</v>
      </c>
      <c r="H158" s="73">
        <f>SUMIFS(AM$5:AM158,$F$5:$F158,$F158,$D$5:$D158,$D158)</f>
        <v>-21342531.06492047</v>
      </c>
      <c r="I158" s="20">
        <f>SUMIFS(AN$5:AN158,$F$5:$F158,$F158,$D$5:$D158,$D158)</f>
        <v>24703265.168973345</v>
      </c>
      <c r="J158" s="73">
        <f t="shared" si="32"/>
        <v>24703265.168973345</v>
      </c>
      <c r="K158" s="73">
        <f t="shared" si="33"/>
        <v>81591862.293084592</v>
      </c>
      <c r="L158" s="73">
        <f t="shared" si="34"/>
        <v>60249331.228164122</v>
      </c>
      <c r="M158" s="73">
        <f>-SUMIFS(FinParameters!$E$8:$E$39,FinParameters!$B$8:$B$39,Financials!$E158,FinParameters!$C$8:$C$39,Financials!$F158)</f>
        <v>-4903380.46875</v>
      </c>
      <c r="N158" s="73">
        <f>-SUMIFS(FinParameters!$F$8:$F$39,FinParameters!$B$8:$B$39,Financials!$E158,FinParameters!$C$8:$C$39,Financials!$F158)</f>
        <v>-73600000</v>
      </c>
      <c r="O158" s="73">
        <f>SUMIFS(FinParameters!$G$8:$G$39,FinParameters!$B$8:$B$39,Financials!$E158,FinParameters!$C$8:$C$39,Financials!$F158)</f>
        <v>24886496.936233528</v>
      </c>
      <c r="P158" s="73">
        <f t="shared" si="35"/>
        <v>19799884.700223345</v>
      </c>
      <c r="Q158" s="73">
        <f>P158/SUMIFS(FinParameters!$H$8:$H$39,FinParameters!$B$8:$B$39,Financials!$E158,FinParameters!$C$8:$C$39,Financials!$F158)</f>
        <v>11750267.870753881</v>
      </c>
      <c r="R158" s="73">
        <f t="shared" si="47"/>
        <v>-28913618.36354313</v>
      </c>
      <c r="S158" s="12">
        <f t="shared" si="36"/>
        <v>-0.59354422377908045</v>
      </c>
      <c r="T158" s="114">
        <f t="shared" si="37"/>
        <v>56888597.124111243</v>
      </c>
      <c r="U158" s="73">
        <f>T158/SUMIFS(FinParameters!$L$8:$L$39,FinParameters!$B$8:$B$39,Financials!$E158,FinParameters!$C$8:$C$39,Financials!$F158)</f>
        <v>50281230.484236173</v>
      </c>
      <c r="V158" s="73">
        <f t="shared" si="38"/>
        <v>50281230.484236173</v>
      </c>
      <c r="W158" s="12"/>
      <c r="X158" s="73">
        <f t="shared" si="39"/>
        <v>76688481.824334592</v>
      </c>
      <c r="Y158" s="73">
        <f t="shared" si="40"/>
        <v>62031498.35499005</v>
      </c>
      <c r="Z158" s="73">
        <f t="shared" si="40"/>
        <v>21367612.120693043</v>
      </c>
      <c r="AA158" s="12">
        <f t="shared" si="41"/>
        <v>0.43863838108137326</v>
      </c>
      <c r="AB158" s="114">
        <f t="shared" si="42"/>
        <v>-21342531.06492047</v>
      </c>
      <c r="AC158" s="73">
        <f>AB158/SUMIFS(FinParameters!$L$8:$L$39,FinParameters!$B$8:$B$39,Financials!$E158,FinParameters!$C$8:$C$39,Financials!$F158)</f>
        <v>-18863687.590169273</v>
      </c>
      <c r="AD158" s="73">
        <f t="shared" si="43"/>
        <v>-18863687.590169273</v>
      </c>
      <c r="AE158" s="12"/>
      <c r="AF158" s="73">
        <f t="shared" si="44"/>
        <v>55345950.759414122</v>
      </c>
      <c r="AG158" s="73">
        <f t="shared" si="45"/>
        <v>43167810.764820777</v>
      </c>
      <c r="AH158" s="73">
        <f t="shared" si="45"/>
        <v>2503924.5305237696</v>
      </c>
      <c r="AI158" s="12">
        <f t="shared" si="46"/>
        <v>5.1401036120233577E-2</v>
      </c>
      <c r="AL158" s="73">
        <f>Summary!G158</f>
        <v>5091551.1218864843</v>
      </c>
      <c r="AM158" s="73">
        <f>IF(D158&lt;&gt;"avg",SUMIFS(Summary!$H:$H,Summary!$C:$C,Financials!C158,Summary!$E:$E,Financials!E158,Summary!$D:$D,1-Financials!D158,Summary!$F:$F,Financials!F158),SUMIFS(Summary!$H:$H,Summary!$C:$C,Financials!C158,Summary!$E:$E,Financials!E158,Summary!$D:$D,"avg",Summary!$F:$F,Financials!F158))</f>
        <v>-5599637.7208701055</v>
      </c>
      <c r="AN158" s="20">
        <f>Summary!I158</f>
        <v>6368317.2644279869</v>
      </c>
      <c r="AP158" s="12">
        <v>1</v>
      </c>
    </row>
    <row r="159" spans="1:42" x14ac:dyDescent="0.3">
      <c r="A159">
        <v>155</v>
      </c>
      <c r="B159" t="str">
        <f>Summary!B159</f>
        <v>MarinusPortland</v>
      </c>
      <c r="C159" t="str">
        <f>Summary!C159</f>
        <v>Wind</v>
      </c>
      <c r="D159" s="104">
        <f>Summary!D159</f>
        <v>0.75</v>
      </c>
      <c r="E159" t="str">
        <f>Summary!E159</f>
        <v>Cal-25</v>
      </c>
      <c r="F159" t="str">
        <f>Summary!F159</f>
        <v>2 Hour Battery</v>
      </c>
      <c r="G159" s="73">
        <f>SUMIFS(AL$5:AL159,$F$5:$F159,$F159,$D$5:$D159,$D159)</f>
        <v>31430957.758346163</v>
      </c>
      <c r="H159" s="73">
        <f>SUMIFS(AM$5:AM159,$F$5:$F159,$F159,$D$5:$D159,$D159)</f>
        <v>-8359351.0570553048</v>
      </c>
      <c r="I159" s="20">
        <f>SUMIFS(AN$5:AN159,$F$5:$F159,$F159,$D$5:$D159,$D159)</f>
        <v>19488087.877852041</v>
      </c>
      <c r="J159" s="73">
        <f t="shared" si="32"/>
        <v>19488087.877852041</v>
      </c>
      <c r="K159" s="73">
        <f t="shared" si="33"/>
        <v>50919045.636198208</v>
      </c>
      <c r="L159" s="73">
        <f t="shared" si="34"/>
        <v>42559694.579142898</v>
      </c>
      <c r="M159" s="73">
        <f>-SUMIFS(FinParameters!$E$8:$E$39,FinParameters!$B$8:$B$39,Financials!$E159,FinParameters!$C$8:$C$39,Financials!$F159)</f>
        <v>-4903380.46875</v>
      </c>
      <c r="N159" s="73">
        <f>-SUMIFS(FinParameters!$F$8:$F$39,FinParameters!$B$8:$B$39,Financials!$E159,FinParameters!$C$8:$C$39,Financials!$F159)</f>
        <v>-73600000</v>
      </c>
      <c r="O159" s="73">
        <f>SUMIFS(FinParameters!$G$8:$G$39,FinParameters!$B$8:$B$39,Financials!$E159,FinParameters!$C$8:$C$39,Financials!$F159)</f>
        <v>24886496.936233528</v>
      </c>
      <c r="P159" s="73">
        <f t="shared" si="35"/>
        <v>14584707.409102041</v>
      </c>
      <c r="Q159" s="73">
        <f>P159/SUMIFS(FinParameters!$H$8:$H$39,FinParameters!$B$8:$B$39,Financials!$E159,FinParameters!$C$8:$C$39,Financials!$F159)</f>
        <v>8655313.9812771063</v>
      </c>
      <c r="R159" s="73">
        <f t="shared" si="47"/>
        <v>-34128795.654664434</v>
      </c>
      <c r="S159" s="12">
        <f t="shared" si="36"/>
        <v>-0.70060236912113449</v>
      </c>
      <c r="T159" s="114">
        <f t="shared" si="37"/>
        <v>31430957.758346163</v>
      </c>
      <c r="U159" s="73">
        <f>T159/SUMIFS(FinParameters!$L$8:$L$39,FinParameters!$B$8:$B$39,Financials!$E159,FinParameters!$C$8:$C$39,Financials!$F159)</f>
        <v>27780386.778387874</v>
      </c>
      <c r="V159" s="73">
        <f t="shared" si="38"/>
        <v>27780386.778387874</v>
      </c>
      <c r="W159" s="12"/>
      <c r="X159" s="73">
        <f t="shared" si="39"/>
        <v>46015665.167448208</v>
      </c>
      <c r="Y159" s="73">
        <f t="shared" si="40"/>
        <v>36435700.759664983</v>
      </c>
      <c r="Z159" s="73">
        <f t="shared" si="40"/>
        <v>-6348408.8762765601</v>
      </c>
      <c r="AA159" s="12">
        <f t="shared" si="41"/>
        <v>-0.13032133755534739</v>
      </c>
      <c r="AB159" s="114">
        <f t="shared" si="42"/>
        <v>-8359351.0570553048</v>
      </c>
      <c r="AC159" s="73">
        <f>AB159/SUMIFS(FinParameters!$L$8:$L$39,FinParameters!$B$8:$B$39,Financials!$E159,FinParameters!$C$8:$C$39,Financials!$F159)</f>
        <v>-7388448.2734114807</v>
      </c>
      <c r="AD159" s="73">
        <f t="shared" si="43"/>
        <v>-7388448.2734114807</v>
      </c>
      <c r="AE159" s="12"/>
      <c r="AF159" s="73">
        <f t="shared" si="44"/>
        <v>37656314.110392906</v>
      </c>
      <c r="AG159" s="73">
        <f t="shared" si="45"/>
        <v>29047252.4862535</v>
      </c>
      <c r="AH159" s="73">
        <f t="shared" si="45"/>
        <v>-13736857.149688041</v>
      </c>
      <c r="AI159" s="12">
        <f t="shared" si="46"/>
        <v>-0.28199280047066938</v>
      </c>
      <c r="AL159" s="73">
        <f>Summary!G159</f>
        <v>-835607.01633421273</v>
      </c>
      <c r="AM159" s="73">
        <f>IF(D159&lt;&gt;"avg",SUMIFS(Summary!$H:$H,Summary!$C:$C,Financials!C159,Summary!$E:$E,Financials!E159,Summary!$D:$D,1-Financials!D159,Summary!$F:$F,Financials!F159),SUMIFS(Summary!$H:$H,Summary!$C:$C,Financials!C159,Summary!$E:$E,Financials!E159,Summary!$D:$D,"avg",Summary!$F:$F,Financials!F159))</f>
        <v>-2111992.6559934411</v>
      </c>
      <c r="AN159" s="20">
        <f>Summary!I159</f>
        <v>5028323.4961232767</v>
      </c>
      <c r="AP159" s="12">
        <v>1</v>
      </c>
    </row>
    <row r="160" spans="1:42" x14ac:dyDescent="0.3">
      <c r="A160">
        <v>156</v>
      </c>
      <c r="B160" t="str">
        <f>Summary!B160</f>
        <v>MarinusPortland</v>
      </c>
      <c r="C160" t="str">
        <f>Summary!C160</f>
        <v>Wind</v>
      </c>
      <c r="D160" s="104">
        <f>Summary!D160</f>
        <v>0.5</v>
      </c>
      <c r="E160" t="str">
        <f>Summary!E160</f>
        <v>Cal-25</v>
      </c>
      <c r="F160" t="str">
        <f>Summary!F160</f>
        <v>2 Hour Battery</v>
      </c>
      <c r="G160" s="73">
        <f>SUMIFS(AL$5:AL160,$F$5:$F160,$F160,$D$5:$D160,$D160)</f>
        <v>13215365.732183944</v>
      </c>
      <c r="H160" s="73">
        <f>SUMIFS(AM$5:AM160,$F$5:$F160,$F160,$D$5:$D160,$D160)</f>
        <v>99924.737820358234</v>
      </c>
      <c r="I160" s="20">
        <f>SUMIFS(AN$5:AN160,$F$5:$F160,$F160,$D$5:$D160,$D160)</f>
        <v>16325534.865098733</v>
      </c>
      <c r="J160" s="73">
        <f t="shared" si="32"/>
        <v>16325534.865098733</v>
      </c>
      <c r="K160" s="73">
        <f t="shared" si="33"/>
        <v>29540900.597282678</v>
      </c>
      <c r="L160" s="73">
        <f t="shared" si="34"/>
        <v>29640825.335103035</v>
      </c>
      <c r="M160" s="73">
        <f>-SUMIFS(FinParameters!$E$8:$E$39,FinParameters!$B$8:$B$39,Financials!$E160,FinParameters!$C$8:$C$39,Financials!$F160)</f>
        <v>-4903380.46875</v>
      </c>
      <c r="N160" s="73">
        <f>-SUMIFS(FinParameters!$F$8:$F$39,FinParameters!$B$8:$B$39,Financials!$E160,FinParameters!$C$8:$C$39,Financials!$F160)</f>
        <v>-73600000</v>
      </c>
      <c r="O160" s="73">
        <f>SUMIFS(FinParameters!$G$8:$G$39,FinParameters!$B$8:$B$39,Financials!$E160,FinParameters!$C$8:$C$39,Financials!$F160)</f>
        <v>24886496.936233528</v>
      </c>
      <c r="P160" s="73">
        <f t="shared" si="35"/>
        <v>11422154.396348733</v>
      </c>
      <c r="Q160" s="73">
        <f>P160/SUMIFS(FinParameters!$H$8:$H$39,FinParameters!$B$8:$B$39,Financials!$E160,FinParameters!$C$8:$C$39,Financials!$F160)</f>
        <v>6778492.6958030602</v>
      </c>
      <c r="R160" s="73">
        <f t="shared" si="47"/>
        <v>-37291348.667417742</v>
      </c>
      <c r="S160" s="12">
        <f t="shared" si="36"/>
        <v>-0.76552385523584676</v>
      </c>
      <c r="T160" s="114">
        <f t="shared" si="37"/>
        <v>13215365.732183944</v>
      </c>
      <c r="U160" s="73">
        <f>T160/SUMIFS(FinParameters!$L$8:$L$39,FinParameters!$B$8:$B$39,Financials!$E160,FinParameters!$C$8:$C$39,Financials!$F160)</f>
        <v>11680457.664718665</v>
      </c>
      <c r="V160" s="73">
        <f t="shared" si="38"/>
        <v>11680457.664718665</v>
      </c>
      <c r="W160" s="12"/>
      <c r="X160" s="73">
        <f t="shared" si="39"/>
        <v>24637520.128532678</v>
      </c>
      <c r="Y160" s="73">
        <f t="shared" si="40"/>
        <v>18458950.360521726</v>
      </c>
      <c r="Z160" s="73">
        <f t="shared" si="40"/>
        <v>-25610891.002699077</v>
      </c>
      <c r="AA160" s="12">
        <f t="shared" si="41"/>
        <v>-0.52574521214732106</v>
      </c>
      <c r="AB160" s="114">
        <f t="shared" si="42"/>
        <v>99924.737820358234</v>
      </c>
      <c r="AC160" s="73">
        <f>AB160/SUMIFS(FinParameters!$L$8:$L$39,FinParameters!$B$8:$B$39,Financials!$E160,FinParameters!$C$8:$C$39,Financials!$F160)</f>
        <v>88318.907960780503</v>
      </c>
      <c r="AD160" s="73">
        <f t="shared" si="43"/>
        <v>88318.907960780503</v>
      </c>
      <c r="AE160" s="12"/>
      <c r="AF160" s="73">
        <f t="shared" si="44"/>
        <v>24737444.866353035</v>
      </c>
      <c r="AG160" s="73">
        <f t="shared" si="45"/>
        <v>18547269.268482506</v>
      </c>
      <c r="AH160" s="73">
        <f t="shared" si="45"/>
        <v>-25522572.094738297</v>
      </c>
      <c r="AI160" s="12">
        <f t="shared" si="46"/>
        <v>-0.52393218490834026</v>
      </c>
      <c r="AL160" s="73">
        <f>Summary!G160</f>
        <v>-4034908.4475090615</v>
      </c>
      <c r="AM160" s="73">
        <f>IF(D160&lt;&gt;"avg",SUMIFS(Summary!$H:$H,Summary!$C:$C,Financials!C160,Summary!$E:$E,Financials!E160,Summary!$D:$D,1-Financials!D160,Summary!$F:$F,Financials!F160),SUMIFS(Summary!$H:$H,Summary!$C:$C,Financials!C160,Summary!$E:$E,Financials!E160,Summary!$D:$D,"avg",Summary!$F:$F,Financials!F160))</f>
        <v>100771.99969843622</v>
      </c>
      <c r="AN160" s="20">
        <f>Summary!I160</f>
        <v>4203384.5259492463</v>
      </c>
      <c r="AP160" s="12">
        <v>1</v>
      </c>
    </row>
    <row r="161" spans="1:42" x14ac:dyDescent="0.3">
      <c r="A161">
        <v>157</v>
      </c>
      <c r="B161" t="str">
        <f>Summary!B161</f>
        <v>MarinusPortland</v>
      </c>
      <c r="C161" t="str">
        <f>Summary!C161</f>
        <v>Wind</v>
      </c>
      <c r="D161" s="104">
        <f>Summary!D161</f>
        <v>0.25</v>
      </c>
      <c r="E161" t="str">
        <f>Summary!E161</f>
        <v>Cal-25</v>
      </c>
      <c r="F161" t="str">
        <f>Summary!F161</f>
        <v>2 Hour Battery</v>
      </c>
      <c r="G161" s="73">
        <f>SUMIFS(AL$5:AL161,$F$5:$F161,$F161,$D$5:$D161,$D161)</f>
        <v>2089356.8301538285</v>
      </c>
      <c r="H161" s="73">
        <f>SUMIFS(AM$5:AM161,$F$5:$F161,$F161,$D$5:$D161,$D161)</f>
        <v>8047990.1390332934</v>
      </c>
      <c r="I161" s="20">
        <f>SUMIFS(AN$5:AN161,$F$5:$F161,$F161,$D$5:$D161,$D161)</f>
        <v>13511435.703886792</v>
      </c>
      <c r="J161" s="73">
        <f t="shared" si="32"/>
        <v>13511435.703886792</v>
      </c>
      <c r="K161" s="73">
        <f t="shared" si="33"/>
        <v>15600792.534040621</v>
      </c>
      <c r="L161" s="73">
        <f t="shared" si="34"/>
        <v>23648782.673073914</v>
      </c>
      <c r="M161" s="73">
        <f>-SUMIFS(FinParameters!$E$8:$E$39,FinParameters!$B$8:$B$39,Financials!$E161,FinParameters!$C$8:$C$39,Financials!$F161)</f>
        <v>-4903380.46875</v>
      </c>
      <c r="N161" s="73">
        <f>-SUMIFS(FinParameters!$F$8:$F$39,FinParameters!$B$8:$B$39,Financials!$E161,FinParameters!$C$8:$C$39,Financials!$F161)</f>
        <v>-73600000</v>
      </c>
      <c r="O161" s="73">
        <f>SUMIFS(FinParameters!$G$8:$G$39,FinParameters!$B$8:$B$39,Financials!$E161,FinParameters!$C$8:$C$39,Financials!$F161)</f>
        <v>24886496.936233528</v>
      </c>
      <c r="P161" s="73">
        <f t="shared" si="35"/>
        <v>8608055.2351367921</v>
      </c>
      <c r="Q161" s="73">
        <f>P161/SUMIFS(FinParameters!$H$8:$H$39,FinParameters!$B$8:$B$39,Financials!$E161,FinParameters!$C$8:$C$39,Financials!$F161)</f>
        <v>5108461.8112933571</v>
      </c>
      <c r="R161" s="73">
        <f t="shared" si="47"/>
        <v>-40105447.82862968</v>
      </c>
      <c r="S161" s="12">
        <f t="shared" si="36"/>
        <v>-0.82329221481221004</v>
      </c>
      <c r="T161" s="114">
        <f t="shared" si="37"/>
        <v>2089356.8301538285</v>
      </c>
      <c r="U161" s="73">
        <f>T161/SUMIFS(FinParameters!$L$8:$L$39,FinParameters!$B$8:$B$39,Financials!$E161,FinParameters!$C$8:$C$39,Financials!$F161)</f>
        <v>1846686.9926776912</v>
      </c>
      <c r="V161" s="73">
        <f t="shared" si="38"/>
        <v>1846686.9926776912</v>
      </c>
      <c r="W161" s="12"/>
      <c r="X161" s="73">
        <f t="shared" si="39"/>
        <v>10697412.065290621</v>
      </c>
      <c r="Y161" s="73">
        <f t="shared" si="40"/>
        <v>6955148.8039710484</v>
      </c>
      <c r="Z161" s="73">
        <f t="shared" si="40"/>
        <v>-38258760.835951991</v>
      </c>
      <c r="AA161" s="12">
        <f t="shared" si="41"/>
        <v>-0.78538307511719874</v>
      </c>
      <c r="AB161" s="114">
        <f t="shared" si="42"/>
        <v>8047990.1390332934</v>
      </c>
      <c r="AC161" s="73">
        <f>AB161/SUMIFS(FinParameters!$L$8:$L$39,FinParameters!$B$8:$B$39,Financials!$E161,FinParameters!$C$8:$C$39,Financials!$F161)</f>
        <v>7113250.591023691</v>
      </c>
      <c r="AD161" s="73">
        <f t="shared" si="43"/>
        <v>7113250.591023691</v>
      </c>
      <c r="AE161" s="12"/>
      <c r="AF161" s="73">
        <f t="shared" si="44"/>
        <v>18745402.204323914</v>
      </c>
      <c r="AG161" s="73">
        <f t="shared" si="45"/>
        <v>14068399.394994739</v>
      </c>
      <c r="AH161" s="73">
        <f t="shared" si="45"/>
        <v>-31145510.2449283</v>
      </c>
      <c r="AI161" s="12">
        <f t="shared" si="46"/>
        <v>-0.63936092225103391</v>
      </c>
      <c r="AL161" s="73">
        <f>Summary!G161</f>
        <v>-6266918.8883838234</v>
      </c>
      <c r="AM161" s="73">
        <f>IF(D161&lt;&gt;"avg",SUMIFS(Summary!$H:$H,Summary!$C:$C,Financials!C161,Summary!$E:$E,Financials!E161,Summary!$D:$D,1-Financials!D161,Summary!$F:$F,Financials!F161),SUMIFS(Summary!$H:$H,Summary!$C:$C,Financials!C161,Summary!$E:$E,Financials!E161,Summary!$D:$D,"avg",Summary!$F:$F,Financials!F161))</f>
        <v>2187841.3767984277</v>
      </c>
      <c r="AN161" s="20">
        <f>Summary!I161</f>
        <v>3496986.8420901541</v>
      </c>
      <c r="AP161" s="12">
        <v>1</v>
      </c>
    </row>
    <row r="162" spans="1:42" x14ac:dyDescent="0.3">
      <c r="A162">
        <v>158</v>
      </c>
      <c r="B162" t="str">
        <f>Summary!B162</f>
        <v>MarinusPortland</v>
      </c>
      <c r="C162" t="str">
        <f>Summary!C162</f>
        <v>Wind</v>
      </c>
      <c r="D162" s="104">
        <f>Summary!D162</f>
        <v>0.05</v>
      </c>
      <c r="E162" t="str">
        <f>Summary!E162</f>
        <v>Cal-25</v>
      </c>
      <c r="F162" t="str">
        <f>Summary!F162</f>
        <v>2 Hour Battery</v>
      </c>
      <c r="G162" s="73">
        <f>SUMIFS(AL$5:AL162,$F$5:$F162,$F162,$D$5:$D162,$D162)</f>
        <v>-12406456.277600959</v>
      </c>
      <c r="H162" s="73">
        <f>SUMIFS(AM$5:AM162,$F$5:$F162,$F162,$D$5:$D162,$D162)</f>
        <v>18750737.407785438</v>
      </c>
      <c r="I162" s="20">
        <f>SUMIFS(AN$5:AN162,$F$5:$F162,$F162,$D$5:$D162,$D162)</f>
        <v>10175085.71078302</v>
      </c>
      <c r="J162" s="73">
        <f t="shared" si="32"/>
        <v>10175085.71078302</v>
      </c>
      <c r="K162" s="73">
        <f t="shared" si="33"/>
        <v>-2231370.5668179393</v>
      </c>
      <c r="L162" s="73">
        <f t="shared" si="34"/>
        <v>16519366.840967499</v>
      </c>
      <c r="M162" s="73">
        <f>-SUMIFS(FinParameters!$E$8:$E$39,FinParameters!$B$8:$B$39,Financials!$E162,FinParameters!$C$8:$C$39,Financials!$F162)</f>
        <v>-4903380.46875</v>
      </c>
      <c r="N162" s="73">
        <f>-SUMIFS(FinParameters!$F$8:$F$39,FinParameters!$B$8:$B$39,Financials!$E162,FinParameters!$C$8:$C$39,Financials!$F162)</f>
        <v>-73600000</v>
      </c>
      <c r="O162" s="73">
        <f>SUMIFS(FinParameters!$G$8:$G$39,FinParameters!$B$8:$B$39,Financials!$E162,FinParameters!$C$8:$C$39,Financials!$F162)</f>
        <v>24886496.936233528</v>
      </c>
      <c r="P162" s="73">
        <f t="shared" si="35"/>
        <v>5271705.2420330197</v>
      </c>
      <c r="Q162" s="73">
        <f>P162/SUMIFS(FinParameters!$H$8:$H$39,FinParameters!$B$8:$B$39,Financials!$E162,FinParameters!$C$8:$C$39,Financials!$F162)</f>
        <v>3128500.4770177607</v>
      </c>
      <c r="R162" s="73">
        <f t="shared" si="47"/>
        <v>-43441797.821733452</v>
      </c>
      <c r="S162" s="12">
        <f t="shared" si="36"/>
        <v>-0.89178143819523092</v>
      </c>
      <c r="T162" s="114">
        <f t="shared" si="37"/>
        <v>-12406456.277600959</v>
      </c>
      <c r="U162" s="73">
        <f>T162/SUMIFS(FinParameters!$L$8:$L$39,FinParameters!$B$8:$B$39,Financials!$E162,FinParameters!$C$8:$C$39,Financials!$F162)</f>
        <v>-10965499.574997617</v>
      </c>
      <c r="V162" s="73">
        <f t="shared" si="38"/>
        <v>-10965499.574997617</v>
      </c>
      <c r="W162" s="12"/>
      <c r="X162" s="73">
        <f t="shared" si="39"/>
        <v>-7134751.0355679393</v>
      </c>
      <c r="Y162" s="73">
        <f t="shared" si="40"/>
        <v>-7836999.0979798567</v>
      </c>
      <c r="Z162" s="73">
        <f t="shared" si="40"/>
        <v>-54407297.396731071</v>
      </c>
      <c r="AA162" s="12">
        <f t="shared" si="41"/>
        <v>-1.1168832864577891</v>
      </c>
      <c r="AB162" s="114">
        <f t="shared" si="42"/>
        <v>18750737.407785438</v>
      </c>
      <c r="AC162" s="73">
        <f>AB162/SUMIFS(FinParameters!$L$8:$L$39,FinParameters!$B$8:$B$39,Financials!$E162,FinParameters!$C$8:$C$39,Financials!$F162)</f>
        <v>16572919.653711323</v>
      </c>
      <c r="AD162" s="73">
        <f t="shared" si="43"/>
        <v>16572919.653711323</v>
      </c>
      <c r="AE162" s="12"/>
      <c r="AF162" s="73">
        <f t="shared" si="44"/>
        <v>11615986.372217499</v>
      </c>
      <c r="AG162" s="73">
        <f t="shared" si="45"/>
        <v>8735920.555731466</v>
      </c>
      <c r="AH162" s="73">
        <f t="shared" si="45"/>
        <v>-37834377.743019745</v>
      </c>
      <c r="AI162" s="12">
        <f t="shared" si="46"/>
        <v>-0.77667125875743648</v>
      </c>
      <c r="AL162" s="73">
        <f>Summary!G162</f>
        <v>-9713014.5360519662</v>
      </c>
      <c r="AM162" s="73">
        <f>IF(D162&lt;&gt;"avg",SUMIFS(Summary!$H:$H,Summary!$C:$C,Financials!C162,Summary!$E:$E,Financials!E162,Summary!$D:$D,1-Financials!D162,Summary!$F:$F,Financials!F162),SUMIFS(Summary!$H:$H,Summary!$C:$C,Financials!C162,Summary!$E:$E,Financials!E162,Summary!$D:$D,"avg",Summary!$F:$F,Financials!F162))</f>
        <v>5063190.5790629871</v>
      </c>
      <c r="AN162" s="20">
        <f>Summary!I162</f>
        <v>2626650.1397670945</v>
      </c>
      <c r="AP162" s="12">
        <v>1</v>
      </c>
    </row>
    <row r="163" spans="1:42" x14ac:dyDescent="0.3">
      <c r="A163">
        <v>159</v>
      </c>
      <c r="B163" t="str">
        <f>Summary!B163</f>
        <v>MarinusPortland</v>
      </c>
      <c r="C163" t="str">
        <f>Summary!C163</f>
        <v>Wind</v>
      </c>
      <c r="D163" s="104">
        <f>Summary!D163</f>
        <v>0</v>
      </c>
      <c r="E163" t="str">
        <f>Summary!E163</f>
        <v>Cal-25</v>
      </c>
      <c r="F163" t="str">
        <f>Summary!F163</f>
        <v>2 Hour Battery</v>
      </c>
      <c r="G163" s="73">
        <f>SUMIFS(AL$5:AL163,$F$5:$F163,$F163,$D$5:$D163,$D163)</f>
        <v>-33229835.638182536</v>
      </c>
      <c r="H163" s="73">
        <f>SUMIFS(AM$5:AM163,$F$5:$F163,$F163,$D$5:$D163,$D163)</f>
        <v>39425327.702741206</v>
      </c>
      <c r="I163" s="20">
        <f>SUMIFS(AN$5:AN163,$F$5:$F163,$F163,$D$5:$D163,$D163)</f>
        <v>4898662.0519153448</v>
      </c>
      <c r="J163" s="73">
        <f t="shared" si="32"/>
        <v>4898662.0519153448</v>
      </c>
      <c r="K163" s="73">
        <f t="shared" si="33"/>
        <v>-28331173.586267192</v>
      </c>
      <c r="L163" s="73">
        <f t="shared" si="34"/>
        <v>11094154.116474014</v>
      </c>
      <c r="M163" s="73">
        <f>-SUMIFS(FinParameters!$E$8:$E$39,FinParameters!$B$8:$B$39,Financials!$E163,FinParameters!$C$8:$C$39,Financials!$F163)</f>
        <v>-4903380.46875</v>
      </c>
      <c r="N163" s="73">
        <f>-SUMIFS(FinParameters!$F$8:$F$39,FinParameters!$B$8:$B$39,Financials!$E163,FinParameters!$C$8:$C$39,Financials!$F163)</f>
        <v>-73600000</v>
      </c>
      <c r="O163" s="73">
        <f>SUMIFS(FinParameters!$G$8:$G$39,FinParameters!$B$8:$B$39,Financials!$E163,FinParameters!$C$8:$C$39,Financials!$F163)</f>
        <v>24886496.936233528</v>
      </c>
      <c r="P163" s="73">
        <f t="shared" si="35"/>
        <v>-4718.4168346552178</v>
      </c>
      <c r="Q163" s="73">
        <f>P163/SUMIFS(FinParameters!$H$8:$H$39,FinParameters!$B$8:$B$39,Financials!$E163,FinParameters!$C$8:$C$39,Financials!$F163)</f>
        <v>-2800.1507368599996</v>
      </c>
      <c r="R163" s="73">
        <f t="shared" si="47"/>
        <v>-48718221.480601124</v>
      </c>
      <c r="S163" s="12">
        <f t="shared" si="36"/>
        <v>-1.0000968605527809</v>
      </c>
      <c r="T163" s="114">
        <f t="shared" si="37"/>
        <v>-33229835.638182536</v>
      </c>
      <c r="U163" s="73">
        <f>T163/SUMIFS(FinParameters!$L$8:$L$39,FinParameters!$B$8:$B$39,Financials!$E163,FinParameters!$C$8:$C$39,Financials!$F163)</f>
        <v>-29370332.70536717</v>
      </c>
      <c r="V163" s="73">
        <f t="shared" si="38"/>
        <v>-29370332.70536717</v>
      </c>
      <c r="W163" s="12"/>
      <c r="X163" s="73">
        <f t="shared" si="39"/>
        <v>-33234554.055017192</v>
      </c>
      <c r="Y163" s="73">
        <f t="shared" si="40"/>
        <v>-29373132.856104031</v>
      </c>
      <c r="Z163" s="73">
        <f t="shared" si="40"/>
        <v>-78088554.185968295</v>
      </c>
      <c r="AA163" s="12">
        <f t="shared" si="41"/>
        <v>-1.6030166026809769</v>
      </c>
      <c r="AB163" s="114">
        <f t="shared" si="42"/>
        <v>39425327.702741206</v>
      </c>
      <c r="AC163" s="73">
        <f>AB163/SUMIFS(FinParameters!$L$8:$L$39,FinParameters!$B$8:$B$39,Financials!$E163,FinParameters!$C$8:$C$39,Financials!$F163)</f>
        <v>34846244.930478089</v>
      </c>
      <c r="AD163" s="73">
        <f t="shared" si="43"/>
        <v>34846244.930478089</v>
      </c>
      <c r="AE163" s="12"/>
      <c r="AF163" s="73">
        <f t="shared" si="44"/>
        <v>6190773.6477240138</v>
      </c>
      <c r="AG163" s="73">
        <f t="shared" si="45"/>
        <v>5473112.0743740574</v>
      </c>
      <c r="AH163" s="73">
        <f t="shared" si="45"/>
        <v>-43242309.255490206</v>
      </c>
      <c r="AI163" s="12">
        <f t="shared" si="46"/>
        <v>-0.88768629919481634</v>
      </c>
      <c r="AL163" s="73">
        <f>Summary!G163</f>
        <v>-14119223.01328058</v>
      </c>
      <c r="AM163" s="73">
        <f>IF(D163&lt;&gt;"avg",SUMIFS(Summary!$H:$H,Summary!$C:$C,Financials!C163,Summary!$E:$E,Financials!E163,Summary!$D:$D,1-Financials!D163,Summary!$F:$F,Financials!F163),SUMIFS(Summary!$H:$H,Summary!$C:$C,Financials!C163,Summary!$E:$E,Financials!E163,Summary!$D:$D,"avg",Summary!$F:$F,Financials!F163))</f>
        <v>10095271.477715801</v>
      </c>
      <c r="AN163" s="20">
        <f>Summary!I163</f>
        <v>1218288.4838539469</v>
      </c>
      <c r="AP163" s="12">
        <v>1</v>
      </c>
    </row>
    <row r="164" spans="1:42" x14ac:dyDescent="0.3">
      <c r="A164">
        <v>160</v>
      </c>
      <c r="B164" t="str">
        <f>Summary!B164</f>
        <v>MarinusPortland</v>
      </c>
      <c r="C164" t="str">
        <f>Summary!C164</f>
        <v>Wind</v>
      </c>
      <c r="D164" s="104" t="str">
        <f>Summary!D164</f>
        <v>avg</v>
      </c>
      <c r="E164" t="str">
        <f>Summary!E164</f>
        <v>Cal-25</v>
      </c>
      <c r="F164" t="str">
        <f>Summary!F164</f>
        <v>2 Hour Battery</v>
      </c>
      <c r="G164" s="73">
        <f>SUMIFS(AL$5:AL164,$F$5:$F164,$F164,$D$5:$D164,$D164)</f>
        <v>17516252.321527679</v>
      </c>
      <c r="H164" s="73">
        <f>SUMIFS(AM$5:AM164,$F$5:$F164,$F164,$D$5:$D164,$D164)</f>
        <v>-427275.70463168743</v>
      </c>
      <c r="I164" s="20">
        <f>SUMIFS(AN$5:AN164,$F$5:$F164,$F164,$D$5:$D164,$D164)</f>
        <v>16660874.805737438</v>
      </c>
      <c r="J164" s="73">
        <f t="shared" si="32"/>
        <v>16660874.805737438</v>
      </c>
      <c r="K164" s="73">
        <f t="shared" si="33"/>
        <v>34177127.127265118</v>
      </c>
      <c r="L164" s="73">
        <f t="shared" si="34"/>
        <v>33749851.422633432</v>
      </c>
      <c r="M164" s="73">
        <f>-SUMIFS(FinParameters!$E$8:$E$39,FinParameters!$B$8:$B$39,Financials!$E164,FinParameters!$C$8:$C$39,Financials!$F164)</f>
        <v>-4903380.46875</v>
      </c>
      <c r="N164" s="73">
        <f>-SUMIFS(FinParameters!$F$8:$F$39,FinParameters!$B$8:$B$39,Financials!$E164,FinParameters!$C$8:$C$39,Financials!$F164)</f>
        <v>-73600000</v>
      </c>
      <c r="O164" s="73">
        <f>SUMIFS(FinParameters!$G$8:$G$39,FinParameters!$B$8:$B$39,Financials!$E164,FinParameters!$C$8:$C$39,Financials!$F164)</f>
        <v>24886496.936233528</v>
      </c>
      <c r="P164" s="73">
        <f t="shared" si="35"/>
        <v>11757494.336987438</v>
      </c>
      <c r="Q164" s="73">
        <f>P164/SUMIFS(FinParameters!$H$8:$H$39,FinParameters!$B$8:$B$39,Financials!$E164,FinParameters!$C$8:$C$39,Financials!$F164)</f>
        <v>6977500.6289261775</v>
      </c>
      <c r="R164" s="73">
        <f t="shared" si="47"/>
        <v>-36956008.726779036</v>
      </c>
      <c r="S164" s="12">
        <f t="shared" si="36"/>
        <v>-0.75863993353964387</v>
      </c>
      <c r="T164" s="114">
        <f t="shared" si="37"/>
        <v>17516252.321527679</v>
      </c>
      <c r="U164" s="73">
        <f>T164/SUMIFS(FinParameters!$L$8:$L$39,FinParameters!$B$8:$B$39,Financials!$E164,FinParameters!$C$8:$C$39,Financials!$F164)</f>
        <v>15481814.717232397</v>
      </c>
      <c r="V164" s="73">
        <f t="shared" si="38"/>
        <v>15481814.717232397</v>
      </c>
      <c r="W164" s="12"/>
      <c r="X164" s="73">
        <f t="shared" si="39"/>
        <v>29273746.658515118</v>
      </c>
      <c r="Y164" s="73">
        <f t="shared" si="40"/>
        <v>22459315.346158575</v>
      </c>
      <c r="Z164" s="73">
        <f t="shared" si="40"/>
        <v>-21474194.009546638</v>
      </c>
      <c r="AA164" s="12">
        <f t="shared" si="41"/>
        <v>-0.4408263142446705</v>
      </c>
      <c r="AB164" s="114">
        <f t="shared" si="42"/>
        <v>-427275.70463168743</v>
      </c>
      <c r="AC164" s="73">
        <f>AB164/SUMIFS(FinParameters!$L$8:$L$39,FinParameters!$B$8:$B$39,Financials!$E164,FinParameters!$C$8:$C$39,Financials!$F164)</f>
        <v>-377649.4635300946</v>
      </c>
      <c r="AD164" s="73">
        <f t="shared" si="43"/>
        <v>-377649.4635300946</v>
      </c>
      <c r="AE164" s="12"/>
      <c r="AF164" s="73">
        <f t="shared" si="44"/>
        <v>28846470.953883432</v>
      </c>
      <c r="AG164" s="73">
        <f t="shared" si="45"/>
        <v>22081665.882628482</v>
      </c>
      <c r="AH164" s="73">
        <f t="shared" si="45"/>
        <v>-21851843.473076731</v>
      </c>
      <c r="AI164" s="12">
        <f t="shared" si="46"/>
        <v>-0.44857877382524608</v>
      </c>
      <c r="AL164" s="73">
        <f>Summary!G164</f>
        <v>-3348012.7250320832</v>
      </c>
      <c r="AM164" s="73">
        <f>IF(D164&lt;&gt;"avg",SUMIFS(Summary!$H:$H,Summary!$C:$C,Financials!C164,Summary!$E:$E,Financials!E164,Summary!$D:$D,1-Financials!D164,Summary!$F:$F,Financials!F164),SUMIFS(Summary!$H:$H,Summary!$C:$C,Financials!C164,Summary!$E:$E,Financials!E164,Summary!$D:$D,"avg",Summary!$F:$F,Financials!F164))</f>
        <v>-41082.764922050592</v>
      </c>
      <c r="AN164" s="20">
        <f>Summary!I164</f>
        <v>4294552.5266935024</v>
      </c>
      <c r="AP164" s="12">
        <v>1</v>
      </c>
    </row>
    <row r="165" spans="1:42" x14ac:dyDescent="0.3">
      <c r="A165">
        <v>161</v>
      </c>
      <c r="B165" t="str">
        <f>Summary!B165</f>
        <v>MarinusPortland</v>
      </c>
      <c r="C165" t="str">
        <f>Summary!C165</f>
        <v>Wind</v>
      </c>
      <c r="D165" s="104">
        <f>Summary!D165</f>
        <v>1</v>
      </c>
      <c r="E165" t="str">
        <f>Summary!E165</f>
        <v>Cal-26</v>
      </c>
      <c r="F165" t="str">
        <f>Summary!F165</f>
        <v>2 Hour Battery</v>
      </c>
      <c r="G165" s="73">
        <f>SUMIFS(AL$5:AL165,$F$5:$F165,$F165,$D$5:$D165,$D165)</f>
        <v>117875730.65825087</v>
      </c>
      <c r="H165" s="73">
        <f>SUMIFS(AM$5:AM165,$F$5:$F165,$F165,$D$5:$D165,$D165)</f>
        <v>-69084955.624866441</v>
      </c>
      <c r="I165" s="20">
        <f>SUMIFS(AN$5:AN165,$F$5:$F165,$F165,$D$5:$D165,$D165)</f>
        <v>48626036.359687395</v>
      </c>
      <c r="J165" s="73">
        <f t="shared" si="32"/>
        <v>48626036.359687395</v>
      </c>
      <c r="K165" s="73">
        <f t="shared" si="33"/>
        <v>166501767.01793826</v>
      </c>
      <c r="L165" s="73">
        <f t="shared" si="34"/>
        <v>97416811.39307183</v>
      </c>
      <c r="M165" s="73">
        <f>-SUMIFS(FinParameters!$E$8:$E$39,FinParameters!$B$8:$B$39,Financials!$E165,FinParameters!$C$8:$C$39,Financials!$F165)</f>
        <v>-5889714.98046875</v>
      </c>
      <c r="N165" s="73">
        <f>-SUMIFS(FinParameters!$F$8:$F$39,FinParameters!$B$8:$B$39,Financials!$E165,FinParameters!$C$8:$C$39,Financials!$F165)</f>
        <v>-73600000</v>
      </c>
      <c r="O165" s="73">
        <f>SUMIFS(FinParameters!$G$8:$G$39,FinParameters!$B$8:$B$39,Financials!$E165,FinParameters!$C$8:$C$39,Financials!$F165)</f>
        <v>20013748.77560281</v>
      </c>
      <c r="P165" s="73">
        <f t="shared" si="35"/>
        <v>42736321.379218645</v>
      </c>
      <c r="Q165" s="73">
        <f>P165/SUMIFS(FinParameters!$H$8:$H$39,FinParameters!$B$8:$B$39,Financials!$E165,FinParameters!$C$8:$C$39,Financials!$F165)</f>
        <v>22848582.593544751</v>
      </c>
      <c r="R165" s="73">
        <f t="shared" si="47"/>
        <v>-10849929.845178545</v>
      </c>
      <c r="S165" s="12">
        <f t="shared" si="36"/>
        <v>-0.20247600078877506</v>
      </c>
      <c r="T165" s="114">
        <f t="shared" si="37"/>
        <v>117875730.65825087</v>
      </c>
      <c r="U165" s="73">
        <f>T165/SUMIFS(FinParameters!$L$8:$L$39,FinParameters!$B$8:$B$39,Financials!$E165,FinParameters!$C$8:$C$39,Financials!$F165)</f>
        <v>101643873.1194143</v>
      </c>
      <c r="V165" s="73">
        <f t="shared" si="38"/>
        <v>101643873.1194143</v>
      </c>
      <c r="W165" s="12"/>
      <c r="X165" s="73">
        <f t="shared" si="39"/>
        <v>160612052.03746951</v>
      </c>
      <c r="Y165" s="73">
        <f t="shared" si="40"/>
        <v>124492455.71295905</v>
      </c>
      <c r="Z165" s="73">
        <f t="shared" si="40"/>
        <v>90793943.274235755</v>
      </c>
      <c r="AA165" s="12">
        <f t="shared" si="41"/>
        <v>1.69435146515527</v>
      </c>
      <c r="AB165" s="114">
        <f t="shared" si="42"/>
        <v>-69084955.624866441</v>
      </c>
      <c r="AC165" s="73">
        <f>AB165/SUMIFS(FinParameters!$L$8:$L$39,FinParameters!$B$8:$B$39,Financials!$E165,FinParameters!$C$8:$C$39,Financials!$F165)</f>
        <v>-59571740.720342867</v>
      </c>
      <c r="AD165" s="73">
        <f t="shared" si="43"/>
        <v>-59571740.720342867</v>
      </c>
      <c r="AE165" s="12"/>
      <c r="AF165" s="73">
        <f t="shared" si="44"/>
        <v>91527096.412603065</v>
      </c>
      <c r="AG165" s="73">
        <f t="shared" si="45"/>
        <v>64920714.992616184</v>
      </c>
      <c r="AH165" s="73">
        <f t="shared" si="45"/>
        <v>31222202.553892888</v>
      </c>
      <c r="AI165" s="12">
        <f t="shared" si="46"/>
        <v>0.58265323362791588</v>
      </c>
      <c r="AL165" s="73">
        <f>Summary!G165</f>
        <v>17860497.031073336</v>
      </c>
      <c r="AM165" s="73">
        <f>IF(D165&lt;&gt;"avg",SUMIFS(Summary!$H:$H,Summary!$C:$C,Financials!C165,Summary!$E:$E,Financials!E165,Summary!$D:$D,1-Financials!D165,Summary!$F:$F,Financials!F165),SUMIFS(Summary!$H:$H,Summary!$C:$C,Financials!C165,Summary!$E:$E,Financials!E165,Summary!$D:$D,"avg",Summary!$F:$F,Financials!F165))</f>
        <v>-14686262.573220557</v>
      </c>
      <c r="AN165" s="20">
        <f>Summary!I165</f>
        <v>11105800.414434144</v>
      </c>
      <c r="AP165" s="12">
        <v>1</v>
      </c>
    </row>
    <row r="166" spans="1:42" x14ac:dyDescent="0.3">
      <c r="A166">
        <v>162</v>
      </c>
      <c r="B166" t="str">
        <f>Summary!B166</f>
        <v>MarinusPortland</v>
      </c>
      <c r="C166" t="str">
        <f>Summary!C166</f>
        <v>Wind</v>
      </c>
      <c r="D166" s="104">
        <f>Summary!D166</f>
        <v>0.95</v>
      </c>
      <c r="E166" t="str">
        <f>Summary!E166</f>
        <v>Cal-26</v>
      </c>
      <c r="F166" t="str">
        <f>Summary!F166</f>
        <v>2 Hour Battery</v>
      </c>
      <c r="G166" s="73">
        <f>SUMIFS(AL$5:AL166,$F$5:$F166,$F166,$D$5:$D166,$D166)</f>
        <v>63305882.897459783</v>
      </c>
      <c r="H166" s="73">
        <f>SUMIFS(AM$5:AM166,$F$5:$F166,$F166,$D$5:$D166,$D166)</f>
        <v>-27613385.159945764</v>
      </c>
      <c r="I166" s="20">
        <f>SUMIFS(AN$5:AN166,$F$5:$F166,$F166,$D$5:$D166,$D166)</f>
        <v>32253464.756672829</v>
      </c>
      <c r="J166" s="73">
        <f t="shared" si="32"/>
        <v>32253464.756672829</v>
      </c>
      <c r="K166" s="73">
        <f t="shared" si="33"/>
        <v>95559347.654132605</v>
      </c>
      <c r="L166" s="73">
        <f t="shared" si="34"/>
        <v>67945962.494186848</v>
      </c>
      <c r="M166" s="73">
        <f>-SUMIFS(FinParameters!$E$8:$E$39,FinParameters!$B$8:$B$39,Financials!$E166,FinParameters!$C$8:$C$39,Financials!$F166)</f>
        <v>-5889714.98046875</v>
      </c>
      <c r="N166" s="73">
        <f>-SUMIFS(FinParameters!$F$8:$F$39,FinParameters!$B$8:$B$39,Financials!$E166,FinParameters!$C$8:$C$39,Financials!$F166)</f>
        <v>-73600000</v>
      </c>
      <c r="O166" s="73">
        <f>SUMIFS(FinParameters!$G$8:$G$39,FinParameters!$B$8:$B$39,Financials!$E166,FinParameters!$C$8:$C$39,Financials!$F166)</f>
        <v>20013748.77560281</v>
      </c>
      <c r="P166" s="73">
        <f t="shared" si="35"/>
        <v>26363749.776204079</v>
      </c>
      <c r="Q166" s="73">
        <f>P166/SUMIFS(FinParameters!$H$8:$H$39,FinParameters!$B$8:$B$39,Financials!$E166,FinParameters!$C$8:$C$39,Financials!$F166)</f>
        <v>14095137.222785439</v>
      </c>
      <c r="R166" s="73">
        <f t="shared" si="47"/>
        <v>-27222501.448193111</v>
      </c>
      <c r="S166" s="12">
        <f t="shared" si="36"/>
        <v>-0.50801279854783021</v>
      </c>
      <c r="T166" s="114">
        <f t="shared" si="37"/>
        <v>63305882.897459783</v>
      </c>
      <c r="U166" s="73">
        <f>T166/SUMIFS(FinParameters!$L$8:$L$39,FinParameters!$B$8:$B$39,Financials!$E166,FinParameters!$C$8:$C$39,Financials!$F166)</f>
        <v>54588464.419342279</v>
      </c>
      <c r="V166" s="73">
        <f t="shared" si="38"/>
        <v>54588464.419342279</v>
      </c>
      <c r="W166" s="12"/>
      <c r="X166" s="73">
        <f t="shared" si="39"/>
        <v>89669632.673663855</v>
      </c>
      <c r="Y166" s="73">
        <f t="shared" si="40"/>
        <v>68683601.642127723</v>
      </c>
      <c r="Z166" s="73">
        <f t="shared" si="40"/>
        <v>27365962.971149169</v>
      </c>
      <c r="AA166" s="12">
        <f t="shared" si="41"/>
        <v>0.51069000622103167</v>
      </c>
      <c r="AB166" s="114">
        <f t="shared" si="42"/>
        <v>-27613385.159945764</v>
      </c>
      <c r="AC166" s="73">
        <f>AB166/SUMIFS(FinParameters!$L$8:$L$39,FinParameters!$B$8:$B$39,Financials!$E166,FinParameters!$C$8:$C$39,Financials!$F166)</f>
        <v>-23810935.481981538</v>
      </c>
      <c r="AD166" s="73">
        <f t="shared" si="43"/>
        <v>-23810935.481981538</v>
      </c>
      <c r="AE166" s="12"/>
      <c r="AF166" s="73">
        <f t="shared" si="44"/>
        <v>62056247.513718091</v>
      </c>
      <c r="AG166" s="73">
        <f t="shared" si="45"/>
        <v>44872666.160146184</v>
      </c>
      <c r="AH166" s="73">
        <f t="shared" si="45"/>
        <v>3555027.4891676307</v>
      </c>
      <c r="AI166" s="12">
        <f t="shared" si="46"/>
        <v>6.6342156951428394E-2</v>
      </c>
      <c r="AL166" s="73">
        <f>Summary!G166</f>
        <v>6417285.7733485429</v>
      </c>
      <c r="AM166" s="73">
        <f>IF(D166&lt;&gt;"avg",SUMIFS(Summary!$H:$H,Summary!$C:$C,Financials!C166,Summary!$E:$E,Financials!E166,Summary!$D:$D,1-Financials!D166,Summary!$F:$F,Financials!F166),SUMIFS(Summary!$H:$H,Summary!$C:$C,Financials!C166,Summary!$E:$E,Financials!E166,Summary!$D:$D,"avg",Summary!$F:$F,Financials!F166))</f>
        <v>-6270854.0950252926</v>
      </c>
      <c r="AN166" s="20">
        <f>Summary!I166</f>
        <v>7550199.5876994841</v>
      </c>
      <c r="AP166" s="12">
        <v>1</v>
      </c>
    </row>
    <row r="167" spans="1:42" x14ac:dyDescent="0.3">
      <c r="A167">
        <v>163</v>
      </c>
      <c r="B167" t="str">
        <f>Summary!B167</f>
        <v>MarinusPortland</v>
      </c>
      <c r="C167" t="str">
        <f>Summary!C167</f>
        <v>Wind</v>
      </c>
      <c r="D167" s="104">
        <f>Summary!D167</f>
        <v>0.75</v>
      </c>
      <c r="E167" t="str">
        <f>Summary!E167</f>
        <v>Cal-26</v>
      </c>
      <c r="F167" t="str">
        <f>Summary!F167</f>
        <v>2 Hour Battery</v>
      </c>
      <c r="G167" s="73">
        <f>SUMIFS(AL$5:AL167,$F$5:$F167,$F167,$D$5:$D167,$D167)</f>
        <v>32571611.90247304</v>
      </c>
      <c r="H167" s="73">
        <f>SUMIFS(AM$5:AM167,$F$5:$F167,$F167,$D$5:$D167,$D167)</f>
        <v>-10777845.394917397</v>
      </c>
      <c r="I167" s="20">
        <f>SUMIFS(AN$5:AN167,$F$5:$F167,$F167,$D$5:$D167,$D167)</f>
        <v>25554874.965846054</v>
      </c>
      <c r="J167" s="73">
        <f t="shared" si="32"/>
        <v>25554874.965846054</v>
      </c>
      <c r="K167" s="73">
        <f t="shared" si="33"/>
        <v>58126486.868319094</v>
      </c>
      <c r="L167" s="73">
        <f t="shared" si="34"/>
        <v>47348641.473401695</v>
      </c>
      <c r="M167" s="73">
        <f>-SUMIFS(FinParameters!$E$8:$E$39,FinParameters!$B$8:$B$39,Financials!$E167,FinParameters!$C$8:$C$39,Financials!$F167)</f>
        <v>-5889714.98046875</v>
      </c>
      <c r="N167" s="73">
        <f>-SUMIFS(FinParameters!$F$8:$F$39,FinParameters!$B$8:$B$39,Financials!$E167,FinParameters!$C$8:$C$39,Financials!$F167)</f>
        <v>-73600000</v>
      </c>
      <c r="O167" s="73">
        <f>SUMIFS(FinParameters!$G$8:$G$39,FinParameters!$B$8:$B$39,Financials!$E167,FinParameters!$C$8:$C$39,Financials!$F167)</f>
        <v>20013748.77560281</v>
      </c>
      <c r="P167" s="73">
        <f t="shared" si="35"/>
        <v>19665159.985377304</v>
      </c>
      <c r="Q167" s="73">
        <f>P167/SUMIFS(FinParameters!$H$8:$H$39,FinParameters!$B$8:$B$39,Financials!$E167,FinParameters!$C$8:$C$39,Financials!$F167)</f>
        <v>10513797.576401969</v>
      </c>
      <c r="R167" s="73">
        <f t="shared" si="47"/>
        <v>-33921091.239019886</v>
      </c>
      <c r="S167" s="12">
        <f t="shared" si="36"/>
        <v>-0.63301855352732739</v>
      </c>
      <c r="T167" s="114">
        <f t="shared" si="37"/>
        <v>32571611.90247304</v>
      </c>
      <c r="U167" s="73">
        <f>T167/SUMIFS(FinParameters!$L$8:$L$39,FinParameters!$B$8:$B$39,Financials!$E167,FinParameters!$C$8:$C$39,Financials!$F167)</f>
        <v>28086398.862784371</v>
      </c>
      <c r="V167" s="73">
        <f t="shared" si="38"/>
        <v>28086398.862784371</v>
      </c>
      <c r="W167" s="12"/>
      <c r="X167" s="73">
        <f t="shared" si="39"/>
        <v>52236771.887850344</v>
      </c>
      <c r="Y167" s="73">
        <f t="shared" si="40"/>
        <v>38600196.439186342</v>
      </c>
      <c r="Z167" s="73">
        <f t="shared" si="40"/>
        <v>-5834692.3762355149</v>
      </c>
      <c r="AA167" s="12">
        <f t="shared" si="41"/>
        <v>-0.10888413059167401</v>
      </c>
      <c r="AB167" s="114">
        <f t="shared" si="42"/>
        <v>-10777845.394917397</v>
      </c>
      <c r="AC167" s="73">
        <f>AB167/SUMIFS(FinParameters!$L$8:$L$39,FinParameters!$B$8:$B$39,Financials!$E167,FinParameters!$C$8:$C$39,Financials!$F167)</f>
        <v>-9293702.3058441281</v>
      </c>
      <c r="AD167" s="73">
        <f t="shared" si="43"/>
        <v>-9293702.3058441281</v>
      </c>
      <c r="AE167" s="12"/>
      <c r="AF167" s="73">
        <f t="shared" si="44"/>
        <v>41458926.492932945</v>
      </c>
      <c r="AG167" s="73">
        <f t="shared" si="45"/>
        <v>29306494.133342214</v>
      </c>
      <c r="AH167" s="73">
        <f t="shared" si="45"/>
        <v>-15128394.682079643</v>
      </c>
      <c r="AI167" s="12">
        <f t="shared" si="46"/>
        <v>-0.2823185861374804</v>
      </c>
      <c r="AL167" s="73">
        <f>Summary!G167</f>
        <v>1140654.1441268765</v>
      </c>
      <c r="AM167" s="73">
        <f>IF(D167&lt;&gt;"avg",SUMIFS(Summary!$H:$H,Summary!$C:$C,Financials!C167,Summary!$E:$E,Financials!E167,Summary!$D:$D,1-Financials!D167,Summary!$F:$F,Financials!F167),SUMIFS(Summary!$H:$H,Summary!$C:$C,Financials!C167,Summary!$E:$E,Financials!E167,Summary!$D:$D,"avg",Summary!$F:$F,Financials!F167))</f>
        <v>-2418494.3378620916</v>
      </c>
      <c r="AN167" s="20">
        <f>Summary!I167</f>
        <v>6066787.0879940121</v>
      </c>
      <c r="AP167" s="12">
        <v>1</v>
      </c>
    </row>
    <row r="168" spans="1:42" x14ac:dyDescent="0.3">
      <c r="A168">
        <v>164</v>
      </c>
      <c r="B168" t="str">
        <f>Summary!B168</f>
        <v>MarinusPortland</v>
      </c>
      <c r="C168" t="str">
        <f>Summary!C168</f>
        <v>Wind</v>
      </c>
      <c r="D168" s="104">
        <f>Summary!D168</f>
        <v>0.5</v>
      </c>
      <c r="E168" t="str">
        <f>Summary!E168</f>
        <v>Cal-26</v>
      </c>
      <c r="F168" t="str">
        <f>Summary!F168</f>
        <v>2 Hour Battery</v>
      </c>
      <c r="G168" s="73">
        <f>SUMIFS(AL$5:AL168,$F$5:$F168,$F168,$D$5:$D168,$D168)</f>
        <v>11019531.325863644</v>
      </c>
      <c r="H168" s="73">
        <f>SUMIFS(AM$5:AM168,$F$5:$F168,$F168,$D$5:$D168,$D168)</f>
        <v>113028.67737666286</v>
      </c>
      <c r="I168" s="20">
        <f>SUMIFS(AN$5:AN168,$F$5:$F168,$F168,$D$5:$D168,$D168)</f>
        <v>21424398.857423797</v>
      </c>
      <c r="J168" s="73">
        <f t="shared" si="32"/>
        <v>21424398.857423797</v>
      </c>
      <c r="K168" s="73">
        <f t="shared" si="33"/>
        <v>32443930.183287442</v>
      </c>
      <c r="L168" s="73">
        <f t="shared" si="34"/>
        <v>32556958.860664107</v>
      </c>
      <c r="M168" s="73">
        <f>-SUMIFS(FinParameters!$E$8:$E$39,FinParameters!$B$8:$B$39,Financials!$E168,FinParameters!$C$8:$C$39,Financials!$F168)</f>
        <v>-5889714.98046875</v>
      </c>
      <c r="N168" s="73">
        <f>-SUMIFS(FinParameters!$F$8:$F$39,FinParameters!$B$8:$B$39,Financials!$E168,FinParameters!$C$8:$C$39,Financials!$F168)</f>
        <v>-73600000</v>
      </c>
      <c r="O168" s="73">
        <f>SUMIFS(FinParameters!$G$8:$G$39,FinParameters!$B$8:$B$39,Financials!$E168,FinParameters!$C$8:$C$39,Financials!$F168)</f>
        <v>20013748.77560281</v>
      </c>
      <c r="P168" s="73">
        <f t="shared" si="35"/>
        <v>15534683.876955047</v>
      </c>
      <c r="Q168" s="73">
        <f>P168/SUMIFS(FinParameters!$H$8:$H$39,FinParameters!$B$8:$B$39,Financials!$E168,FinParameters!$C$8:$C$39,Financials!$F168)</f>
        <v>8305476.3763503162</v>
      </c>
      <c r="R168" s="73">
        <f t="shared" si="47"/>
        <v>-38051567.347442143</v>
      </c>
      <c r="S168" s="12">
        <f t="shared" si="36"/>
        <v>-0.71009944674237091</v>
      </c>
      <c r="T168" s="114">
        <f t="shared" si="37"/>
        <v>11019531.325863644</v>
      </c>
      <c r="U168" s="73">
        <f>T168/SUMIFS(FinParameters!$L$8:$L$39,FinParameters!$B$8:$B$39,Financials!$E168,FinParameters!$C$8:$C$39,Financials!$F168)</f>
        <v>9502107.3266458251</v>
      </c>
      <c r="V168" s="73">
        <f t="shared" si="38"/>
        <v>9502107.3266458251</v>
      </c>
      <c r="W168" s="12"/>
      <c r="X168" s="73">
        <f t="shared" si="39"/>
        <v>26554215.202818692</v>
      </c>
      <c r="Y168" s="73">
        <f t="shared" si="40"/>
        <v>17807583.702996142</v>
      </c>
      <c r="Z168" s="73">
        <f t="shared" si="40"/>
        <v>-28549460.020796318</v>
      </c>
      <c r="AA168" s="12">
        <f t="shared" si="41"/>
        <v>-0.5327758402289221</v>
      </c>
      <c r="AB168" s="114">
        <f t="shared" si="42"/>
        <v>113028.67737666286</v>
      </c>
      <c r="AC168" s="73">
        <f>AB168/SUMIFS(FinParameters!$L$8:$L$39,FinParameters!$B$8:$B$39,Financials!$E168,FinParameters!$C$8:$C$39,Financials!$F168)</f>
        <v>97464.274265557382</v>
      </c>
      <c r="AD168" s="73">
        <f t="shared" si="43"/>
        <v>97464.274265557382</v>
      </c>
      <c r="AE168" s="12"/>
      <c r="AF168" s="73">
        <f t="shared" si="44"/>
        <v>26667243.880195353</v>
      </c>
      <c r="AG168" s="73">
        <f t="shared" si="45"/>
        <v>17905047.9772617</v>
      </c>
      <c r="AH168" s="73">
        <f t="shared" si="45"/>
        <v>-28451995.74653076</v>
      </c>
      <c r="AI168" s="12">
        <f t="shared" si="46"/>
        <v>-0.53095701036046539</v>
      </c>
      <c r="AL168" s="73">
        <f>Summary!G168</f>
        <v>-2195834.406320299</v>
      </c>
      <c r="AM168" s="73">
        <f>IF(D168&lt;&gt;"avg",SUMIFS(Summary!$H:$H,Summary!$C:$C,Financials!C168,Summary!$E:$E,Financials!E168,Summary!$D:$D,1-Financials!D168,Summary!$F:$F,Financials!F168),SUMIFS(Summary!$H:$H,Summary!$C:$C,Financials!C168,Summary!$E:$E,Financials!E168,Summary!$D:$D,"avg",Summary!$F:$F,Financials!F168))</f>
        <v>13103.939556304624</v>
      </c>
      <c r="AN168" s="20">
        <f>Summary!I168</f>
        <v>5098863.9923250647</v>
      </c>
      <c r="AP168" s="12">
        <v>1</v>
      </c>
    </row>
    <row r="169" spans="1:42" x14ac:dyDescent="0.3">
      <c r="A169">
        <v>165</v>
      </c>
      <c r="B169" t="str">
        <f>Summary!B169</f>
        <v>MarinusPortland</v>
      </c>
      <c r="C169" t="str">
        <f>Summary!C169</f>
        <v>Wind</v>
      </c>
      <c r="D169" s="104">
        <f>Summary!D169</f>
        <v>0.25</v>
      </c>
      <c r="E169" t="str">
        <f>Summary!E169</f>
        <v>Cal-26</v>
      </c>
      <c r="F169" t="str">
        <f>Summary!F169</f>
        <v>2 Hour Battery</v>
      </c>
      <c r="G169" s="73">
        <f>SUMIFS(AL$5:AL169,$F$5:$F169,$F169,$D$5:$D169,$D169)</f>
        <v>-2911459.2181817982</v>
      </c>
      <c r="H169" s="73">
        <f>SUMIFS(AM$5:AM169,$F$5:$F169,$F169,$D$5:$D169,$D169)</f>
        <v>10379051.718798913</v>
      </c>
      <c r="I169" s="20">
        <f>SUMIFS(AN$5:AN169,$F$5:$F169,$F169,$D$5:$D169,$D169)</f>
        <v>17693125.843047462</v>
      </c>
      <c r="J169" s="73">
        <f t="shared" si="32"/>
        <v>17693125.843047462</v>
      </c>
      <c r="K169" s="73">
        <f t="shared" si="33"/>
        <v>14781666.624865664</v>
      </c>
      <c r="L169" s="73">
        <f t="shared" si="34"/>
        <v>25160718.343664579</v>
      </c>
      <c r="M169" s="73">
        <f>-SUMIFS(FinParameters!$E$8:$E$39,FinParameters!$B$8:$B$39,Financials!$E169,FinParameters!$C$8:$C$39,Financials!$F169)</f>
        <v>-5889714.98046875</v>
      </c>
      <c r="N169" s="73">
        <f>-SUMIFS(FinParameters!$F$8:$F$39,FinParameters!$B$8:$B$39,Financials!$E169,FinParameters!$C$8:$C$39,Financials!$F169)</f>
        <v>-73600000</v>
      </c>
      <c r="O169" s="73">
        <f>SUMIFS(FinParameters!$G$8:$G$39,FinParameters!$B$8:$B$39,Financials!$E169,FinParameters!$C$8:$C$39,Financials!$F169)</f>
        <v>20013748.77560281</v>
      </c>
      <c r="P169" s="73">
        <f t="shared" si="35"/>
        <v>11803410.862578712</v>
      </c>
      <c r="Q169" s="73">
        <f>P169/SUMIFS(FinParameters!$H$8:$H$39,FinParameters!$B$8:$B$39,Financials!$E169,FinParameters!$C$8:$C$39,Financials!$F169)</f>
        <v>6310585.452268607</v>
      </c>
      <c r="R169" s="73">
        <f t="shared" si="47"/>
        <v>-41782840.361818478</v>
      </c>
      <c r="S169" s="12">
        <f t="shared" si="36"/>
        <v>-0.77973061013074263</v>
      </c>
      <c r="T169" s="114">
        <f t="shared" si="37"/>
        <v>-2911459.2181817982</v>
      </c>
      <c r="U169" s="73">
        <f>T169/SUMIFS(FinParameters!$L$8:$L$39,FinParameters!$B$8:$B$39,Financials!$E169,FinParameters!$C$8:$C$39,Financials!$F169)</f>
        <v>-2510542.1592099858</v>
      </c>
      <c r="V169" s="73">
        <f t="shared" si="38"/>
        <v>-2510542.1592099858</v>
      </c>
      <c r="W169" s="12"/>
      <c r="X169" s="73">
        <f t="shared" si="39"/>
        <v>8891951.6443969142</v>
      </c>
      <c r="Y169" s="73">
        <f t="shared" si="40"/>
        <v>3800043.2930586212</v>
      </c>
      <c r="Z169" s="73">
        <f t="shared" si="40"/>
        <v>-44293382.521028467</v>
      </c>
      <c r="AA169" s="12">
        <f t="shared" si="41"/>
        <v>-0.8265811007294761</v>
      </c>
      <c r="AB169" s="114">
        <f t="shared" si="42"/>
        <v>10379051.718798913</v>
      </c>
      <c r="AC169" s="73">
        <f>AB169/SUMIFS(FinParameters!$L$8:$L$39,FinParameters!$B$8:$B$39,Financials!$E169,FinParameters!$C$8:$C$39,Financials!$F169)</f>
        <v>8949823.7687622923</v>
      </c>
      <c r="AD169" s="73">
        <f t="shared" si="43"/>
        <v>8949823.7687622923</v>
      </c>
      <c r="AE169" s="12"/>
      <c r="AF169" s="73">
        <f t="shared" si="44"/>
        <v>19271003.363195829</v>
      </c>
      <c r="AG169" s="73">
        <f t="shared" si="45"/>
        <v>12749867.061820913</v>
      </c>
      <c r="AH169" s="73">
        <f t="shared" si="45"/>
        <v>-35343558.752266176</v>
      </c>
      <c r="AI169" s="12">
        <f t="shared" si="46"/>
        <v>-0.65956393561217563</v>
      </c>
      <c r="AL169" s="73">
        <f>Summary!G169</f>
        <v>-5000816.0483356267</v>
      </c>
      <c r="AM169" s="73">
        <f>IF(D169&lt;&gt;"avg",SUMIFS(Summary!$H:$H,Summary!$C:$C,Financials!C169,Summary!$E:$E,Financials!E169,Summary!$D:$D,1-Financials!D169,Summary!$F:$F,Financials!F169),SUMIFS(Summary!$H:$H,Summary!$C:$C,Financials!C169,Summary!$E:$E,Financials!E169,Summary!$D:$D,"avg",Summary!$F:$F,Financials!F169))</f>
        <v>2331061.5797656192</v>
      </c>
      <c r="AN169" s="20">
        <f>Summary!I169</f>
        <v>4181690.1391606722</v>
      </c>
      <c r="AP169" s="12">
        <v>1</v>
      </c>
    </row>
    <row r="170" spans="1:42" x14ac:dyDescent="0.3">
      <c r="A170">
        <v>166</v>
      </c>
      <c r="B170" t="str">
        <f>Summary!B170</f>
        <v>MarinusPortland</v>
      </c>
      <c r="C170" t="str">
        <f>Summary!C170</f>
        <v>Wind</v>
      </c>
      <c r="D170" s="104">
        <f>Summary!D170</f>
        <v>0.05</v>
      </c>
      <c r="E170" t="str">
        <f>Summary!E170</f>
        <v>Cal-26</v>
      </c>
      <c r="F170" t="str">
        <f>Summary!F170</f>
        <v>2 Hour Battery</v>
      </c>
      <c r="G170" s="73">
        <f>SUMIFS(AL$5:AL170,$F$5:$F170,$F170,$D$5:$D170,$D170)</f>
        <v>-19302813.333822329</v>
      </c>
      <c r="H170" s="73">
        <f>SUMIFS(AM$5:AM170,$F$5:$F170,$F170,$D$5:$D170,$D170)</f>
        <v>24337615.001779113</v>
      </c>
      <c r="I170" s="20">
        <f>SUMIFS(AN$5:AN170,$F$5:$F170,$F170,$D$5:$D170,$D170)</f>
        <v>13316985.404596142</v>
      </c>
      <c r="J170" s="73">
        <f t="shared" si="32"/>
        <v>13316985.404596142</v>
      </c>
      <c r="K170" s="73">
        <f t="shared" si="33"/>
        <v>-5985827.9292261861</v>
      </c>
      <c r="L170" s="73">
        <f t="shared" si="34"/>
        <v>18351787.072552927</v>
      </c>
      <c r="M170" s="73">
        <f>-SUMIFS(FinParameters!$E$8:$E$39,FinParameters!$B$8:$B$39,Financials!$E170,FinParameters!$C$8:$C$39,Financials!$F170)</f>
        <v>-5889714.98046875</v>
      </c>
      <c r="N170" s="73">
        <f>-SUMIFS(FinParameters!$F$8:$F$39,FinParameters!$B$8:$B$39,Financials!$E170,FinParameters!$C$8:$C$39,Financials!$F170)</f>
        <v>-73600000</v>
      </c>
      <c r="O170" s="73">
        <f>SUMIFS(FinParameters!$G$8:$G$39,FinParameters!$B$8:$B$39,Financials!$E170,FinParameters!$C$8:$C$39,Financials!$F170)</f>
        <v>20013748.77560281</v>
      </c>
      <c r="P170" s="73">
        <f t="shared" si="35"/>
        <v>7427270.4241273925</v>
      </c>
      <c r="Q170" s="73">
        <f>P170/SUMIFS(FinParameters!$H$8:$H$39,FinParameters!$B$8:$B$39,Financials!$E170,FinParameters!$C$8:$C$39,Financials!$F170)</f>
        <v>3970922.0694130226</v>
      </c>
      <c r="R170" s="73">
        <f t="shared" si="47"/>
        <v>-46158980.800269797</v>
      </c>
      <c r="S170" s="12">
        <f t="shared" si="36"/>
        <v>-0.86139596903270887</v>
      </c>
      <c r="T170" s="114">
        <f t="shared" si="37"/>
        <v>-19302813.333822329</v>
      </c>
      <c r="U170" s="73">
        <f>T170/SUMIFS(FinParameters!$L$8:$L$39,FinParameters!$B$8:$B$39,Financials!$E170,FinParameters!$C$8:$C$39,Financials!$F170)</f>
        <v>-16644755.441975635</v>
      </c>
      <c r="V170" s="73">
        <f t="shared" si="38"/>
        <v>-16644755.441975635</v>
      </c>
      <c r="W170" s="12"/>
      <c r="X170" s="73">
        <f t="shared" si="39"/>
        <v>-11875542.909694936</v>
      </c>
      <c r="Y170" s="73">
        <f t="shared" si="40"/>
        <v>-12673833.372562611</v>
      </c>
      <c r="Z170" s="73">
        <f t="shared" si="40"/>
        <v>-62803736.242245436</v>
      </c>
      <c r="AA170" s="12">
        <f t="shared" si="41"/>
        <v>-1.1720121263801271</v>
      </c>
      <c r="AB170" s="114">
        <f t="shared" si="42"/>
        <v>24337615.001779113</v>
      </c>
      <c r="AC170" s="73">
        <f>AB170/SUMIFS(FinParameters!$L$8:$L$39,FinParameters!$B$8:$B$39,Financials!$E170,FinParameters!$C$8:$C$39,Financials!$F170)</f>
        <v>20986249.140987489</v>
      </c>
      <c r="AD170" s="73">
        <f t="shared" si="43"/>
        <v>20986249.140987489</v>
      </c>
      <c r="AE170" s="12"/>
      <c r="AF170" s="73">
        <f t="shared" si="44"/>
        <v>12462072.092084177</v>
      </c>
      <c r="AG170" s="73">
        <f t="shared" si="45"/>
        <v>8312415.7684248779</v>
      </c>
      <c r="AH170" s="73">
        <f t="shared" si="45"/>
        <v>-41817487.10125795</v>
      </c>
      <c r="AI170" s="12">
        <f t="shared" si="46"/>
        <v>-0.78037717037050247</v>
      </c>
      <c r="AL170" s="73">
        <f>Summary!G170</f>
        <v>-6896357.0562213697</v>
      </c>
      <c r="AM170" s="73">
        <f>IF(D170&lt;&gt;"avg",SUMIFS(Summary!$H:$H,Summary!$C:$C,Financials!C170,Summary!$E:$E,Financials!E170,Summary!$D:$D,1-Financials!D170,Summary!$F:$F,Financials!F170),SUMIFS(Summary!$H:$H,Summary!$C:$C,Financials!C170,Summary!$E:$E,Financials!E170,Summary!$D:$D,"avg",Summary!$F:$F,Financials!F170))</f>
        <v>5586877.5939936759</v>
      </c>
      <c r="AN170" s="20">
        <f>Summary!I170</f>
        <v>3141899.6938131228</v>
      </c>
      <c r="AP170" s="12">
        <v>1</v>
      </c>
    </row>
    <row r="171" spans="1:42" x14ac:dyDescent="0.3">
      <c r="A171">
        <v>167</v>
      </c>
      <c r="B171" t="str">
        <f>Summary!B171</f>
        <v>MarinusPortland</v>
      </c>
      <c r="C171" t="str">
        <f>Summary!C171</f>
        <v>Wind</v>
      </c>
      <c r="D171" s="104">
        <f>Summary!D171</f>
        <v>0</v>
      </c>
      <c r="E171" t="str">
        <f>Summary!E171</f>
        <v>Cal-26</v>
      </c>
      <c r="F171" t="str">
        <f>Summary!F171</f>
        <v>2 Hour Battery</v>
      </c>
      <c r="G171" s="73">
        <f>SUMIFS(AL$5:AL171,$F$5:$F171,$F171,$D$5:$D171,$D171)</f>
        <v>-46426468.740560837</v>
      </c>
      <c r="H171" s="73">
        <f>SUMIFS(AM$5:AM171,$F$5:$F171,$F171,$D$5:$D171,$D171)</f>
        <v>52146703.963886999</v>
      </c>
      <c r="I171" s="20">
        <f>SUMIFS(AN$5:AN171,$F$5:$F171,$F171,$D$5:$D171,$D171)</f>
        <v>6128045.0904441541</v>
      </c>
      <c r="J171" s="73">
        <f t="shared" si="32"/>
        <v>6128045.0904441541</v>
      </c>
      <c r="K171" s="73">
        <f t="shared" si="33"/>
        <v>-40298423.650116682</v>
      </c>
      <c r="L171" s="73">
        <f t="shared" si="34"/>
        <v>11848280.313770317</v>
      </c>
      <c r="M171" s="73">
        <f>-SUMIFS(FinParameters!$E$8:$E$39,FinParameters!$B$8:$B$39,Financials!$E171,FinParameters!$C$8:$C$39,Financials!$F171)</f>
        <v>-5889714.98046875</v>
      </c>
      <c r="N171" s="73">
        <f>-SUMIFS(FinParameters!$F$8:$F$39,FinParameters!$B$8:$B$39,Financials!$E171,FinParameters!$C$8:$C$39,Financials!$F171)</f>
        <v>-73600000</v>
      </c>
      <c r="O171" s="73">
        <f>SUMIFS(FinParameters!$G$8:$G$39,FinParameters!$B$8:$B$39,Financials!$E171,FinParameters!$C$8:$C$39,Financials!$F171)</f>
        <v>20013748.77560281</v>
      </c>
      <c r="P171" s="73">
        <f t="shared" si="35"/>
        <v>238330.10997540411</v>
      </c>
      <c r="Q171" s="73">
        <f>P171/SUMIFS(FinParameters!$H$8:$H$39,FinParameters!$B$8:$B$39,Financials!$E171,FinParameters!$C$8:$C$39,Financials!$F171)</f>
        <v>127421.00926238368</v>
      </c>
      <c r="R171" s="73">
        <f t="shared" si="47"/>
        <v>-53347921.114421792</v>
      </c>
      <c r="S171" s="12">
        <f t="shared" si="36"/>
        <v>-0.99555240188425631</v>
      </c>
      <c r="T171" s="114">
        <f t="shared" si="37"/>
        <v>-46426468.740560837</v>
      </c>
      <c r="U171" s="73">
        <f>T171/SUMIFS(FinParameters!$L$8:$L$39,FinParameters!$B$8:$B$39,Financials!$E171,FinParameters!$C$8:$C$39,Financials!$F171)</f>
        <v>-40033398.492598943</v>
      </c>
      <c r="V171" s="73">
        <f t="shared" si="38"/>
        <v>-40033398.492598943</v>
      </c>
      <c r="W171" s="12"/>
      <c r="X171" s="73">
        <f t="shared" si="39"/>
        <v>-46188138.630585432</v>
      </c>
      <c r="Y171" s="73">
        <f t="shared" si="40"/>
        <v>-39905977.48333656</v>
      </c>
      <c r="Z171" s="73">
        <f t="shared" si="40"/>
        <v>-93381319.607020736</v>
      </c>
      <c r="AA171" s="12">
        <f t="shared" si="41"/>
        <v>-1.7426357969319062</v>
      </c>
      <c r="AB171" s="114">
        <f t="shared" si="42"/>
        <v>52146703.963886999</v>
      </c>
      <c r="AC171" s="73">
        <f>AB171/SUMIFS(FinParameters!$L$8:$L$39,FinParameters!$B$8:$B$39,Financials!$E171,FinParameters!$C$8:$C$39,Financials!$F171)</f>
        <v>44965939.398229979</v>
      </c>
      <c r="AD171" s="73">
        <f t="shared" si="43"/>
        <v>44965939.398229979</v>
      </c>
      <c r="AE171" s="12"/>
      <c r="AF171" s="73">
        <f t="shared" si="44"/>
        <v>5958565.3333015665</v>
      </c>
      <c r="AG171" s="73">
        <f t="shared" si="45"/>
        <v>5059961.9148934186</v>
      </c>
      <c r="AH171" s="73">
        <f t="shared" si="45"/>
        <v>-48415380.208790757</v>
      </c>
      <c r="AI171" s="12">
        <f t="shared" si="46"/>
        <v>-0.90350377387003711</v>
      </c>
      <c r="AL171" s="73">
        <f>Summary!G171</f>
        <v>-13196633.102378299</v>
      </c>
      <c r="AM171" s="73">
        <f>IF(D171&lt;&gt;"avg",SUMIFS(Summary!$H:$H,Summary!$C:$C,Financials!C171,Summary!$E:$E,Financials!E171,Summary!$D:$D,1-Financials!D171,Summary!$F:$F,Financials!F171),SUMIFS(Summary!$H:$H,Summary!$C:$C,Financials!C171,Summary!$E:$E,Financials!E171,Summary!$D:$D,"avg",Summary!$F:$F,Financials!F171))</f>
        <v>12721376.261145793</v>
      </c>
      <c r="AN171" s="20">
        <f>Summary!I171</f>
        <v>1229383.0385288091</v>
      </c>
      <c r="AP171" s="12">
        <v>1</v>
      </c>
    </row>
    <row r="172" spans="1:42" x14ac:dyDescent="0.3">
      <c r="A172">
        <v>168</v>
      </c>
      <c r="B172" t="str">
        <f>Summary!B172</f>
        <v>MarinusPortland</v>
      </c>
      <c r="C172" t="str">
        <f>Summary!C172</f>
        <v>Wind</v>
      </c>
      <c r="D172" s="104" t="str">
        <f>Summary!D172</f>
        <v>avg</v>
      </c>
      <c r="E172" t="str">
        <f>Summary!E172</f>
        <v>Cal-26</v>
      </c>
      <c r="F172" t="str">
        <f>Summary!F172</f>
        <v>2 Hour Battery</v>
      </c>
      <c r="G172" s="73">
        <f>SUMIFS(AL$5:AL172,$F$5:$F172,$F172,$D$5:$D172,$D172)</f>
        <v>15913171.209961403</v>
      </c>
      <c r="H172" s="73">
        <f>SUMIFS(AM$5:AM172,$F$5:$F172,$F172,$D$5:$D172,$D172)</f>
        <v>-546555.81587736239</v>
      </c>
      <c r="I172" s="20">
        <f>SUMIFS(AN$5:AN172,$F$5:$F172,$F172,$D$5:$D172,$D172)</f>
        <v>21829644.907847174</v>
      </c>
      <c r="J172" s="73">
        <f t="shared" si="32"/>
        <v>21829644.907847174</v>
      </c>
      <c r="K172" s="73">
        <f t="shared" si="33"/>
        <v>37742816.11780858</v>
      </c>
      <c r="L172" s="73">
        <f t="shared" si="34"/>
        <v>37196260.301931217</v>
      </c>
      <c r="M172" s="73">
        <f>-SUMIFS(FinParameters!$E$8:$E$39,FinParameters!$B$8:$B$39,Financials!$E172,FinParameters!$C$8:$C$39,Financials!$F172)</f>
        <v>-5889714.98046875</v>
      </c>
      <c r="N172" s="73">
        <f>-SUMIFS(FinParameters!$F$8:$F$39,FinParameters!$B$8:$B$39,Financials!$E172,FinParameters!$C$8:$C$39,Financials!$F172)</f>
        <v>-73600000</v>
      </c>
      <c r="O172" s="73">
        <f>SUMIFS(FinParameters!$G$8:$G$39,FinParameters!$B$8:$B$39,Financials!$E172,FinParameters!$C$8:$C$39,Financials!$F172)</f>
        <v>20013748.77560281</v>
      </c>
      <c r="P172" s="73">
        <f t="shared" si="35"/>
        <v>15939929.927378424</v>
      </c>
      <c r="Q172" s="73">
        <f>P172/SUMIFS(FinParameters!$H$8:$H$39,FinParameters!$B$8:$B$39,Financials!$E172,FinParameters!$C$8:$C$39,Financials!$F172)</f>
        <v>8522137.4635703508</v>
      </c>
      <c r="R172" s="73">
        <f t="shared" si="47"/>
        <v>-37646321.297018766</v>
      </c>
      <c r="S172" s="12">
        <f t="shared" si="36"/>
        <v>-0.70253694626577723</v>
      </c>
      <c r="T172" s="114">
        <f t="shared" si="37"/>
        <v>15913171.209961403</v>
      </c>
      <c r="U172" s="73">
        <f>T172/SUMIFS(FinParameters!$L$8:$L$39,FinParameters!$B$8:$B$39,Financials!$E172,FinParameters!$C$8:$C$39,Financials!$F172)</f>
        <v>13721877.66184265</v>
      </c>
      <c r="V172" s="73">
        <f t="shared" si="38"/>
        <v>13721877.66184265</v>
      </c>
      <c r="W172" s="12"/>
      <c r="X172" s="73">
        <f t="shared" si="39"/>
        <v>31853101.13733983</v>
      </c>
      <c r="Y172" s="73">
        <f t="shared" si="40"/>
        <v>22244015.125413001</v>
      </c>
      <c r="Z172" s="73">
        <f t="shared" si="40"/>
        <v>-23924443.635176115</v>
      </c>
      <c r="AA172" s="12">
        <f t="shared" si="41"/>
        <v>-0.44646608203642352</v>
      </c>
      <c r="AB172" s="114">
        <f t="shared" si="42"/>
        <v>-546555.81587736239</v>
      </c>
      <c r="AC172" s="73">
        <f>AB172/SUMIFS(FinParameters!$L$8:$L$39,FinParameters!$B$8:$B$39,Financials!$E172,FinParameters!$C$8:$C$39,Financials!$F172)</f>
        <v>-471293.36710353621</v>
      </c>
      <c r="AD172" s="73">
        <f t="shared" si="43"/>
        <v>-471293.36710353621</v>
      </c>
      <c r="AE172" s="12"/>
      <c r="AF172" s="73">
        <f t="shared" si="44"/>
        <v>31306545.321462467</v>
      </c>
      <c r="AG172" s="73">
        <f t="shared" si="45"/>
        <v>21772721.758309465</v>
      </c>
      <c r="AH172" s="73">
        <f t="shared" si="45"/>
        <v>-24395737.00227965</v>
      </c>
      <c r="AI172" s="12">
        <f t="shared" si="46"/>
        <v>-0.45526112472619762</v>
      </c>
      <c r="AL172" s="73">
        <f>Summary!G172</f>
        <v>-1603081.1115662763</v>
      </c>
      <c r="AM172" s="73">
        <f>IF(D172&lt;&gt;"avg",SUMIFS(Summary!$H:$H,Summary!$C:$C,Financials!C172,Summary!$E:$E,Financials!E172,Summary!$D:$D,1-Financials!D172,Summary!$F:$F,Financials!F172),SUMIFS(Summary!$H:$H,Summary!$C:$C,Financials!C172,Summary!$E:$E,Financials!E172,Summary!$D:$D,"avg",Summary!$F:$F,Financials!F172))</f>
        <v>-119280.11124567494</v>
      </c>
      <c r="AN172" s="20">
        <f>Summary!I172</f>
        <v>5168770.102109734</v>
      </c>
      <c r="AP172" s="12">
        <v>1</v>
      </c>
    </row>
    <row r="173" spans="1:42" x14ac:dyDescent="0.3">
      <c r="A173">
        <v>169</v>
      </c>
      <c r="B173" t="str">
        <f>Summary!B173</f>
        <v>MarinusPortland</v>
      </c>
      <c r="C173" t="str">
        <f>Summary!C173</f>
        <v>Wind</v>
      </c>
      <c r="D173" s="104">
        <f>Summary!D173</f>
        <v>1</v>
      </c>
      <c r="E173" t="str">
        <f>Summary!E173</f>
        <v>Cal-27</v>
      </c>
      <c r="F173" t="str">
        <f>Summary!F173</f>
        <v>2 Hour Battery</v>
      </c>
      <c r="G173" s="73">
        <f>SUMIFS(AL$5:AL173,$F$5:$F173,$F173,$D$5:$D173,$D173)</f>
        <v>136649061.60390577</v>
      </c>
      <c r="H173" s="73">
        <f>SUMIFS(AM$5:AM173,$F$5:$F173,$F173,$D$5:$D173,$D173)</f>
        <v>-84226754.438097447</v>
      </c>
      <c r="I173" s="20">
        <f>SUMIFS(AN$5:AN173,$F$5:$F173,$F173,$D$5:$D173,$D173)</f>
        <v>61092676.816422574</v>
      </c>
      <c r="J173" s="73">
        <f t="shared" si="32"/>
        <v>61092676.816422574</v>
      </c>
      <c r="K173" s="73">
        <f t="shared" si="33"/>
        <v>197741738.42032835</v>
      </c>
      <c r="L173" s="73">
        <f t="shared" si="34"/>
        <v>113514983.9822309</v>
      </c>
      <c r="M173" s="73">
        <f>-SUMIFS(FinParameters!$E$8:$E$39,FinParameters!$B$8:$B$39,Financials!$E173,FinParameters!$C$8:$C$39,Financials!$F173)</f>
        <v>-6885707.8549804688</v>
      </c>
      <c r="N173" s="73">
        <f>-SUMIFS(FinParameters!$F$8:$F$39,FinParameters!$B$8:$B$39,Financials!$E173,FinParameters!$C$8:$C$39,Financials!$F173)</f>
        <v>-73600000</v>
      </c>
      <c r="O173" s="73">
        <f>SUMIFS(FinParameters!$G$8:$G$39,FinParameters!$B$8:$B$39,Financials!$E173,FinParameters!$C$8:$C$39,Financials!$F173)</f>
        <v>16225964.629381113</v>
      </c>
      <c r="P173" s="73">
        <f t="shared" si="35"/>
        <v>54206968.961442105</v>
      </c>
      <c r="Q173" s="73">
        <f>P173/SUMIFS(FinParameters!$H$8:$H$39,FinParameters!$B$8:$B$39,Financials!$E173,FinParameters!$C$8:$C$39,Financials!$F173)</f>
        <v>26109242.529175296</v>
      </c>
      <c r="R173" s="73">
        <f t="shared" si="47"/>
        <v>-3167066.4091767818</v>
      </c>
      <c r="S173" s="12">
        <f t="shared" si="36"/>
        <v>-5.5200342606520389E-2</v>
      </c>
      <c r="T173" s="114">
        <f t="shared" si="37"/>
        <v>136649061.60390577</v>
      </c>
      <c r="U173" s="73">
        <f>T173/SUMIFS(FinParameters!$L$8:$L$39,FinParameters!$B$8:$B$39,Financials!$E173,FinParameters!$C$8:$C$39,Financials!$F173)</f>
        <v>114958104.93413843</v>
      </c>
      <c r="V173" s="73">
        <f t="shared" si="38"/>
        <v>114958104.93413843</v>
      </c>
      <c r="W173" s="12"/>
      <c r="X173" s="73">
        <f t="shared" si="39"/>
        <v>190856030.56534788</v>
      </c>
      <c r="Y173" s="73">
        <f t="shared" si="40"/>
        <v>141067347.46331373</v>
      </c>
      <c r="Z173" s="73">
        <f t="shared" si="40"/>
        <v>111791038.52496165</v>
      </c>
      <c r="AA173" s="12">
        <f t="shared" si="41"/>
        <v>1.9484604456149095</v>
      </c>
      <c r="AB173" s="114">
        <f t="shared" si="42"/>
        <v>-84226754.438097447</v>
      </c>
      <c r="AC173" s="73">
        <f>AB173/SUMIFS(FinParameters!$L$8:$L$39,FinParameters!$B$8:$B$39,Financials!$E173,FinParameters!$C$8:$C$39,Financials!$F173)</f>
        <v>-70857040.372679472</v>
      </c>
      <c r="AD173" s="73">
        <f t="shared" si="43"/>
        <v>-70857040.372679472</v>
      </c>
      <c r="AE173" s="12"/>
      <c r="AF173" s="73">
        <f t="shared" si="44"/>
        <v>106629276.12725043</v>
      </c>
      <c r="AG173" s="73">
        <f t="shared" si="45"/>
        <v>70210307.090634257</v>
      </c>
      <c r="AH173" s="73">
        <f t="shared" si="45"/>
        <v>40933998.152282178</v>
      </c>
      <c r="AI173" s="12">
        <f t="shared" si="46"/>
        <v>0.71345858606355561</v>
      </c>
      <c r="AL173" s="73">
        <f>Summary!G173</f>
        <v>18773330.945654888</v>
      </c>
      <c r="AM173" s="73">
        <f>IF(D173&lt;&gt;"avg",SUMIFS(Summary!$H:$H,Summary!$C:$C,Financials!C173,Summary!$E:$E,Financials!E173,Summary!$D:$D,1-Financials!D173,Summary!$F:$F,Financials!F173),SUMIFS(Summary!$H:$H,Summary!$C:$C,Financials!C173,Summary!$E:$E,Financials!E173,Summary!$D:$D,"avg",Summary!$F:$F,Financials!F173))</f>
        <v>-15141798.813231004</v>
      </c>
      <c r="AN173" s="20">
        <f>Summary!I173</f>
        <v>12466640.456735181</v>
      </c>
      <c r="AP173" s="12">
        <v>1</v>
      </c>
    </row>
    <row r="174" spans="1:42" x14ac:dyDescent="0.3">
      <c r="A174">
        <v>170</v>
      </c>
      <c r="B174" t="str">
        <f>Summary!B174</f>
        <v>MarinusPortland</v>
      </c>
      <c r="C174" t="str">
        <f>Summary!C174</f>
        <v>Wind</v>
      </c>
      <c r="D174" s="104">
        <f>Summary!D174</f>
        <v>0.95</v>
      </c>
      <c r="E174" t="str">
        <f>Summary!E174</f>
        <v>Cal-27</v>
      </c>
      <c r="F174" t="str">
        <f>Summary!F174</f>
        <v>2 Hour Battery</v>
      </c>
      <c r="G174" s="73">
        <f>SUMIFS(AL$5:AL174,$F$5:$F174,$F174,$D$5:$D174,$D174)</f>
        <v>71652826.356255323</v>
      </c>
      <c r="H174" s="73">
        <f>SUMIFS(AM$5:AM174,$F$5:$F174,$F174,$D$5:$D174,$D174)</f>
        <v>-34451273.891304225</v>
      </c>
      <c r="I174" s="20">
        <f>SUMIFS(AN$5:AN174,$F$5:$F174,$F174,$D$5:$D174,$D174)</f>
        <v>40856374.662737176</v>
      </c>
      <c r="J174" s="73">
        <f t="shared" si="32"/>
        <v>40856374.662737176</v>
      </c>
      <c r="K174" s="73">
        <f t="shared" si="33"/>
        <v>112509201.0189925</v>
      </c>
      <c r="L174" s="73">
        <f t="shared" si="34"/>
        <v>78057927.127688274</v>
      </c>
      <c r="M174" s="73">
        <f>-SUMIFS(FinParameters!$E$8:$E$39,FinParameters!$B$8:$B$39,Financials!$E174,FinParameters!$C$8:$C$39,Financials!$F174)</f>
        <v>-6885707.8549804688</v>
      </c>
      <c r="N174" s="73">
        <f>-SUMIFS(FinParameters!$F$8:$F$39,FinParameters!$B$8:$B$39,Financials!$E174,FinParameters!$C$8:$C$39,Financials!$F174)</f>
        <v>-73600000</v>
      </c>
      <c r="O174" s="73">
        <f>SUMIFS(FinParameters!$G$8:$G$39,FinParameters!$B$8:$B$39,Financials!$E174,FinParameters!$C$8:$C$39,Financials!$F174)</f>
        <v>16225964.629381113</v>
      </c>
      <c r="P174" s="73">
        <f t="shared" si="35"/>
        <v>33970666.807756707</v>
      </c>
      <c r="Q174" s="73">
        <f>P174/SUMIFS(FinParameters!$H$8:$H$39,FinParameters!$B$8:$B$39,Financials!$E174,FinParameters!$C$8:$C$39,Financials!$F174)</f>
        <v>16362257.391525049</v>
      </c>
      <c r="R174" s="73">
        <f t="shared" si="47"/>
        <v>-23403368.56286218</v>
      </c>
      <c r="S174" s="12">
        <f t="shared" si="36"/>
        <v>-0.40790870664201168</v>
      </c>
      <c r="T174" s="114">
        <f t="shared" si="37"/>
        <v>71652826.356255323</v>
      </c>
      <c r="U174" s="73">
        <f>T174/SUMIFS(FinParameters!$L$8:$L$39,FinParameters!$B$8:$B$39,Financials!$E174,FinParameters!$C$8:$C$39,Financials!$F174)</f>
        <v>60279031.808986552</v>
      </c>
      <c r="V174" s="73">
        <f t="shared" si="38"/>
        <v>60279031.808986552</v>
      </c>
      <c r="W174" s="12"/>
      <c r="X174" s="73">
        <f t="shared" si="39"/>
        <v>105623493.16401203</v>
      </c>
      <c r="Y174" s="73">
        <f t="shared" si="40"/>
        <v>76641289.200511605</v>
      </c>
      <c r="Z174" s="73">
        <f t="shared" si="40"/>
        <v>36875663.246124372</v>
      </c>
      <c r="AA174" s="12">
        <f t="shared" si="41"/>
        <v>0.64272389083178061</v>
      </c>
      <c r="AB174" s="114">
        <f t="shared" si="42"/>
        <v>-34451273.891304225</v>
      </c>
      <c r="AC174" s="73">
        <f>AB174/SUMIFS(FinParameters!$L$8:$L$39,FinParameters!$B$8:$B$39,Financials!$E174,FinParameters!$C$8:$C$39,Financials!$F174)</f>
        <v>-28982659.029091313</v>
      </c>
      <c r="AD174" s="73">
        <f t="shared" si="43"/>
        <v>-28982659.029091313</v>
      </c>
      <c r="AE174" s="12"/>
      <c r="AF174" s="73">
        <f t="shared" si="44"/>
        <v>71172219.272707805</v>
      </c>
      <c r="AG174" s="73">
        <f t="shared" si="45"/>
        <v>47658630.171420291</v>
      </c>
      <c r="AH174" s="73">
        <f t="shared" si="45"/>
        <v>7893004.2170330584</v>
      </c>
      <c r="AI174" s="12">
        <f t="shared" si="46"/>
        <v>0.13757101389237558</v>
      </c>
      <c r="AL174" s="73">
        <f>Summary!G174</f>
        <v>8346943.4587955428</v>
      </c>
      <c r="AM174" s="73">
        <f>IF(D174&lt;&gt;"avg",SUMIFS(Summary!$H:$H,Summary!$C:$C,Financials!C174,Summary!$E:$E,Financials!E174,Summary!$D:$D,1-Financials!D174,Summary!$F:$F,Financials!F174),SUMIFS(Summary!$H:$H,Summary!$C:$C,Financials!C174,Summary!$E:$E,Financials!E174,Summary!$D:$D,"avg",Summary!$F:$F,Financials!F174))</f>
        <v>-6837888.731358462</v>
      </c>
      <c r="AN174" s="20">
        <f>Summary!I174</f>
        <v>8602909.9060643464</v>
      </c>
      <c r="AP174" s="12">
        <v>1</v>
      </c>
    </row>
    <row r="175" spans="1:42" x14ac:dyDescent="0.3">
      <c r="A175">
        <v>171</v>
      </c>
      <c r="B175" t="str">
        <f>Summary!B175</f>
        <v>MarinusPortland</v>
      </c>
      <c r="C175" t="str">
        <f>Summary!C175</f>
        <v>Wind</v>
      </c>
      <c r="D175" s="104">
        <f>Summary!D175</f>
        <v>0.75</v>
      </c>
      <c r="E175" t="str">
        <f>Summary!E175</f>
        <v>Cal-27</v>
      </c>
      <c r="F175" t="str">
        <f>Summary!F175</f>
        <v>2 Hour Battery</v>
      </c>
      <c r="G175" s="73">
        <f>SUMIFS(AL$5:AL175,$F$5:$F175,$F175,$D$5:$D175,$D175)</f>
        <v>35305074.846592255</v>
      </c>
      <c r="H175" s="73">
        <f>SUMIFS(AM$5:AM175,$F$5:$F175,$F175,$D$5:$D175,$D175)</f>
        <v>-13404488.045676544</v>
      </c>
      <c r="I175" s="20">
        <f>SUMIFS(AN$5:AN175,$F$5:$F175,$F175,$D$5:$D175,$D175)</f>
        <v>32535301.350102935</v>
      </c>
      <c r="J175" s="73">
        <f t="shared" si="32"/>
        <v>32535301.350102935</v>
      </c>
      <c r="K175" s="73">
        <f t="shared" si="33"/>
        <v>67840376.196695194</v>
      </c>
      <c r="L175" s="73">
        <f t="shared" si="34"/>
        <v>54435888.151018649</v>
      </c>
      <c r="M175" s="73">
        <f>-SUMIFS(FinParameters!$E$8:$E$39,FinParameters!$B$8:$B$39,Financials!$E175,FinParameters!$C$8:$C$39,Financials!$F175)</f>
        <v>-6885707.8549804688</v>
      </c>
      <c r="N175" s="73">
        <f>-SUMIFS(FinParameters!$F$8:$F$39,FinParameters!$B$8:$B$39,Financials!$E175,FinParameters!$C$8:$C$39,Financials!$F175)</f>
        <v>-73600000</v>
      </c>
      <c r="O175" s="73">
        <f>SUMIFS(FinParameters!$G$8:$G$39,FinParameters!$B$8:$B$39,Financials!$E175,FinParameters!$C$8:$C$39,Financials!$F175)</f>
        <v>16225964.629381113</v>
      </c>
      <c r="P175" s="73">
        <f t="shared" si="35"/>
        <v>25649593.495122466</v>
      </c>
      <c r="Q175" s="73">
        <f>P175/SUMIFS(FinParameters!$H$8:$H$39,FinParameters!$B$8:$B$39,Financials!$E175,FinParameters!$C$8:$C$39,Financials!$F175)</f>
        <v>12354342.44285577</v>
      </c>
      <c r="R175" s="73">
        <f t="shared" si="47"/>
        <v>-31724441.875496425</v>
      </c>
      <c r="S175" s="12">
        <f t="shared" si="36"/>
        <v>-0.55294074524418824</v>
      </c>
      <c r="T175" s="114">
        <f t="shared" si="37"/>
        <v>35305074.846592255</v>
      </c>
      <c r="U175" s="73">
        <f>T175/SUMIFS(FinParameters!$L$8:$L$39,FinParameters!$B$8:$B$39,Financials!$E175,FinParameters!$C$8:$C$39,Financials!$F175)</f>
        <v>29700932.090456147</v>
      </c>
      <c r="V175" s="73">
        <f t="shared" si="38"/>
        <v>29700932.090456147</v>
      </c>
      <c r="W175" s="12"/>
      <c r="X175" s="73">
        <f t="shared" si="39"/>
        <v>60954668.341714725</v>
      </c>
      <c r="Y175" s="73">
        <f t="shared" si="40"/>
        <v>42055274.533311918</v>
      </c>
      <c r="Z175" s="73">
        <f t="shared" si="40"/>
        <v>-2023509.785040278</v>
      </c>
      <c r="AA175" s="12">
        <f t="shared" si="41"/>
        <v>-3.5268737364715898E-2</v>
      </c>
      <c r="AB175" s="114">
        <f t="shared" si="42"/>
        <v>-13404488.045676544</v>
      </c>
      <c r="AC175" s="73">
        <f>AB175/SUMIFS(FinParameters!$L$8:$L$39,FinParameters!$B$8:$B$39,Financials!$E175,FinParameters!$C$8:$C$39,Financials!$F175)</f>
        <v>-11276729.786918961</v>
      </c>
      <c r="AD175" s="73">
        <f t="shared" si="43"/>
        <v>-11276729.786918961</v>
      </c>
      <c r="AE175" s="12"/>
      <c r="AF175" s="73">
        <f t="shared" si="44"/>
        <v>47550180.296038181</v>
      </c>
      <c r="AG175" s="73">
        <f t="shared" si="45"/>
        <v>30778544.746392958</v>
      </c>
      <c r="AH175" s="73">
        <f t="shared" si="45"/>
        <v>-13300239.571959238</v>
      </c>
      <c r="AI175" s="12">
        <f t="shared" si="46"/>
        <v>-0.23181635187491553</v>
      </c>
      <c r="AL175" s="73">
        <f>Summary!G175</f>
        <v>2733462.9441192173</v>
      </c>
      <c r="AM175" s="73">
        <f>IF(D175&lt;&gt;"avg",SUMIFS(Summary!$H:$H,Summary!$C:$C,Financials!C175,Summary!$E:$E,Financials!E175,Summary!$D:$D,1-Financials!D175,Summary!$F:$F,Financials!F175),SUMIFS(Summary!$H:$H,Summary!$C:$C,Financials!C175,Summary!$E:$E,Financials!E175,Summary!$D:$D,"avg",Summary!$F:$F,Financials!F175))</f>
        <v>-2626642.6507591479</v>
      </c>
      <c r="AN175" s="20">
        <f>Summary!I175</f>
        <v>6980426.3842568807</v>
      </c>
      <c r="AP175" s="12">
        <v>1</v>
      </c>
    </row>
    <row r="176" spans="1:42" x14ac:dyDescent="0.3">
      <c r="A176">
        <v>172</v>
      </c>
      <c r="B176" t="str">
        <f>Summary!B176</f>
        <v>MarinusPortland</v>
      </c>
      <c r="C176" t="str">
        <f>Summary!C176</f>
        <v>Wind</v>
      </c>
      <c r="D176" s="104">
        <f>Summary!D176</f>
        <v>0.5</v>
      </c>
      <c r="E176" t="str">
        <f>Summary!E176</f>
        <v>Cal-27</v>
      </c>
      <c r="F176" t="str">
        <f>Summary!F176</f>
        <v>2 Hour Battery</v>
      </c>
      <c r="G176" s="73">
        <f>SUMIFS(AL$5:AL176,$F$5:$F176,$F176,$D$5:$D176,$D176)</f>
        <v>10354158.615286199</v>
      </c>
      <c r="H176" s="73">
        <f>SUMIFS(AM$5:AM176,$F$5:$F176,$F176,$D$5:$D176,$D176)</f>
        <v>225780.71816398366</v>
      </c>
      <c r="I176" s="20">
        <f>SUMIFS(AN$5:AN176,$F$5:$F176,$F176,$D$5:$D176,$D176)</f>
        <v>27338677.874399289</v>
      </c>
      <c r="J176" s="73">
        <f t="shared" si="32"/>
        <v>27338677.874399289</v>
      </c>
      <c r="K176" s="73">
        <f t="shared" si="33"/>
        <v>37692836.489685491</v>
      </c>
      <c r="L176" s="73">
        <f t="shared" si="34"/>
        <v>37918617.207849473</v>
      </c>
      <c r="M176" s="73">
        <f>-SUMIFS(FinParameters!$E$8:$E$39,FinParameters!$B$8:$B$39,Financials!$E176,FinParameters!$C$8:$C$39,Financials!$F176)</f>
        <v>-6885707.8549804688</v>
      </c>
      <c r="N176" s="73">
        <f>-SUMIFS(FinParameters!$F$8:$F$39,FinParameters!$B$8:$B$39,Financials!$E176,FinParameters!$C$8:$C$39,Financials!$F176)</f>
        <v>-73600000</v>
      </c>
      <c r="O176" s="73">
        <f>SUMIFS(FinParameters!$G$8:$G$39,FinParameters!$B$8:$B$39,Financials!$E176,FinParameters!$C$8:$C$39,Financials!$F176)</f>
        <v>16225964.629381113</v>
      </c>
      <c r="P176" s="73">
        <f t="shared" si="35"/>
        <v>20452970.019418821</v>
      </c>
      <c r="Q176" s="73">
        <f>P176/SUMIFS(FinParameters!$H$8:$H$39,FinParameters!$B$8:$B$39,Financials!$E176,FinParameters!$C$8:$C$39,Financials!$F176)</f>
        <v>9851345.037550509</v>
      </c>
      <c r="R176" s="73">
        <f t="shared" si="47"/>
        <v>-36921065.351200067</v>
      </c>
      <c r="S176" s="12">
        <f t="shared" si="36"/>
        <v>-0.64351522622909774</v>
      </c>
      <c r="T176" s="114">
        <f t="shared" si="37"/>
        <v>10354158.615286199</v>
      </c>
      <c r="U176" s="73">
        <f>T176/SUMIFS(FinParameters!$L$8:$L$39,FinParameters!$B$8:$B$39,Financials!$E176,FinParameters!$C$8:$C$39,Financials!$F176)</f>
        <v>8710593.6815797556</v>
      </c>
      <c r="V176" s="73">
        <f t="shared" si="38"/>
        <v>8710593.6815797556</v>
      </c>
      <c r="W176" s="12"/>
      <c r="X176" s="73">
        <f t="shared" si="39"/>
        <v>30807128.634705022</v>
      </c>
      <c r="Y176" s="73">
        <f t="shared" si="40"/>
        <v>18561938.719130263</v>
      </c>
      <c r="Z176" s="73">
        <f t="shared" si="40"/>
        <v>-28210471.669620313</v>
      </c>
      <c r="AA176" s="12">
        <f t="shared" si="41"/>
        <v>-0.49169404744479295</v>
      </c>
      <c r="AB176" s="114">
        <f t="shared" si="42"/>
        <v>225780.71816398366</v>
      </c>
      <c r="AC176" s="73">
        <f>AB176/SUMIFS(FinParameters!$L$8:$L$39,FinParameters!$B$8:$B$39,Financials!$E176,FinParameters!$C$8:$C$39,Financials!$F176)</f>
        <v>189941.46894352694</v>
      </c>
      <c r="AD176" s="73">
        <f t="shared" si="43"/>
        <v>189941.46894352694</v>
      </c>
      <c r="AE176" s="12"/>
      <c r="AF176" s="73">
        <f t="shared" si="44"/>
        <v>31032909.352869004</v>
      </c>
      <c r="AG176" s="73">
        <f t="shared" si="45"/>
        <v>18751880.188073788</v>
      </c>
      <c r="AH176" s="73">
        <f t="shared" si="45"/>
        <v>-28020530.200676788</v>
      </c>
      <c r="AI176" s="12">
        <f t="shared" si="46"/>
        <v>-0.48838346509309744</v>
      </c>
      <c r="AL176" s="73">
        <f>Summary!G176</f>
        <v>-665372.71057744452</v>
      </c>
      <c r="AM176" s="73">
        <f>IF(D176&lt;&gt;"avg",SUMIFS(Summary!$H:$H,Summary!$C:$C,Financials!C176,Summary!$E:$E,Financials!E176,Summary!$D:$D,1-Financials!D176,Summary!$F:$F,Financials!F176),SUMIFS(Summary!$H:$H,Summary!$C:$C,Financials!C176,Summary!$E:$E,Financials!E176,Summary!$D:$D,"avg",Summary!$F:$F,Financials!F176))</f>
        <v>112752.0407873208</v>
      </c>
      <c r="AN176" s="20">
        <f>Summary!I176</f>
        <v>5914279.0169754941</v>
      </c>
      <c r="AP176" s="12">
        <v>1</v>
      </c>
    </row>
    <row r="177" spans="1:42" x14ac:dyDescent="0.3">
      <c r="A177">
        <v>173</v>
      </c>
      <c r="B177" t="str">
        <f>Summary!B177</f>
        <v>MarinusPortland</v>
      </c>
      <c r="C177" t="str">
        <f>Summary!C177</f>
        <v>Wind</v>
      </c>
      <c r="D177" s="104">
        <f>Summary!D177</f>
        <v>0.25</v>
      </c>
      <c r="E177" t="str">
        <f>Summary!E177</f>
        <v>Cal-27</v>
      </c>
      <c r="F177" t="str">
        <f>Summary!F177</f>
        <v>2 Hour Battery</v>
      </c>
      <c r="G177" s="73">
        <f>SUMIFS(AL$5:AL177,$F$5:$F177,$F177,$D$5:$D177,$D177)</f>
        <v>-6037502.9854577323</v>
      </c>
      <c r="H177" s="73">
        <f>SUMIFS(AM$5:AM177,$F$5:$F177,$F177,$D$5:$D177,$D177)</f>
        <v>12944476.158026202</v>
      </c>
      <c r="I177" s="20">
        <f>SUMIFS(AN$5:AN177,$F$5:$F177,$F177,$D$5:$D177,$D177)</f>
        <v>22587871.059810698</v>
      </c>
      <c r="J177" s="73">
        <f t="shared" si="32"/>
        <v>22587871.059810698</v>
      </c>
      <c r="K177" s="73">
        <f t="shared" si="33"/>
        <v>16550368.074352965</v>
      </c>
      <c r="L177" s="73">
        <f t="shared" si="34"/>
        <v>29494844.232379168</v>
      </c>
      <c r="M177" s="73">
        <f>-SUMIFS(FinParameters!$E$8:$E$39,FinParameters!$B$8:$B$39,Financials!$E177,FinParameters!$C$8:$C$39,Financials!$F177)</f>
        <v>-6885707.8549804688</v>
      </c>
      <c r="N177" s="73">
        <f>-SUMIFS(FinParameters!$F$8:$F$39,FinParameters!$B$8:$B$39,Financials!$E177,FinParameters!$C$8:$C$39,Financials!$F177)</f>
        <v>-73600000</v>
      </c>
      <c r="O177" s="73">
        <f>SUMIFS(FinParameters!$G$8:$G$39,FinParameters!$B$8:$B$39,Financials!$E177,FinParameters!$C$8:$C$39,Financials!$F177)</f>
        <v>16225964.629381113</v>
      </c>
      <c r="P177" s="73">
        <f t="shared" si="35"/>
        <v>15702163.204830229</v>
      </c>
      <c r="Q177" s="73">
        <f>P177/SUMIFS(FinParameters!$H$8:$H$39,FinParameters!$B$8:$B$39,Financials!$E177,FinParameters!$C$8:$C$39,Financials!$F177)</f>
        <v>7563078.9767865697</v>
      </c>
      <c r="R177" s="73">
        <f t="shared" si="47"/>
        <v>-41671872.165788658</v>
      </c>
      <c r="S177" s="12">
        <f t="shared" si="36"/>
        <v>-0.72631935154292337</v>
      </c>
      <c r="T177" s="114">
        <f t="shared" si="37"/>
        <v>-6037502.9854577323</v>
      </c>
      <c r="U177" s="73">
        <f>T177/SUMIFS(FinParameters!$L$8:$L$39,FinParameters!$B$8:$B$39,Financials!$E177,FinParameters!$C$8:$C$39,Financials!$F177)</f>
        <v>-5079141.3683779445</v>
      </c>
      <c r="V177" s="73">
        <f t="shared" si="38"/>
        <v>-5079141.3683779445</v>
      </c>
      <c r="W177" s="12"/>
      <c r="X177" s="73">
        <f t="shared" si="39"/>
        <v>9664660.219372496</v>
      </c>
      <c r="Y177" s="73">
        <f t="shared" si="40"/>
        <v>2483937.6084086252</v>
      </c>
      <c r="Z177" s="73">
        <f t="shared" si="40"/>
        <v>-46751013.534166604</v>
      </c>
      <c r="AA177" s="12">
        <f t="shared" si="41"/>
        <v>-0.81484617967289941</v>
      </c>
      <c r="AB177" s="114">
        <f t="shared" si="42"/>
        <v>12944476.158026202</v>
      </c>
      <c r="AC177" s="73">
        <f>AB177/SUMIFS(FinParameters!$L$8:$L$39,FinParameters!$B$8:$B$39,Financials!$E177,FinParameters!$C$8:$C$39,Financials!$F177)</f>
        <v>10889737.778113628</v>
      </c>
      <c r="AD177" s="73">
        <f t="shared" si="43"/>
        <v>10889737.778113628</v>
      </c>
      <c r="AE177" s="12"/>
      <c r="AF177" s="73">
        <f t="shared" si="44"/>
        <v>22609136.3773987</v>
      </c>
      <c r="AG177" s="73">
        <f t="shared" si="45"/>
        <v>13373675.386522252</v>
      </c>
      <c r="AH177" s="73">
        <f t="shared" si="45"/>
        <v>-35861275.756052978</v>
      </c>
      <c r="AI177" s="12">
        <f t="shared" si="46"/>
        <v>-0.6250436373247934</v>
      </c>
      <c r="AL177" s="73">
        <f>Summary!G177</f>
        <v>-3126043.7672759341</v>
      </c>
      <c r="AM177" s="73">
        <f>IF(D177&lt;&gt;"avg",SUMIFS(Summary!$H:$H,Summary!$C:$C,Financials!C177,Summary!$E:$E,Financials!E177,Summary!$D:$D,1-Financials!D177,Summary!$F:$F,Financials!F177),SUMIFS(Summary!$H:$H,Summary!$C:$C,Financials!C177,Summary!$E:$E,Financials!E177,Summary!$D:$D,"avg",Summary!$F:$F,Financials!F177))</f>
        <v>2565424.4392272891</v>
      </c>
      <c r="AN177" s="20">
        <f>Summary!I177</f>
        <v>4894745.2167632366</v>
      </c>
      <c r="AP177" s="12">
        <v>1</v>
      </c>
    </row>
    <row r="178" spans="1:42" x14ac:dyDescent="0.3">
      <c r="A178">
        <v>174</v>
      </c>
      <c r="B178" t="str">
        <f>Summary!B178</f>
        <v>MarinusPortland</v>
      </c>
      <c r="C178" t="str">
        <f>Summary!C178</f>
        <v>Wind</v>
      </c>
      <c r="D178" s="104">
        <f>Summary!D178</f>
        <v>0.05</v>
      </c>
      <c r="E178" t="str">
        <f>Summary!E178</f>
        <v>Cal-27</v>
      </c>
      <c r="F178" t="str">
        <f>Summary!F178</f>
        <v>2 Hour Battery</v>
      </c>
      <c r="G178" s="73">
        <f>SUMIFS(AL$5:AL178,$F$5:$F178,$F178,$D$5:$D178,$D178)</f>
        <v>-25195456.813781481</v>
      </c>
      <c r="H178" s="73">
        <f>SUMIFS(AM$5:AM178,$F$5:$F178,$F178,$D$5:$D178,$D178)</f>
        <v>30160973.555153925</v>
      </c>
      <c r="I178" s="20">
        <f>SUMIFS(AN$5:AN178,$F$5:$F178,$F178,$D$5:$D178,$D178)</f>
        <v>16983031.199541286</v>
      </c>
      <c r="J178" s="73">
        <f t="shared" si="32"/>
        <v>16983031.199541286</v>
      </c>
      <c r="K178" s="73">
        <f t="shared" si="33"/>
        <v>-8212425.6142401956</v>
      </c>
      <c r="L178" s="73">
        <f t="shared" si="34"/>
        <v>21948547.940913729</v>
      </c>
      <c r="M178" s="73">
        <f>-SUMIFS(FinParameters!$E$8:$E$39,FinParameters!$B$8:$B$39,Financials!$E178,FinParameters!$C$8:$C$39,Financials!$F178)</f>
        <v>-6885707.8549804688</v>
      </c>
      <c r="N178" s="73">
        <f>-SUMIFS(FinParameters!$F$8:$F$39,FinParameters!$B$8:$B$39,Financials!$E178,FinParameters!$C$8:$C$39,Financials!$F178)</f>
        <v>-73600000</v>
      </c>
      <c r="O178" s="73">
        <f>SUMIFS(FinParameters!$G$8:$G$39,FinParameters!$B$8:$B$39,Financials!$E178,FinParameters!$C$8:$C$39,Financials!$F178)</f>
        <v>16225964.629381113</v>
      </c>
      <c r="P178" s="73">
        <f t="shared" si="35"/>
        <v>10097323.344560817</v>
      </c>
      <c r="Q178" s="73">
        <f>P178/SUMIFS(FinParameters!$H$8:$H$39,FinParameters!$B$8:$B$39,Financials!$E178,FinParameters!$C$8:$C$39,Financials!$F178)</f>
        <v>4863460.716391773</v>
      </c>
      <c r="R178" s="73">
        <f t="shared" si="47"/>
        <v>-47276712.02605807</v>
      </c>
      <c r="S178" s="12">
        <f t="shared" si="36"/>
        <v>-0.82400883466998331</v>
      </c>
      <c r="T178" s="114">
        <f t="shared" si="37"/>
        <v>-25195456.813781481</v>
      </c>
      <c r="U178" s="73">
        <f>T178/SUMIFS(FinParameters!$L$8:$L$39,FinParameters!$B$8:$B$39,Financials!$E178,FinParameters!$C$8:$C$39,Financials!$F178)</f>
        <v>-21196061.899480015</v>
      </c>
      <c r="V178" s="73">
        <f t="shared" si="38"/>
        <v>-21196061.899480015</v>
      </c>
      <c r="W178" s="12"/>
      <c r="X178" s="73">
        <f t="shared" si="39"/>
        <v>-15098133.469220664</v>
      </c>
      <c r="Y178" s="73">
        <f t="shared" si="40"/>
        <v>-16332601.183088243</v>
      </c>
      <c r="Z178" s="73">
        <f t="shared" si="40"/>
        <v>-68472773.925538093</v>
      </c>
      <c r="AA178" s="12">
        <f t="shared" si="41"/>
        <v>-1.1934453186572065</v>
      </c>
      <c r="AB178" s="114">
        <f t="shared" si="42"/>
        <v>30160973.555153925</v>
      </c>
      <c r="AC178" s="73">
        <f>AB178/SUMIFS(FinParameters!$L$8:$L$39,FinParameters!$B$8:$B$39,Financials!$E178,FinParameters!$C$8:$C$39,Financials!$F178)</f>
        <v>25373378.508221358</v>
      </c>
      <c r="AD178" s="73">
        <f t="shared" si="43"/>
        <v>25373378.508221358</v>
      </c>
      <c r="AE178" s="12"/>
      <c r="AF178" s="73">
        <f t="shared" si="44"/>
        <v>15062840.085933261</v>
      </c>
      <c r="AG178" s="73">
        <f t="shared" si="45"/>
        <v>9040777.3251331151</v>
      </c>
      <c r="AH178" s="73">
        <f t="shared" si="45"/>
        <v>-43099395.417316735</v>
      </c>
      <c r="AI178" s="12">
        <f t="shared" si="46"/>
        <v>-0.75120034940731806</v>
      </c>
      <c r="AL178" s="73">
        <f>Summary!G178</f>
        <v>-5892643.4799591517</v>
      </c>
      <c r="AM178" s="73">
        <f>IF(D178&lt;&gt;"avg",SUMIFS(Summary!$H:$H,Summary!$C:$C,Financials!C178,Summary!$E:$E,Financials!E178,Summary!$D:$D,1-Financials!D178,Summary!$F:$F,Financials!F178),SUMIFS(Summary!$H:$H,Summary!$C:$C,Financials!C178,Summary!$E:$E,Financials!E178,Summary!$D:$D,"avg",Summary!$F:$F,Financials!F178))</f>
        <v>5823358.5533748129</v>
      </c>
      <c r="AN178" s="20">
        <f>Summary!I178</f>
        <v>3666045.7949451427</v>
      </c>
      <c r="AP178" s="12">
        <v>1</v>
      </c>
    </row>
    <row r="179" spans="1:42" x14ac:dyDescent="0.3">
      <c r="A179">
        <v>175</v>
      </c>
      <c r="B179" t="str">
        <f>Summary!B179</f>
        <v>MarinusPortland</v>
      </c>
      <c r="C179" t="str">
        <f>Summary!C179</f>
        <v>Wind</v>
      </c>
      <c r="D179" s="104">
        <f>Summary!D179</f>
        <v>0</v>
      </c>
      <c r="E179" t="str">
        <f>Summary!E179</f>
        <v>Cal-27</v>
      </c>
      <c r="F179" t="str">
        <f>Summary!F179</f>
        <v>2 Hour Battery</v>
      </c>
      <c r="G179" s="73">
        <f>SUMIFS(AL$5:AL179,$F$5:$F179,$F179,$D$5:$D179,$D179)</f>
        <v>-57114519.073063619</v>
      </c>
      <c r="H179" s="73">
        <f>SUMIFS(AM$5:AM179,$F$5:$F179,$F179,$D$5:$D179,$D179)</f>
        <v>66836756.32578291</v>
      </c>
      <c r="I179" s="20">
        <f>SUMIFS(AN$5:AN179,$F$5:$F179,$F179,$D$5:$D179,$D179)</f>
        <v>8160123.558561407</v>
      </c>
      <c r="J179" s="73">
        <f t="shared" si="32"/>
        <v>8160123.558561407</v>
      </c>
      <c r="K179" s="73">
        <f t="shared" si="33"/>
        <v>-48954395.514502212</v>
      </c>
      <c r="L179" s="73">
        <f t="shared" si="34"/>
        <v>17882360.811280698</v>
      </c>
      <c r="M179" s="73">
        <f>-SUMIFS(FinParameters!$E$8:$E$39,FinParameters!$B$8:$B$39,Financials!$E179,FinParameters!$C$8:$C$39,Financials!$F179)</f>
        <v>-6885707.8549804688</v>
      </c>
      <c r="N179" s="73">
        <f>-SUMIFS(FinParameters!$F$8:$F$39,FinParameters!$B$8:$B$39,Financials!$E179,FinParameters!$C$8:$C$39,Financials!$F179)</f>
        <v>-73600000</v>
      </c>
      <c r="O179" s="73">
        <f>SUMIFS(FinParameters!$G$8:$G$39,FinParameters!$B$8:$B$39,Financials!$E179,FinParameters!$C$8:$C$39,Financials!$F179)</f>
        <v>16225964.629381113</v>
      </c>
      <c r="P179" s="73">
        <f t="shared" si="35"/>
        <v>1274415.7035809383</v>
      </c>
      <c r="Q179" s="73">
        <f>P179/SUMIFS(FinParameters!$H$8:$H$39,FinParameters!$B$8:$B$39,Financials!$E179,FinParameters!$C$8:$C$39,Financials!$F179)</f>
        <v>613833.04260107956</v>
      </c>
      <c r="R179" s="73">
        <f t="shared" si="47"/>
        <v>-56099619.667037942</v>
      </c>
      <c r="S179" s="12">
        <f t="shared" si="36"/>
        <v>-0.97778758814246536</v>
      </c>
      <c r="T179" s="114">
        <f t="shared" si="37"/>
        <v>-57114519.073063619</v>
      </c>
      <c r="U179" s="73">
        <f>T179/SUMIFS(FinParameters!$L$8:$L$39,FinParameters!$B$8:$B$39,Financials!$E179,FinParameters!$C$8:$C$39,Financials!$F179)</f>
        <v>-48048459.314677298</v>
      </c>
      <c r="V179" s="73">
        <f t="shared" si="38"/>
        <v>-48048459.314677298</v>
      </c>
      <c r="W179" s="12"/>
      <c r="X179" s="73">
        <f t="shared" si="39"/>
        <v>-55840103.369482681</v>
      </c>
      <c r="Y179" s="73">
        <f t="shared" si="40"/>
        <v>-47434626.272076219</v>
      </c>
      <c r="Z179" s="73">
        <f t="shared" si="40"/>
        <v>-104148078.98171523</v>
      </c>
      <c r="AA179" s="12">
        <f t="shared" si="41"/>
        <v>-1.8152475820978984</v>
      </c>
      <c r="AB179" s="114">
        <f t="shared" si="42"/>
        <v>66836756.32578291</v>
      </c>
      <c r="AC179" s="73">
        <f>AB179/SUMIFS(FinParameters!$L$8:$L$39,FinParameters!$B$8:$B$39,Financials!$E179,FinParameters!$C$8:$C$39,Financials!$F179)</f>
        <v>56227439.522622973</v>
      </c>
      <c r="AD179" s="73">
        <f t="shared" si="43"/>
        <v>56227439.522622973</v>
      </c>
      <c r="AE179" s="12"/>
      <c r="AF179" s="73">
        <f t="shared" si="44"/>
        <v>10996652.956300229</v>
      </c>
      <c r="AG179" s="73">
        <f t="shared" si="45"/>
        <v>8792813.2505467534</v>
      </c>
      <c r="AH179" s="73">
        <f t="shared" si="45"/>
        <v>-47920639.459092259</v>
      </c>
      <c r="AI179" s="12">
        <f t="shared" si="46"/>
        <v>-0.83523215945225826</v>
      </c>
      <c r="AL179" s="73">
        <f>Summary!G179</f>
        <v>-10688050.332502784</v>
      </c>
      <c r="AM179" s="73">
        <f>IF(D179&lt;&gt;"avg",SUMIFS(Summary!$H:$H,Summary!$C:$C,Financials!C179,Summary!$E:$E,Financials!E179,Summary!$D:$D,1-Financials!D179,Summary!$F:$F,Financials!F179),SUMIFS(Summary!$H:$H,Summary!$C:$C,Financials!C179,Summary!$E:$E,Financials!E179,Summary!$D:$D,"avg",Summary!$F:$F,Financials!F179))</f>
        <v>14690052.361895915</v>
      </c>
      <c r="AN179" s="20">
        <f>Summary!I179</f>
        <v>2032078.4681172532</v>
      </c>
      <c r="AP179" s="12">
        <v>1</v>
      </c>
    </row>
    <row r="180" spans="1:42" x14ac:dyDescent="0.3">
      <c r="A180">
        <v>176</v>
      </c>
      <c r="B180" t="str">
        <f>Summary!B180</f>
        <v>MarinusPortland</v>
      </c>
      <c r="C180" t="str">
        <f>Summary!C180</f>
        <v>Wind</v>
      </c>
      <c r="D180" s="104" t="str">
        <f>Summary!D180</f>
        <v>avg</v>
      </c>
      <c r="E180" t="str">
        <f>Summary!E180</f>
        <v>Cal-27</v>
      </c>
      <c r="F180" t="str">
        <f>Summary!F180</f>
        <v>2 Hour Battery</v>
      </c>
      <c r="G180" s="73">
        <f>SUMIFS(AL$5:AL180,$F$5:$F180,$F180,$D$5:$D180,$D180)</f>
        <v>15965408.350836305</v>
      </c>
      <c r="H180" s="73">
        <f>SUMIFS(AM$5:AM180,$F$5:$F180,$F180,$D$5:$D180,$D180)</f>
        <v>-682964.03967792587</v>
      </c>
      <c r="I180" s="20">
        <f>SUMIFS(AN$5:AN180,$F$5:$F180,$F180,$D$5:$D180,$D180)</f>
        <v>27802218.943361793</v>
      </c>
      <c r="J180" s="73">
        <f t="shared" si="32"/>
        <v>27802218.943361793</v>
      </c>
      <c r="K180" s="73">
        <f t="shared" si="33"/>
        <v>43767627.294198096</v>
      </c>
      <c r="L180" s="73">
        <f t="shared" si="34"/>
        <v>43084663.25452017</v>
      </c>
      <c r="M180" s="73">
        <f>-SUMIFS(FinParameters!$E$8:$E$39,FinParameters!$B$8:$B$39,Financials!$E180,FinParameters!$C$8:$C$39,Financials!$F180)</f>
        <v>-6885707.8549804688</v>
      </c>
      <c r="N180" s="73">
        <f>-SUMIFS(FinParameters!$F$8:$F$39,FinParameters!$B$8:$B$39,Financials!$E180,FinParameters!$C$8:$C$39,Financials!$F180)</f>
        <v>-73600000</v>
      </c>
      <c r="O180" s="73">
        <f>SUMIFS(FinParameters!$G$8:$G$39,FinParameters!$B$8:$B$39,Financials!$E180,FinParameters!$C$8:$C$39,Financials!$F180)</f>
        <v>16225964.629381113</v>
      </c>
      <c r="P180" s="73">
        <f t="shared" si="35"/>
        <v>20916511.088381324</v>
      </c>
      <c r="Q180" s="73">
        <f>P180/SUMIFS(FinParameters!$H$8:$H$39,FinParameters!$B$8:$B$39,Financials!$E180,FinParameters!$C$8:$C$39,Financials!$F180)</f>
        <v>10074613.492209613</v>
      </c>
      <c r="R180" s="73">
        <f t="shared" si="47"/>
        <v>-36457524.282237567</v>
      </c>
      <c r="S180" s="12">
        <f t="shared" si="36"/>
        <v>-0.63543594322297547</v>
      </c>
      <c r="T180" s="114">
        <f t="shared" si="37"/>
        <v>15965408.350836305</v>
      </c>
      <c r="U180" s="73">
        <f>T180/SUMIFS(FinParameters!$L$8:$L$39,FinParameters!$B$8:$B$39,Financials!$E180,FinParameters!$C$8:$C$39,Financials!$F180)</f>
        <v>13431143.00946909</v>
      </c>
      <c r="V180" s="73">
        <f t="shared" si="38"/>
        <v>13431143.00946909</v>
      </c>
      <c r="W180" s="12"/>
      <c r="X180" s="73">
        <f t="shared" si="39"/>
        <v>36881919.439217627</v>
      </c>
      <c r="Y180" s="73">
        <f t="shared" si="40"/>
        <v>23505756.501678705</v>
      </c>
      <c r="Z180" s="73">
        <f t="shared" si="40"/>
        <v>-23026381.272768475</v>
      </c>
      <c r="AA180" s="12">
        <f t="shared" si="41"/>
        <v>-0.40133801159400811</v>
      </c>
      <c r="AB180" s="114">
        <f t="shared" si="42"/>
        <v>-682964.03967792587</v>
      </c>
      <c r="AC180" s="73">
        <f>AB180/SUMIFS(FinParameters!$L$8:$L$39,FinParameters!$B$8:$B$39,Financials!$E180,FinParameters!$C$8:$C$39,Financials!$F180)</f>
        <v>-574553.90339317196</v>
      </c>
      <c r="AD180" s="73">
        <f t="shared" si="43"/>
        <v>-574553.90339317196</v>
      </c>
      <c r="AE180" s="12"/>
      <c r="AF180" s="73">
        <f t="shared" si="44"/>
        <v>36198955.399539702</v>
      </c>
      <c r="AG180" s="73">
        <f t="shared" si="45"/>
        <v>22931202.598285533</v>
      </c>
      <c r="AH180" s="73">
        <f t="shared" si="45"/>
        <v>-23600935.176161647</v>
      </c>
      <c r="AI180" s="12">
        <f t="shared" si="46"/>
        <v>-0.41135219134764978</v>
      </c>
      <c r="AL180" s="73">
        <f>Summary!G180</f>
        <v>52237.14087490258</v>
      </c>
      <c r="AM180" s="73">
        <f>IF(D180&lt;&gt;"avg",SUMIFS(Summary!$H:$H,Summary!$C:$C,Financials!C180,Summary!$E:$E,Financials!E180,Summary!$D:$D,1-Financials!D180,Summary!$F:$F,Financials!F180),SUMIFS(Summary!$H:$H,Summary!$C:$C,Financials!C180,Summary!$E:$E,Financials!E180,Summary!$D:$D,"avg",Summary!$F:$F,Financials!F180))</f>
        <v>-136408.22380056352</v>
      </c>
      <c r="AN180" s="20">
        <f>Summary!I180</f>
        <v>5972574.0355146192</v>
      </c>
      <c r="AP180" s="12">
        <v>1</v>
      </c>
    </row>
    <row r="181" spans="1:42" x14ac:dyDescent="0.3">
      <c r="A181">
        <v>177</v>
      </c>
      <c r="B181" t="str">
        <f>Summary!B181</f>
        <v>MarinusPortland</v>
      </c>
      <c r="C181" t="str">
        <f>Summary!C181</f>
        <v>Wind</v>
      </c>
      <c r="D181" s="104">
        <f>Summary!D181</f>
        <v>1</v>
      </c>
      <c r="E181" t="str">
        <f>Summary!E181</f>
        <v>Cal-28</v>
      </c>
      <c r="F181" t="str">
        <f>Summary!F181</f>
        <v>2 Hour Battery</v>
      </c>
      <c r="G181" s="73">
        <f>SUMIFS(AL$5:AL181,$F$5:$F181,$F181,$D$5:$D181,$D181)</f>
        <v>149661535.30455753</v>
      </c>
      <c r="H181" s="73">
        <f>SUMIFS(AM$5:AM181,$F$5:$F181,$F181,$D$5:$D181,$D181)</f>
        <v>-97521816.742918625</v>
      </c>
      <c r="I181" s="20">
        <f>SUMIFS(AN$5:AN181,$F$5:$F181,$F181,$D$5:$D181,$D181)</f>
        <v>72358678.335848138</v>
      </c>
      <c r="J181" s="73">
        <f t="shared" si="32"/>
        <v>72358678.335848138</v>
      </c>
      <c r="K181" s="73">
        <f t="shared" si="33"/>
        <v>222020213.64040565</v>
      </c>
      <c r="L181" s="73">
        <f t="shared" si="34"/>
        <v>124498396.89748704</v>
      </c>
      <c r="M181" s="73">
        <f>-SUMIFS(FinParameters!$E$8:$E$39,FinParameters!$B$8:$B$39,Financials!$E181,FinParameters!$C$8:$C$39,Financials!$F181)</f>
        <v>-7891600.5513549801</v>
      </c>
      <c r="N181" s="73">
        <f>-SUMIFS(FinParameters!$F$8:$F$39,FinParameters!$B$8:$B$39,Financials!$E181,FinParameters!$C$8:$C$39,Financials!$F181)</f>
        <v>-73600000</v>
      </c>
      <c r="O181" s="73">
        <f>SUMIFS(FinParameters!$G$8:$G$39,FinParameters!$B$8:$B$39,Financials!$E181,FinParameters!$C$8:$C$39,Financials!$F181)</f>
        <v>13244972.277146295</v>
      </c>
      <c r="P181" s="73">
        <f t="shared" si="35"/>
        <v>64467077.784493156</v>
      </c>
      <c r="Q181" s="73">
        <f>P181/SUMIFS(FinParameters!$H$8:$H$39,FinParameters!$B$8:$B$39,Financials!$E181,FinParameters!$C$8:$C$39,Financials!$F181)</f>
        <v>27973973.189597093</v>
      </c>
      <c r="R181" s="73">
        <f t="shared" si="47"/>
        <v>4112050.0616394505</v>
      </c>
      <c r="S181" s="12">
        <f t="shared" si="36"/>
        <v>6.8131027634047533E-2</v>
      </c>
      <c r="T181" s="114">
        <f t="shared" si="37"/>
        <v>149661535.30455753</v>
      </c>
      <c r="U181" s="73">
        <f>T181/SUMIFS(FinParameters!$L$8:$L$39,FinParameters!$B$8:$B$39,Financials!$E181,FinParameters!$C$8:$C$39,Financials!$F181)</f>
        <v>122834191.8838381</v>
      </c>
      <c r="V181" s="73">
        <f t="shared" si="38"/>
        <v>122834191.8838381</v>
      </c>
      <c r="W181" s="12"/>
      <c r="X181" s="73">
        <f t="shared" si="39"/>
        <v>214128613.08905068</v>
      </c>
      <c r="Y181" s="73">
        <f t="shared" si="40"/>
        <v>150808165.07343519</v>
      </c>
      <c r="Z181" s="73">
        <f t="shared" si="40"/>
        <v>126946241.94547755</v>
      </c>
      <c r="AA181" s="12">
        <f t="shared" si="41"/>
        <v>2.1033250540188018</v>
      </c>
      <c r="AB181" s="114">
        <f t="shared" si="42"/>
        <v>-97521816.742918625</v>
      </c>
      <c r="AC181" s="73">
        <f>AB181/SUMIFS(FinParameters!$L$8:$L$39,FinParameters!$B$8:$B$39,Financials!$E181,FinParameters!$C$8:$C$39,Financials!$F181)</f>
        <v>-80040696.671213239</v>
      </c>
      <c r="AD181" s="73">
        <f t="shared" si="43"/>
        <v>-80040696.671213239</v>
      </c>
      <c r="AE181" s="12"/>
      <c r="AF181" s="73">
        <f t="shared" si="44"/>
        <v>116606796.34613205</v>
      </c>
      <c r="AG181" s="73">
        <f t="shared" si="45"/>
        <v>70767468.402221948</v>
      </c>
      <c r="AH181" s="73">
        <f t="shared" si="45"/>
        <v>46905545.274264306</v>
      </c>
      <c r="AI181" s="12">
        <f t="shared" si="46"/>
        <v>0.77716052902256072</v>
      </c>
      <c r="AL181" s="73">
        <f>Summary!G181</f>
        <v>13012473.700651761</v>
      </c>
      <c r="AM181" s="73">
        <f>IF(D181&lt;&gt;"avg",SUMIFS(Summary!$H:$H,Summary!$C:$C,Financials!C181,Summary!$E:$E,Financials!E181,Summary!$D:$D,1-Financials!D181,Summary!$F:$F,Financials!F181),SUMIFS(Summary!$H:$H,Summary!$C:$C,Financials!C181,Summary!$E:$E,Financials!E181,Summary!$D:$D,"avg",Summary!$F:$F,Financials!F181))</f>
        <v>-13295062.304821184</v>
      </c>
      <c r="AN181" s="20">
        <f>Summary!I181</f>
        <v>11266001.519425564</v>
      </c>
      <c r="AP181" s="12">
        <v>1</v>
      </c>
    </row>
    <row r="182" spans="1:42" x14ac:dyDescent="0.3">
      <c r="A182">
        <v>178</v>
      </c>
      <c r="B182" t="str">
        <f>Summary!B182</f>
        <v>MarinusPortland</v>
      </c>
      <c r="C182" t="str">
        <f>Summary!C182</f>
        <v>Wind</v>
      </c>
      <c r="D182" s="104">
        <f>Summary!D182</f>
        <v>0.95</v>
      </c>
      <c r="E182" t="str">
        <f>Summary!E182</f>
        <v>Cal-28</v>
      </c>
      <c r="F182" t="str">
        <f>Summary!F182</f>
        <v>2 Hour Battery</v>
      </c>
      <c r="G182" s="73">
        <f>SUMIFS(AL$5:AL182,$F$5:$F182,$F182,$D$5:$D182,$D182)</f>
        <v>76995584.086068347</v>
      </c>
      <c r="H182" s="73">
        <f>SUMIFS(AM$5:AM182,$F$5:$F182,$F182,$D$5:$D182,$D182)</f>
        <v>-40289866.55370415</v>
      </c>
      <c r="I182" s="20">
        <f>SUMIFS(AN$5:AN182,$F$5:$F182,$F182,$D$5:$D182,$D182)</f>
        <v>49062892.208997972</v>
      </c>
      <c r="J182" s="73">
        <f t="shared" si="32"/>
        <v>49062892.208997972</v>
      </c>
      <c r="K182" s="73">
        <f t="shared" si="33"/>
        <v>126058476.29506633</v>
      </c>
      <c r="L182" s="73">
        <f t="shared" si="34"/>
        <v>85768609.741362169</v>
      </c>
      <c r="M182" s="73">
        <f>-SUMIFS(FinParameters!$E$8:$E$39,FinParameters!$B$8:$B$39,Financials!$E182,FinParameters!$C$8:$C$39,Financials!$F182)</f>
        <v>-7891600.5513549801</v>
      </c>
      <c r="N182" s="73">
        <f>-SUMIFS(FinParameters!$F$8:$F$39,FinParameters!$B$8:$B$39,Financials!$E182,FinParameters!$C$8:$C$39,Financials!$F182)</f>
        <v>-73600000</v>
      </c>
      <c r="O182" s="73">
        <f>SUMIFS(FinParameters!$G$8:$G$39,FinParameters!$B$8:$B$39,Financials!$E182,FinParameters!$C$8:$C$39,Financials!$F182)</f>
        <v>13244972.277146295</v>
      </c>
      <c r="P182" s="73">
        <f t="shared" si="35"/>
        <v>41171291.65764299</v>
      </c>
      <c r="Q182" s="73">
        <f>P182/SUMIFS(FinParameters!$H$8:$H$39,FinParameters!$B$8:$B$39,Financials!$E182,FinParameters!$C$8:$C$39,Financials!$F182)</f>
        <v>17865314.337064959</v>
      </c>
      <c r="R182" s="73">
        <f t="shared" si="47"/>
        <v>-19183736.065210715</v>
      </c>
      <c r="S182" s="12">
        <f t="shared" si="36"/>
        <v>-0.31784818579325591</v>
      </c>
      <c r="T182" s="114">
        <f t="shared" si="37"/>
        <v>76995584.086068347</v>
      </c>
      <c r="U182" s="73">
        <f>T182/SUMIFS(FinParameters!$L$8:$L$39,FinParameters!$B$8:$B$39,Financials!$E182,FinParameters!$C$8:$C$39,Financials!$F182)</f>
        <v>63193861.606391676</v>
      </c>
      <c r="V182" s="73">
        <f t="shared" si="38"/>
        <v>63193861.606391676</v>
      </c>
      <c r="W182" s="12"/>
      <c r="X182" s="73">
        <f t="shared" si="39"/>
        <v>118166875.74371135</v>
      </c>
      <c r="Y182" s="73">
        <f t="shared" si="40"/>
        <v>81059175.943456635</v>
      </c>
      <c r="Z182" s="73">
        <f t="shared" si="40"/>
        <v>44010125.541180961</v>
      </c>
      <c r="AA182" s="12">
        <f t="shared" si="41"/>
        <v>0.72918739667012578</v>
      </c>
      <c r="AB182" s="114">
        <f t="shared" si="42"/>
        <v>-40289866.55370415</v>
      </c>
      <c r="AC182" s="73">
        <f>AB182/SUMIFS(FinParameters!$L$8:$L$39,FinParameters!$B$8:$B$39,Financials!$E182,FinParameters!$C$8:$C$39,Financials!$F182)</f>
        <v>-33067769.812469773</v>
      </c>
      <c r="AD182" s="73">
        <f t="shared" si="43"/>
        <v>-33067769.812469773</v>
      </c>
      <c r="AE182" s="12"/>
      <c r="AF182" s="73">
        <f t="shared" si="44"/>
        <v>77877009.19000721</v>
      </c>
      <c r="AG182" s="73">
        <f t="shared" si="45"/>
        <v>47991406.130986862</v>
      </c>
      <c r="AH182" s="73">
        <f t="shared" si="45"/>
        <v>10942355.728711188</v>
      </c>
      <c r="AI182" s="12">
        <f t="shared" si="46"/>
        <v>0.18129982110119744</v>
      </c>
      <c r="AL182" s="73">
        <f>Summary!G182</f>
        <v>5342757.7298130281</v>
      </c>
      <c r="AM182" s="73">
        <f>IF(D182&lt;&gt;"avg",SUMIFS(Summary!$H:$H,Summary!$C:$C,Financials!C182,Summary!$E:$E,Financials!E182,Summary!$D:$D,1-Financials!D182,Summary!$F:$F,Financials!F182),SUMIFS(Summary!$H:$H,Summary!$C:$C,Financials!C182,Summary!$E:$E,Financials!E182,Summary!$D:$D,"avg",Summary!$F:$F,Financials!F182))</f>
        <v>-5838592.6623999272</v>
      </c>
      <c r="AN182" s="20">
        <f>Summary!I182</f>
        <v>8206517.5462607937</v>
      </c>
      <c r="AP182" s="12">
        <v>1</v>
      </c>
    </row>
    <row r="183" spans="1:42" x14ac:dyDescent="0.3">
      <c r="A183">
        <v>179</v>
      </c>
      <c r="B183" t="str">
        <f>Summary!B183</f>
        <v>MarinusPortland</v>
      </c>
      <c r="C183" t="str">
        <f>Summary!C183</f>
        <v>Wind</v>
      </c>
      <c r="D183" s="104">
        <f>Summary!D183</f>
        <v>0.75</v>
      </c>
      <c r="E183" t="str">
        <f>Summary!E183</f>
        <v>Cal-28</v>
      </c>
      <c r="F183" t="str">
        <f>Summary!F183</f>
        <v>2 Hour Battery</v>
      </c>
      <c r="G183" s="73">
        <f>SUMIFS(AL$5:AL183,$F$5:$F183,$F183,$D$5:$D183,$D183)</f>
        <v>35973544.23590374</v>
      </c>
      <c r="H183" s="73">
        <f>SUMIFS(AM$5:AM183,$F$5:$F183,$F183,$D$5:$D183,$D183)</f>
        <v>-15693208.940388134</v>
      </c>
      <c r="I183" s="20">
        <f>SUMIFS(AN$5:AN183,$F$5:$F183,$F183,$D$5:$D183,$D183)</f>
        <v>39400843.089199878</v>
      </c>
      <c r="J183" s="73">
        <f t="shared" si="32"/>
        <v>39400843.089199878</v>
      </c>
      <c r="K183" s="73">
        <f t="shared" si="33"/>
        <v>75374387.325103611</v>
      </c>
      <c r="L183" s="73">
        <f t="shared" si="34"/>
        <v>59681178.384715483</v>
      </c>
      <c r="M183" s="73">
        <f>-SUMIFS(FinParameters!$E$8:$E$39,FinParameters!$B$8:$B$39,Financials!$E183,FinParameters!$C$8:$C$39,Financials!$F183)</f>
        <v>-7891600.5513549801</v>
      </c>
      <c r="N183" s="73">
        <f>-SUMIFS(FinParameters!$F$8:$F$39,FinParameters!$B$8:$B$39,Financials!$E183,FinParameters!$C$8:$C$39,Financials!$F183)</f>
        <v>-73600000</v>
      </c>
      <c r="O183" s="73">
        <f>SUMIFS(FinParameters!$G$8:$G$39,FinParameters!$B$8:$B$39,Financials!$E183,FinParameters!$C$8:$C$39,Financials!$F183)</f>
        <v>13244972.277146295</v>
      </c>
      <c r="P183" s="73">
        <f t="shared" si="35"/>
        <v>31509242.537844896</v>
      </c>
      <c r="Q183" s="73">
        <f>P183/SUMIFS(FinParameters!$H$8:$H$39,FinParameters!$B$8:$B$39,Financials!$E183,FinParameters!$C$8:$C$39,Financials!$F183)</f>
        <v>13672695.215451594</v>
      </c>
      <c r="R183" s="73">
        <f t="shared" si="47"/>
        <v>-28845785.185008809</v>
      </c>
      <c r="S183" s="12">
        <f t="shared" si="36"/>
        <v>-0.47793508301357668</v>
      </c>
      <c r="T183" s="114">
        <f t="shared" si="37"/>
        <v>35973544.23590374</v>
      </c>
      <c r="U183" s="73">
        <f>T183/SUMIFS(FinParameters!$L$8:$L$39,FinParameters!$B$8:$B$39,Financials!$E183,FinParameters!$C$8:$C$39,Financials!$F183)</f>
        <v>29525163.071611069</v>
      </c>
      <c r="V183" s="73">
        <f t="shared" si="38"/>
        <v>29525163.071611069</v>
      </c>
      <c r="W183" s="12"/>
      <c r="X183" s="73">
        <f t="shared" si="39"/>
        <v>67482786.773748636</v>
      </c>
      <c r="Y183" s="73">
        <f t="shared" si="40"/>
        <v>43197858.28706266</v>
      </c>
      <c r="Z183" s="73">
        <f t="shared" si="40"/>
        <v>679377.88660226017</v>
      </c>
      <c r="AA183" s="12">
        <f t="shared" si="41"/>
        <v>1.1256359448991034E-2</v>
      </c>
      <c r="AB183" s="114">
        <f t="shared" si="42"/>
        <v>-15693208.940388134</v>
      </c>
      <c r="AC183" s="73">
        <f>AB183/SUMIFS(FinParameters!$L$8:$L$39,FinParameters!$B$8:$B$39,Financials!$E183,FinParameters!$C$8:$C$39,Financials!$F183)</f>
        <v>-12880147.422876919</v>
      </c>
      <c r="AD183" s="73">
        <f t="shared" si="43"/>
        <v>-12880147.422876919</v>
      </c>
      <c r="AE183" s="12"/>
      <c r="AF183" s="73">
        <f t="shared" si="44"/>
        <v>51789577.833360501</v>
      </c>
      <c r="AG183" s="73">
        <f t="shared" si="45"/>
        <v>30317710.864185743</v>
      </c>
      <c r="AH183" s="73">
        <f t="shared" si="45"/>
        <v>-12200769.536274659</v>
      </c>
      <c r="AI183" s="12">
        <f t="shared" si="46"/>
        <v>-0.20215001130145752</v>
      </c>
      <c r="AL183" s="73">
        <f>Summary!G183</f>
        <v>668469.38931148627</v>
      </c>
      <c r="AM183" s="73">
        <f>IF(D183&lt;&gt;"avg",SUMIFS(Summary!$H:$H,Summary!$C:$C,Financials!C183,Summary!$E:$E,Financials!E183,Summary!$D:$D,1-Financials!D183,Summary!$F:$F,Financials!F183),SUMIFS(Summary!$H:$H,Summary!$C:$C,Financials!C183,Summary!$E:$E,Financials!E183,Summary!$D:$D,"avg",Summary!$F:$F,Financials!F183))</f>
        <v>-2288720.8947115894</v>
      </c>
      <c r="AN183" s="20">
        <f>Summary!I183</f>
        <v>6865541.7390969461</v>
      </c>
      <c r="AP183" s="12">
        <v>1</v>
      </c>
    </row>
    <row r="184" spans="1:42" x14ac:dyDescent="0.3">
      <c r="A184">
        <v>180</v>
      </c>
      <c r="B184" t="str">
        <f>Summary!B184</f>
        <v>MarinusPortland</v>
      </c>
      <c r="C184" t="str">
        <f>Summary!C184</f>
        <v>Wind</v>
      </c>
      <c r="D184" s="104">
        <f>Summary!D184</f>
        <v>0.5</v>
      </c>
      <c r="E184" t="str">
        <f>Summary!E184</f>
        <v>Cal-28</v>
      </c>
      <c r="F184" t="str">
        <f>Summary!F184</f>
        <v>2 Hour Battery</v>
      </c>
      <c r="G184" s="73">
        <f>SUMIFS(AL$5:AL184,$F$5:$F184,$F184,$D$5:$D184,$D184)</f>
        <v>8128294.2715979312</v>
      </c>
      <c r="H184" s="73">
        <f>SUMIFS(AM$5:AM184,$F$5:$F184,$F184,$D$5:$D184,$D184)</f>
        <v>278925.57084181439</v>
      </c>
      <c r="I184" s="20">
        <f>SUMIFS(AN$5:AN184,$F$5:$F184,$F184,$D$5:$D184,$D184)</f>
        <v>33290053.551700957</v>
      </c>
      <c r="J184" s="73">
        <f t="shared" si="32"/>
        <v>33290053.551700957</v>
      </c>
      <c r="K184" s="73">
        <f t="shared" si="33"/>
        <v>41418347.823298886</v>
      </c>
      <c r="L184" s="73">
        <f t="shared" si="34"/>
        <v>41697273.394140705</v>
      </c>
      <c r="M184" s="73">
        <f>-SUMIFS(FinParameters!$E$8:$E$39,FinParameters!$B$8:$B$39,Financials!$E184,FinParameters!$C$8:$C$39,Financials!$F184)</f>
        <v>-7891600.5513549801</v>
      </c>
      <c r="N184" s="73">
        <f>-SUMIFS(FinParameters!$F$8:$F$39,FinParameters!$B$8:$B$39,Financials!$E184,FinParameters!$C$8:$C$39,Financials!$F184)</f>
        <v>-73600000</v>
      </c>
      <c r="O184" s="73">
        <f>SUMIFS(FinParameters!$G$8:$G$39,FinParameters!$B$8:$B$39,Financials!$E184,FinParameters!$C$8:$C$39,Financials!$F184)</f>
        <v>13244972.277146295</v>
      </c>
      <c r="P184" s="73">
        <f t="shared" si="35"/>
        <v>25398453.000345975</v>
      </c>
      <c r="Q184" s="73">
        <f>P184/SUMIFS(FinParameters!$H$8:$H$39,FinParameters!$B$8:$B$39,Financials!$E184,FinParameters!$C$8:$C$39,Financials!$F184)</f>
        <v>11021061.721830085</v>
      </c>
      <c r="R184" s="73">
        <f t="shared" si="47"/>
        <v>-34956574.72250773</v>
      </c>
      <c r="S184" s="12">
        <f t="shared" si="36"/>
        <v>-0.57918248141689221</v>
      </c>
      <c r="T184" s="114">
        <f t="shared" si="37"/>
        <v>8128294.2715979312</v>
      </c>
      <c r="U184" s="73">
        <f>T184/SUMIFS(FinParameters!$L$8:$L$39,FinParameters!$B$8:$B$39,Financials!$E184,FinParameters!$C$8:$C$39,Financials!$F184)</f>
        <v>6671269.6499737017</v>
      </c>
      <c r="V184" s="73">
        <f t="shared" si="38"/>
        <v>6671269.6499737017</v>
      </c>
      <c r="W184" s="12"/>
      <c r="X184" s="73">
        <f t="shared" si="39"/>
        <v>33526747.271943904</v>
      </c>
      <c r="Y184" s="73">
        <f t="shared" si="40"/>
        <v>17692331.371803787</v>
      </c>
      <c r="Z184" s="73">
        <f t="shared" si="40"/>
        <v>-28285305.072534028</v>
      </c>
      <c r="AA184" s="12">
        <f t="shared" si="41"/>
        <v>-0.46864869654966074</v>
      </c>
      <c r="AB184" s="114">
        <f t="shared" si="42"/>
        <v>278925.57084181439</v>
      </c>
      <c r="AC184" s="73">
        <f>AB184/SUMIFS(FinParameters!$L$8:$L$39,FinParameters!$B$8:$B$39,Financials!$E184,FinParameters!$C$8:$C$39,Financials!$F184)</f>
        <v>228927.20578050334</v>
      </c>
      <c r="AD184" s="73">
        <f t="shared" si="43"/>
        <v>228927.20578050334</v>
      </c>
      <c r="AE184" s="12"/>
      <c r="AF184" s="73">
        <f t="shared" si="44"/>
        <v>33805672.842785716</v>
      </c>
      <c r="AG184" s="73">
        <f t="shared" si="45"/>
        <v>17921258.577584289</v>
      </c>
      <c r="AH184" s="73">
        <f t="shared" si="45"/>
        <v>-28056377.866753526</v>
      </c>
      <c r="AI184" s="12">
        <f t="shared" si="46"/>
        <v>-0.46485568684661299</v>
      </c>
      <c r="AL184" s="73">
        <f>Summary!G184</f>
        <v>-2225864.3436882682</v>
      </c>
      <c r="AM184" s="73">
        <f>IF(D184&lt;&gt;"avg",SUMIFS(Summary!$H:$H,Summary!$C:$C,Financials!C184,Summary!$E:$E,Financials!E184,Summary!$D:$D,1-Financials!D184,Summary!$F:$F,Financials!F184),SUMIFS(Summary!$H:$H,Summary!$C:$C,Financials!C184,Summary!$E:$E,Financials!E184,Summary!$D:$D,"avg",Summary!$F:$F,Financials!F184))</f>
        <v>53144.852677830706</v>
      </c>
      <c r="AN184" s="20">
        <f>Summary!I184</f>
        <v>5951375.6773016667</v>
      </c>
      <c r="AP184" s="12">
        <v>1</v>
      </c>
    </row>
    <row r="185" spans="1:42" x14ac:dyDescent="0.3">
      <c r="A185">
        <v>181</v>
      </c>
      <c r="B185" t="str">
        <f>Summary!B185</f>
        <v>MarinusPortland</v>
      </c>
      <c r="C185" t="str">
        <f>Summary!C185</f>
        <v>Wind</v>
      </c>
      <c r="D185" s="104">
        <f>Summary!D185</f>
        <v>0.25</v>
      </c>
      <c r="E185" t="str">
        <f>Summary!E185</f>
        <v>Cal-28</v>
      </c>
      <c r="F185" t="str">
        <f>Summary!F185</f>
        <v>2 Hour Battery</v>
      </c>
      <c r="G185" s="73">
        <f>SUMIFS(AL$5:AL185,$F$5:$F185,$F185,$D$5:$D185,$D185)</f>
        <v>-10673220.617961247</v>
      </c>
      <c r="H185" s="73">
        <f>SUMIFS(AM$5:AM185,$F$5:$F185,$F185,$D$5:$D185,$D185)</f>
        <v>15164378.082121525</v>
      </c>
      <c r="I185" s="20">
        <f>SUMIFS(AN$5:AN185,$F$5:$F185,$F185,$D$5:$D185,$D185)</f>
        <v>27598033.978444807</v>
      </c>
      <c r="J185" s="73">
        <f t="shared" si="32"/>
        <v>27598033.978444807</v>
      </c>
      <c r="K185" s="73">
        <f t="shared" si="33"/>
        <v>16924813.360483561</v>
      </c>
      <c r="L185" s="73">
        <f t="shared" si="34"/>
        <v>32089191.442605086</v>
      </c>
      <c r="M185" s="73">
        <f>-SUMIFS(FinParameters!$E$8:$E$39,FinParameters!$B$8:$B$39,Financials!$E185,FinParameters!$C$8:$C$39,Financials!$F185)</f>
        <v>-7891600.5513549801</v>
      </c>
      <c r="N185" s="73">
        <f>-SUMIFS(FinParameters!$F$8:$F$39,FinParameters!$B$8:$B$39,Financials!$E185,FinParameters!$C$8:$C$39,Financials!$F185)</f>
        <v>-73600000</v>
      </c>
      <c r="O185" s="73">
        <f>SUMIFS(FinParameters!$G$8:$G$39,FinParameters!$B$8:$B$39,Financials!$E185,FinParameters!$C$8:$C$39,Financials!$F185)</f>
        <v>13244972.277146295</v>
      </c>
      <c r="P185" s="73">
        <f t="shared" si="35"/>
        <v>19706433.427089825</v>
      </c>
      <c r="Q185" s="73">
        <f>P185/SUMIFS(FinParameters!$H$8:$H$39,FinParameters!$B$8:$B$39,Financials!$E185,FinParameters!$C$8:$C$39,Financials!$F185)</f>
        <v>8551143.6115472876</v>
      </c>
      <c r="R185" s="73">
        <f t="shared" si="47"/>
        <v>-40648594.29576388</v>
      </c>
      <c r="S185" s="12">
        <f t="shared" si="36"/>
        <v>-0.67349143608084372</v>
      </c>
      <c r="T185" s="114">
        <f t="shared" si="37"/>
        <v>-10673220.617961247</v>
      </c>
      <c r="U185" s="73">
        <f>T185/SUMIFS(FinParameters!$L$8:$L$39,FinParameters!$B$8:$B$39,Financials!$E185,FinParameters!$C$8:$C$39,Financials!$F185)</f>
        <v>-8760009.2217232846</v>
      </c>
      <c r="V185" s="73">
        <f t="shared" si="38"/>
        <v>-8760009.2217232846</v>
      </c>
      <c r="W185" s="12"/>
      <c r="X185" s="73">
        <f t="shared" si="39"/>
        <v>9033212.8091285806</v>
      </c>
      <c r="Y185" s="73">
        <f t="shared" si="40"/>
        <v>-208865.61017599702</v>
      </c>
      <c r="Z185" s="73">
        <f t="shared" si="40"/>
        <v>-49408603.517487168</v>
      </c>
      <c r="AA185" s="12">
        <f t="shared" si="41"/>
        <v>-0.81863276982272637</v>
      </c>
      <c r="AB185" s="114">
        <f t="shared" si="42"/>
        <v>15164378.082121525</v>
      </c>
      <c r="AC185" s="73">
        <f>AB185/SUMIFS(FinParameters!$L$8:$L$39,FinParameters!$B$8:$B$39,Financials!$E185,FinParameters!$C$8:$C$39,Financials!$F185)</f>
        <v>12446111.309414456</v>
      </c>
      <c r="AD185" s="73">
        <f t="shared" si="43"/>
        <v>12446111.309414456</v>
      </c>
      <c r="AE185" s="12"/>
      <c r="AF185" s="73">
        <f t="shared" si="44"/>
        <v>24197590.891250104</v>
      </c>
      <c r="AG185" s="73">
        <f t="shared" si="45"/>
        <v>12237245.699238459</v>
      </c>
      <c r="AH185" s="73">
        <f t="shared" si="45"/>
        <v>-36962492.208072715</v>
      </c>
      <c r="AI185" s="12">
        <f t="shared" si="46"/>
        <v>-0.61241778195848129</v>
      </c>
      <c r="AL185" s="73">
        <f>Summary!G185</f>
        <v>-4635717.6325035151</v>
      </c>
      <c r="AM185" s="73">
        <f>IF(D185&lt;&gt;"avg",SUMIFS(Summary!$H:$H,Summary!$C:$C,Financials!C185,Summary!$E:$E,Financials!E185,Summary!$D:$D,1-Financials!D185,Summary!$F:$F,Financials!F185),SUMIFS(Summary!$H:$H,Summary!$C:$C,Financials!C185,Summary!$E:$E,Financials!E185,Summary!$D:$D,"avg",Summary!$F:$F,Financials!F185))</f>
        <v>2219901.9240953242</v>
      </c>
      <c r="AN185" s="20">
        <f>Summary!I185</f>
        <v>5010162.9186341073</v>
      </c>
      <c r="AP185" s="12">
        <v>1</v>
      </c>
    </row>
    <row r="186" spans="1:42" x14ac:dyDescent="0.3">
      <c r="A186">
        <v>182</v>
      </c>
      <c r="B186" t="str">
        <f>Summary!B186</f>
        <v>MarinusPortland</v>
      </c>
      <c r="C186" t="str">
        <f>Summary!C186</f>
        <v>Wind</v>
      </c>
      <c r="D186" s="104">
        <f>Summary!D186</f>
        <v>0.05</v>
      </c>
      <c r="E186" t="str">
        <f>Summary!E186</f>
        <v>Cal-28</v>
      </c>
      <c r="F186" t="str">
        <f>Summary!F186</f>
        <v>2 Hour Battery</v>
      </c>
      <c r="G186" s="73">
        <f>SUMIFS(AL$5:AL186,$F$5:$F186,$F186,$D$5:$D186,$D186)</f>
        <v>-32639148.94546371</v>
      </c>
      <c r="H186" s="73">
        <f>SUMIFS(AM$5:AM186,$F$5:$F186,$F186,$D$5:$D186,$D186)</f>
        <v>35272029.38223657</v>
      </c>
      <c r="I186" s="20">
        <f>SUMIFS(AN$5:AN186,$F$5:$F186,$F186,$D$5:$D186,$D186)</f>
        <v>20797472.637834571</v>
      </c>
      <c r="J186" s="73">
        <f t="shared" si="32"/>
        <v>20797472.637834571</v>
      </c>
      <c r="K186" s="73">
        <f t="shared" si="33"/>
        <v>-11841676.307629138</v>
      </c>
      <c r="L186" s="73">
        <f t="shared" si="34"/>
        <v>23430353.074607432</v>
      </c>
      <c r="M186" s="73">
        <f>-SUMIFS(FinParameters!$E$8:$E$39,FinParameters!$B$8:$B$39,Financials!$E186,FinParameters!$C$8:$C$39,Financials!$F186)</f>
        <v>-7891600.5513549801</v>
      </c>
      <c r="N186" s="73">
        <f>-SUMIFS(FinParameters!$F$8:$F$39,FinParameters!$B$8:$B$39,Financials!$E186,FinParameters!$C$8:$C$39,Financials!$F186)</f>
        <v>-73600000</v>
      </c>
      <c r="O186" s="73">
        <f>SUMIFS(FinParameters!$G$8:$G$39,FinParameters!$B$8:$B$39,Financials!$E186,FinParameters!$C$8:$C$39,Financials!$F186)</f>
        <v>13244972.277146295</v>
      </c>
      <c r="P186" s="73">
        <f t="shared" si="35"/>
        <v>12905872.086479591</v>
      </c>
      <c r="Q186" s="73">
        <f>P186/SUMIFS(FinParameters!$H$8:$H$39,FinParameters!$B$8:$B$39,Financials!$E186,FinParameters!$C$8:$C$39,Financials!$F186)</f>
        <v>5600199.8561565168</v>
      </c>
      <c r="R186" s="73">
        <f t="shared" si="47"/>
        <v>-47449155.636374116</v>
      </c>
      <c r="S186" s="12">
        <f t="shared" si="36"/>
        <v>-0.786167406868861</v>
      </c>
      <c r="T186" s="114">
        <f t="shared" si="37"/>
        <v>-32639148.94546371</v>
      </c>
      <c r="U186" s="73">
        <f>T186/SUMIFS(FinParameters!$L$8:$L$39,FinParameters!$B$8:$B$39,Financials!$E186,FinParameters!$C$8:$C$39,Financials!$F186)</f>
        <v>-26788469.57124709</v>
      </c>
      <c r="V186" s="73">
        <f t="shared" si="38"/>
        <v>-26788469.57124709</v>
      </c>
      <c r="W186" s="12"/>
      <c r="X186" s="73">
        <f t="shared" si="39"/>
        <v>-19733276.85898412</v>
      </c>
      <c r="Y186" s="73">
        <f t="shared" si="40"/>
        <v>-21188269.715090573</v>
      </c>
      <c r="Z186" s="73">
        <f t="shared" si="40"/>
        <v>-74237625.207621202</v>
      </c>
      <c r="AA186" s="12">
        <f t="shared" si="41"/>
        <v>-1.2300155928767933</v>
      </c>
      <c r="AB186" s="114">
        <f t="shared" si="42"/>
        <v>35272029.38223657</v>
      </c>
      <c r="AC186" s="73">
        <f>AB186/SUMIFS(FinParameters!$L$8:$L$39,FinParameters!$B$8:$B$39,Financials!$E186,FinParameters!$C$8:$C$39,Financials!$F186)</f>
        <v>28949397.16108929</v>
      </c>
      <c r="AD186" s="73">
        <f t="shared" si="43"/>
        <v>28949397.16108929</v>
      </c>
      <c r="AE186" s="12"/>
      <c r="AF186" s="73">
        <f t="shared" si="44"/>
        <v>15538752.52325245</v>
      </c>
      <c r="AG186" s="73">
        <f t="shared" si="45"/>
        <v>7761127.4459987171</v>
      </c>
      <c r="AH186" s="73">
        <f t="shared" si="45"/>
        <v>-45288228.046531916</v>
      </c>
      <c r="AI186" s="12">
        <f t="shared" si="46"/>
        <v>-0.75036380157909066</v>
      </c>
      <c r="AL186" s="73">
        <f>Summary!G186</f>
        <v>-7443692.1316822292</v>
      </c>
      <c r="AM186" s="73">
        <f>IF(D186&lt;&gt;"avg",SUMIFS(Summary!$H:$H,Summary!$C:$C,Financials!C186,Summary!$E:$E,Financials!E186,Summary!$D:$D,1-Financials!D186,Summary!$F:$F,Financials!F186),SUMIFS(Summary!$H:$H,Summary!$C:$C,Financials!C186,Summary!$E:$E,Financials!E186,Summary!$D:$D,"avg",Summary!$F:$F,Financials!F186))</f>
        <v>5111055.8270826451</v>
      </c>
      <c r="AN186" s="20">
        <f>Summary!I186</f>
        <v>3814441.4382932852</v>
      </c>
      <c r="AP186" s="12">
        <v>1</v>
      </c>
    </row>
    <row r="187" spans="1:42" x14ac:dyDescent="0.3">
      <c r="A187">
        <v>183</v>
      </c>
      <c r="B187" t="str">
        <f>Summary!B187</f>
        <v>MarinusPortland</v>
      </c>
      <c r="C187" t="str">
        <f>Summary!C187</f>
        <v>Wind</v>
      </c>
      <c r="D187" s="104">
        <f>Summary!D187</f>
        <v>0</v>
      </c>
      <c r="E187" t="str">
        <f>Summary!E187</f>
        <v>Cal-28</v>
      </c>
      <c r="F187" t="str">
        <f>Summary!F187</f>
        <v>2 Hour Battery</v>
      </c>
      <c r="G187" s="73">
        <f>SUMIFS(AL$5:AL187,$F$5:$F187,$F187,$D$5:$D187,$D187)</f>
        <v>-67435765.443455726</v>
      </c>
      <c r="H187" s="73">
        <f>SUMIFS(AM$5:AM187,$F$5:$F187,$F187,$D$5:$D187,$D187)</f>
        <v>76913722.752372503</v>
      </c>
      <c r="I187" s="20">
        <f>SUMIFS(AN$5:AN187,$F$5:$F187,$F187,$D$5:$D187,$D187)</f>
        <v>10415870.04877728</v>
      </c>
      <c r="J187" s="73">
        <f t="shared" si="32"/>
        <v>10415870.04877728</v>
      </c>
      <c r="K187" s="73">
        <f t="shared" si="33"/>
        <v>-57019895.394678444</v>
      </c>
      <c r="L187" s="73">
        <f t="shared" si="34"/>
        <v>19893827.35769406</v>
      </c>
      <c r="M187" s="73">
        <f>-SUMIFS(FinParameters!$E$8:$E$39,FinParameters!$B$8:$B$39,Financials!$E187,FinParameters!$C$8:$C$39,Financials!$F187)</f>
        <v>-7891600.5513549801</v>
      </c>
      <c r="N187" s="73">
        <f>-SUMIFS(FinParameters!$F$8:$F$39,FinParameters!$B$8:$B$39,Financials!$E187,FinParameters!$C$8:$C$39,Financials!$F187)</f>
        <v>-73600000</v>
      </c>
      <c r="O187" s="73">
        <f>SUMIFS(FinParameters!$G$8:$G$39,FinParameters!$B$8:$B$39,Financials!$E187,FinParameters!$C$8:$C$39,Financials!$F187)</f>
        <v>13244972.277146295</v>
      </c>
      <c r="P187" s="73">
        <f t="shared" si="35"/>
        <v>2524269.4974223003</v>
      </c>
      <c r="Q187" s="73">
        <f>P187/SUMIFS(FinParameters!$H$8:$H$39,FinParameters!$B$8:$B$39,Financials!$E187,FinParameters!$C$8:$C$39,Financials!$F187)</f>
        <v>1095347.4187284247</v>
      </c>
      <c r="R187" s="73">
        <f t="shared" si="47"/>
        <v>-57830758.225431398</v>
      </c>
      <c r="S187" s="12">
        <f t="shared" si="36"/>
        <v>-0.95817631782038792</v>
      </c>
      <c r="T187" s="114">
        <f t="shared" si="37"/>
        <v>-67435765.443455726</v>
      </c>
      <c r="U187" s="73">
        <f>T187/SUMIFS(FinParameters!$L$8:$L$39,FinParameters!$B$8:$B$39,Financials!$E187,FinParameters!$C$8:$C$39,Financials!$F187)</f>
        <v>-55347673.237872303</v>
      </c>
      <c r="V187" s="73">
        <f t="shared" si="38"/>
        <v>-55347673.237872303</v>
      </c>
      <c r="W187" s="12"/>
      <c r="X187" s="73">
        <f t="shared" si="39"/>
        <v>-64911495.946033426</v>
      </c>
      <c r="Y187" s="73">
        <f t="shared" si="40"/>
        <v>-54252325.819143876</v>
      </c>
      <c r="Z187" s="73">
        <f t="shared" si="40"/>
        <v>-113178431.4633037</v>
      </c>
      <c r="AA187" s="12">
        <f t="shared" si="41"/>
        <v>-1.8752113242829009</v>
      </c>
      <c r="AB187" s="114">
        <f t="shared" si="42"/>
        <v>76913722.752372503</v>
      </c>
      <c r="AC187" s="73">
        <f>AB187/SUMIFS(FinParameters!$L$8:$L$39,FinParameters!$B$8:$B$39,Financials!$E187,FinParameters!$C$8:$C$39,Financials!$F187)</f>
        <v>63126674.19747863</v>
      </c>
      <c r="AD187" s="73">
        <f t="shared" si="43"/>
        <v>63126674.19747863</v>
      </c>
      <c r="AE187" s="12"/>
      <c r="AF187" s="73">
        <f t="shared" si="44"/>
        <v>12002226.806339078</v>
      </c>
      <c r="AG187" s="73">
        <f t="shared" si="45"/>
        <v>8874348.3783347532</v>
      </c>
      <c r="AH187" s="73">
        <f t="shared" si="45"/>
        <v>-50051757.26582507</v>
      </c>
      <c r="AI187" s="12">
        <f t="shared" si="46"/>
        <v>-0.82928894500155692</v>
      </c>
      <c r="AL187" s="73">
        <f>Summary!G187</f>
        <v>-10321246.370392105</v>
      </c>
      <c r="AM187" s="73">
        <f>IF(D187&lt;&gt;"avg",SUMIFS(Summary!$H:$H,Summary!$C:$C,Financials!C187,Summary!$E:$E,Financials!E187,Summary!$D:$D,1-Financials!D187,Summary!$F:$F,Financials!F187),SUMIFS(Summary!$H:$H,Summary!$C:$C,Financials!C187,Summary!$E:$E,Financials!E187,Summary!$D:$D,"avg",Summary!$F:$F,Financials!F187))</f>
        <v>10076966.426589588</v>
      </c>
      <c r="AN187" s="20">
        <f>Summary!I187</f>
        <v>2255746.4902158729</v>
      </c>
      <c r="AP187" s="12">
        <v>1</v>
      </c>
    </row>
    <row r="188" spans="1:42" x14ac:dyDescent="0.3">
      <c r="A188">
        <v>184</v>
      </c>
      <c r="B188" t="str">
        <f>Summary!B188</f>
        <v>MarinusPortland</v>
      </c>
      <c r="C188" t="str">
        <f>Summary!C188</f>
        <v>Wind</v>
      </c>
      <c r="D188" s="104" t="str">
        <f>Summary!D188</f>
        <v>avg</v>
      </c>
      <c r="E188" t="str">
        <f>Summary!E188</f>
        <v>Cal-28</v>
      </c>
      <c r="F188" t="str">
        <f>Summary!F188</f>
        <v>2 Hour Battery</v>
      </c>
      <c r="G188" s="73">
        <f>SUMIFS(AL$5:AL188,$F$5:$F188,$F188,$D$5:$D188,$D188)</f>
        <v>14149612.861079365</v>
      </c>
      <c r="H188" s="73">
        <f>SUMIFS(AM$5:AM188,$F$5:$F188,$F188,$D$5:$D188,$D188)</f>
        <v>-784012.21097082621</v>
      </c>
      <c r="I188" s="20">
        <f>SUMIFS(AN$5:AN188,$F$5:$F188,$F188,$D$5:$D188,$D188)</f>
        <v>33756581.967151895</v>
      </c>
      <c r="J188" s="73">
        <f t="shared" si="32"/>
        <v>33756581.967151895</v>
      </c>
      <c r="K188" s="73">
        <f t="shared" si="33"/>
        <v>47906194.82823126</v>
      </c>
      <c r="L188" s="73">
        <f t="shared" si="34"/>
        <v>47122182.617260434</v>
      </c>
      <c r="M188" s="73">
        <f>-SUMIFS(FinParameters!$E$8:$E$39,FinParameters!$B$8:$B$39,Financials!$E188,FinParameters!$C$8:$C$39,Financials!$F188)</f>
        <v>-7891600.5513549801</v>
      </c>
      <c r="N188" s="73">
        <f>-SUMIFS(FinParameters!$F$8:$F$39,FinParameters!$B$8:$B$39,Financials!$E188,FinParameters!$C$8:$C$39,Financials!$F188)</f>
        <v>-73600000</v>
      </c>
      <c r="O188" s="73">
        <f>SUMIFS(FinParameters!$G$8:$G$39,FinParameters!$B$8:$B$39,Financials!$E188,FinParameters!$C$8:$C$39,Financials!$F188)</f>
        <v>13244972.277146295</v>
      </c>
      <c r="P188" s="73">
        <f t="shared" si="35"/>
        <v>25864981.415796913</v>
      </c>
      <c r="Q188" s="73">
        <f>P188/SUMIFS(FinParameters!$H$8:$H$39,FinParameters!$B$8:$B$39,Financials!$E188,FinParameters!$C$8:$C$39,Financials!$F188)</f>
        <v>11223500.762570178</v>
      </c>
      <c r="R188" s="73">
        <f t="shared" si="47"/>
        <v>-34490046.307056792</v>
      </c>
      <c r="S188" s="12">
        <f t="shared" si="36"/>
        <v>-0.57145274566740001</v>
      </c>
      <c r="T188" s="114">
        <f t="shared" si="37"/>
        <v>14149612.861079365</v>
      </c>
      <c r="U188" s="73">
        <f>T188/SUMIFS(FinParameters!$L$8:$L$39,FinParameters!$B$8:$B$39,Financials!$E188,FinParameters!$C$8:$C$39,Financials!$F188)</f>
        <v>11613246.234063713</v>
      </c>
      <c r="V188" s="73">
        <f t="shared" si="38"/>
        <v>11613246.234063713</v>
      </c>
      <c r="W188" s="12"/>
      <c r="X188" s="73">
        <f t="shared" si="39"/>
        <v>40014594.276876278</v>
      </c>
      <c r="Y188" s="73">
        <f t="shared" si="40"/>
        <v>22836746.996633891</v>
      </c>
      <c r="Z188" s="73">
        <f t="shared" si="40"/>
        <v>-22876800.072993077</v>
      </c>
      <c r="AA188" s="12">
        <f t="shared" si="41"/>
        <v>-0.37903718937951336</v>
      </c>
      <c r="AB188" s="114">
        <f t="shared" si="42"/>
        <v>-784012.21097082621</v>
      </c>
      <c r="AC188" s="73">
        <f>AB188/SUMIFS(FinParameters!$L$8:$L$39,FinParameters!$B$8:$B$39,Financials!$E188,FinParameters!$C$8:$C$39,Financials!$F188)</f>
        <v>-643475.33362989605</v>
      </c>
      <c r="AD188" s="73">
        <f t="shared" si="43"/>
        <v>-643475.33362989605</v>
      </c>
      <c r="AE188" s="12"/>
      <c r="AF188" s="73">
        <f t="shared" si="44"/>
        <v>39230582.065905452</v>
      </c>
      <c r="AG188" s="73">
        <f t="shared" si="45"/>
        <v>22193271.663003996</v>
      </c>
      <c r="AH188" s="73">
        <f t="shared" si="45"/>
        <v>-23520275.406622972</v>
      </c>
      <c r="AI188" s="12">
        <f t="shared" si="46"/>
        <v>-0.38969869278540509</v>
      </c>
      <c r="AL188" s="73">
        <f>Summary!G188</f>
        <v>-1815795.4897569402</v>
      </c>
      <c r="AM188" s="73">
        <f>IF(D188&lt;&gt;"avg",SUMIFS(Summary!$H:$H,Summary!$C:$C,Financials!C188,Summary!$E:$E,Financials!E188,Summary!$D:$D,1-Financials!D188,Summary!$F:$F,Financials!F188),SUMIFS(Summary!$H:$H,Summary!$C:$C,Financials!C188,Summary!$E:$E,Financials!E188,Summary!$D:$D,"avg",Summary!$F:$F,Financials!F188))</f>
        <v>-101048.17129290028</v>
      </c>
      <c r="AN188" s="20">
        <f>Summary!I188</f>
        <v>5954363.0237901015</v>
      </c>
      <c r="AP188" s="12">
        <v>1</v>
      </c>
    </row>
    <row r="189" spans="1:42" x14ac:dyDescent="0.3">
      <c r="A189">
        <v>185</v>
      </c>
      <c r="B189" t="str">
        <f>Summary!B189</f>
        <v>MarinusPortland</v>
      </c>
      <c r="C189" t="str">
        <f>Summary!C189</f>
        <v>Wind</v>
      </c>
      <c r="D189" s="104">
        <f>Summary!D189</f>
        <v>1</v>
      </c>
      <c r="E189" t="str">
        <f>Summary!E189</f>
        <v>Cal-29</v>
      </c>
      <c r="F189" t="str">
        <f>Summary!F189</f>
        <v>2 Hour Battery</v>
      </c>
      <c r="G189" s="73">
        <f>SUMIFS(AL$5:AL189,$F$5:$F189,$F189,$D$5:$D189,$D189)</f>
        <v>166078109.01591107</v>
      </c>
      <c r="H189" s="73">
        <f>SUMIFS(AM$5:AM189,$F$5:$F189,$F189,$D$5:$D189,$D189)</f>
        <v>-113490074.20360683</v>
      </c>
      <c r="I189" s="20">
        <f>SUMIFS(AN$5:AN189,$F$5:$F189,$F189,$D$5:$D189,$D189)</f>
        <v>82673974.249370813</v>
      </c>
      <c r="J189" s="73">
        <f t="shared" si="32"/>
        <v>82673974.249370813</v>
      </c>
      <c r="K189" s="73">
        <f t="shared" si="33"/>
        <v>248752083.26528189</v>
      </c>
      <c r="L189" s="73">
        <f t="shared" si="34"/>
        <v>135262009.06167507</v>
      </c>
      <c r="M189" s="73">
        <f>-SUMIFS(FinParameters!$E$8:$E$39,FinParameters!$B$8:$B$39,Financials!$E189,FinParameters!$C$8:$C$39,Financials!$F189)</f>
        <v>-8907640.5651388541</v>
      </c>
      <c r="N189" s="73">
        <f>-SUMIFS(FinParameters!$F$8:$F$39,FinParameters!$B$8:$B$39,Financials!$E189,FinParameters!$C$8:$C$39,Financials!$F189)</f>
        <v>-73600000</v>
      </c>
      <c r="O189" s="73">
        <f>SUMIFS(FinParameters!$G$8:$G$39,FinParameters!$B$8:$B$39,Financials!$E189,FinParameters!$C$8:$C$39,Financials!$F189)</f>
        <v>10872916.92525232</v>
      </c>
      <c r="P189" s="73">
        <f t="shared" si="35"/>
        <v>73766333.684231967</v>
      </c>
      <c r="Q189" s="73">
        <f>P189/SUMIFS(FinParameters!$H$8:$H$39,FinParameters!$B$8:$B$39,Financials!$E189,FinParameters!$C$8:$C$39,Financials!$F189)</f>
        <v>28837087.135449957</v>
      </c>
      <c r="R189" s="73">
        <f t="shared" si="47"/>
        <v>11039250.609484287</v>
      </c>
      <c r="S189" s="12">
        <f t="shared" si="36"/>
        <v>0.17598858528667033</v>
      </c>
      <c r="T189" s="114">
        <f t="shared" si="37"/>
        <v>166078109.01591107</v>
      </c>
      <c r="U189" s="73">
        <f>T189/SUMIFS(FinParameters!$L$8:$L$39,FinParameters!$B$8:$B$39,Financials!$E189,FinParameters!$C$8:$C$39,Financials!$F189)</f>
        <v>132983452.15798233</v>
      </c>
      <c r="V189" s="73">
        <f t="shared" si="38"/>
        <v>132983452.15798233</v>
      </c>
      <c r="W189" s="12"/>
      <c r="X189" s="73">
        <f t="shared" si="39"/>
        <v>239844442.70014304</v>
      </c>
      <c r="Y189" s="73">
        <f t="shared" si="40"/>
        <v>161820539.2934323</v>
      </c>
      <c r="Z189" s="73">
        <f t="shared" si="40"/>
        <v>144022702.76746663</v>
      </c>
      <c r="AA189" s="12">
        <f t="shared" si="41"/>
        <v>2.2960210439858071</v>
      </c>
      <c r="AB189" s="114">
        <f t="shared" si="42"/>
        <v>-113490074.20360683</v>
      </c>
      <c r="AC189" s="73">
        <f>AB189/SUMIFS(FinParameters!$L$8:$L$39,FinParameters!$B$8:$B$39,Financials!$E189,FinParameters!$C$8:$C$39,Financials!$F189)</f>
        <v>-90874721.194081634</v>
      </c>
      <c r="AD189" s="73">
        <f t="shared" si="43"/>
        <v>-90874721.194081634</v>
      </c>
      <c r="AE189" s="12"/>
      <c r="AF189" s="73">
        <f t="shared" si="44"/>
        <v>126354368.49653621</v>
      </c>
      <c r="AG189" s="73">
        <f t="shared" si="45"/>
        <v>70945818.099350661</v>
      </c>
      <c r="AH189" s="73">
        <f t="shared" si="45"/>
        <v>53147981.573385</v>
      </c>
      <c r="AI189" s="12">
        <f t="shared" si="46"/>
        <v>0.84728922449736899</v>
      </c>
      <c r="AL189" s="73">
        <f>Summary!G189</f>
        <v>16416573.711353535</v>
      </c>
      <c r="AM189" s="73">
        <f>IF(D189&lt;&gt;"avg",SUMIFS(Summary!$H:$H,Summary!$C:$C,Financials!C189,Summary!$E:$E,Financials!E189,Summary!$D:$D,1-Financials!D189,Summary!$F:$F,Financials!F189),SUMIFS(Summary!$H:$H,Summary!$C:$C,Financials!C189,Summary!$E:$E,Financials!E189,Summary!$D:$D,"avg",Summary!$F:$F,Financials!F189))</f>
        <v>-15968257.4606882</v>
      </c>
      <c r="AN189" s="20">
        <f>Summary!I189</f>
        <v>10315295.91352267</v>
      </c>
      <c r="AP189" s="12">
        <v>1</v>
      </c>
    </row>
    <row r="190" spans="1:42" x14ac:dyDescent="0.3">
      <c r="A190">
        <v>186</v>
      </c>
      <c r="B190" t="str">
        <f>Summary!B190</f>
        <v>MarinusPortland</v>
      </c>
      <c r="C190" t="str">
        <f>Summary!C190</f>
        <v>Wind</v>
      </c>
      <c r="D190" s="104">
        <f>Summary!D190</f>
        <v>0.95</v>
      </c>
      <c r="E190" t="str">
        <f>Summary!E190</f>
        <v>Cal-29</v>
      </c>
      <c r="F190" t="str">
        <f>Summary!F190</f>
        <v>2 Hour Battery</v>
      </c>
      <c r="G190" s="73">
        <f>SUMIFS(AL$5:AL190,$F$5:$F190,$F190,$D$5:$D190,$D190)</f>
        <v>83600788.498574778</v>
      </c>
      <c r="H190" s="73">
        <f>SUMIFS(AM$5:AM190,$F$5:$F190,$F190,$D$5:$D190,$D190)</f>
        <v>-46821602.910654873</v>
      </c>
      <c r="I190" s="20">
        <f>SUMIFS(AN$5:AN190,$F$5:$F190,$F190,$D$5:$D190,$D190)</f>
        <v>55824436.726270646</v>
      </c>
      <c r="J190" s="73">
        <f t="shared" si="32"/>
        <v>55824436.726270646</v>
      </c>
      <c r="K190" s="73">
        <f t="shared" si="33"/>
        <v>139425225.22484541</v>
      </c>
      <c r="L190" s="73">
        <f t="shared" si="34"/>
        <v>92603622.314190552</v>
      </c>
      <c r="M190" s="73">
        <f>-SUMIFS(FinParameters!$E$8:$E$39,FinParameters!$B$8:$B$39,Financials!$E190,FinParameters!$C$8:$C$39,Financials!$F190)</f>
        <v>-8907640.5651388541</v>
      </c>
      <c r="N190" s="73">
        <f>-SUMIFS(FinParameters!$F$8:$F$39,FinParameters!$B$8:$B$39,Financials!$E190,FinParameters!$C$8:$C$39,Financials!$F190)</f>
        <v>-73600000</v>
      </c>
      <c r="O190" s="73">
        <f>SUMIFS(FinParameters!$G$8:$G$39,FinParameters!$B$8:$B$39,Financials!$E190,FinParameters!$C$8:$C$39,Financials!$F190)</f>
        <v>10872916.92525232</v>
      </c>
      <c r="P190" s="73">
        <f t="shared" si="35"/>
        <v>46916796.161131792</v>
      </c>
      <c r="Q190" s="73">
        <f>P190/SUMIFS(FinParameters!$H$8:$H$39,FinParameters!$B$8:$B$39,Financials!$E190,FinParameters!$C$8:$C$39,Financials!$F190)</f>
        <v>18340937.815971486</v>
      </c>
      <c r="R190" s="73">
        <f t="shared" si="47"/>
        <v>-15810286.913615888</v>
      </c>
      <c r="S190" s="12">
        <f t="shared" si="36"/>
        <v>-0.25204881430204279</v>
      </c>
      <c r="T190" s="114">
        <f t="shared" si="37"/>
        <v>83600788.498574778</v>
      </c>
      <c r="U190" s="73">
        <f>T190/SUMIFS(FinParameters!$L$8:$L$39,FinParameters!$B$8:$B$39,Financials!$E190,FinParameters!$C$8:$C$39,Financials!$F190)</f>
        <v>66941522.417049602</v>
      </c>
      <c r="V190" s="73">
        <f t="shared" si="38"/>
        <v>66941522.417049602</v>
      </c>
      <c r="W190" s="12"/>
      <c r="X190" s="73">
        <f t="shared" si="39"/>
        <v>130517584.65970656</v>
      </c>
      <c r="Y190" s="73">
        <f t="shared" si="40"/>
        <v>85282460.23302108</v>
      </c>
      <c r="Z190" s="73">
        <f t="shared" si="40"/>
        <v>51131235.503433712</v>
      </c>
      <c r="AA190" s="12">
        <f t="shared" si="41"/>
        <v>0.81513810298661626</v>
      </c>
      <c r="AB190" s="114">
        <f t="shared" si="42"/>
        <v>-46821602.910654873</v>
      </c>
      <c r="AC190" s="73">
        <f>AB190/SUMIFS(FinParameters!$L$8:$L$39,FinParameters!$B$8:$B$39,Financials!$E190,FinParameters!$C$8:$C$39,Financials!$F190)</f>
        <v>-37491385.394041248</v>
      </c>
      <c r="AD190" s="73">
        <f t="shared" si="43"/>
        <v>-37491385.394041248</v>
      </c>
      <c r="AE190" s="12"/>
      <c r="AF190" s="73">
        <f t="shared" si="44"/>
        <v>83695981.74905169</v>
      </c>
      <c r="AG190" s="73">
        <f t="shared" si="45"/>
        <v>47791074.838979833</v>
      </c>
      <c r="AH190" s="73">
        <f t="shared" si="45"/>
        <v>13639850.109392464</v>
      </c>
      <c r="AI190" s="12">
        <f t="shared" si="46"/>
        <v>0.21744754324282486</v>
      </c>
      <c r="AL190" s="73">
        <f>Summary!G190</f>
        <v>6605204.4125064295</v>
      </c>
      <c r="AM190" s="73">
        <f>IF(D190&lt;&gt;"avg",SUMIFS(Summary!$H:$H,Summary!$C:$C,Financials!C190,Summary!$E:$E,Financials!E190,Summary!$D:$D,1-Financials!D190,Summary!$F:$F,Financials!F190),SUMIFS(Summary!$H:$H,Summary!$C:$C,Financials!C190,Summary!$E:$E,Financials!E190,Summary!$D:$D,"avg",Summary!$F:$F,Financials!F190))</f>
        <v>-6531736.3569507189</v>
      </c>
      <c r="AN190" s="20">
        <f>Summary!I190</f>
        <v>6761544.5172726754</v>
      </c>
      <c r="AP190" s="12">
        <v>1</v>
      </c>
    </row>
    <row r="191" spans="1:42" x14ac:dyDescent="0.3">
      <c r="A191">
        <v>187</v>
      </c>
      <c r="B191" t="str">
        <f>Summary!B191</f>
        <v>MarinusPortland</v>
      </c>
      <c r="C191" t="str">
        <f>Summary!C191</f>
        <v>Wind</v>
      </c>
      <c r="D191" s="104">
        <f>Summary!D191</f>
        <v>0.75</v>
      </c>
      <c r="E191" t="str">
        <f>Summary!E191</f>
        <v>Cal-29</v>
      </c>
      <c r="F191" t="str">
        <f>Summary!F191</f>
        <v>2 Hour Battery</v>
      </c>
      <c r="G191" s="73">
        <f>SUMIFS(AL$5:AL191,$F$5:$F191,$F191,$D$5:$D191,$D191)</f>
        <v>37420438.256404132</v>
      </c>
      <c r="H191" s="73">
        <f>SUMIFS(AM$5:AM191,$F$5:$F191,$F191,$D$5:$D191,$D191)</f>
        <v>-18385584.125098243</v>
      </c>
      <c r="I191" s="20">
        <f>SUMIFS(AN$5:AN191,$F$5:$F191,$F191,$D$5:$D191,$D191)</f>
        <v>45083266.306303263</v>
      </c>
      <c r="J191" s="73">
        <f t="shared" si="32"/>
        <v>45083266.306303263</v>
      </c>
      <c r="K191" s="73">
        <f t="shared" si="33"/>
        <v>82503704.562707394</v>
      </c>
      <c r="L191" s="73">
        <f t="shared" si="34"/>
        <v>64118120.437609151</v>
      </c>
      <c r="M191" s="73">
        <f>-SUMIFS(FinParameters!$E$8:$E$39,FinParameters!$B$8:$B$39,Financials!$E191,FinParameters!$C$8:$C$39,Financials!$F191)</f>
        <v>-8907640.5651388541</v>
      </c>
      <c r="N191" s="73">
        <f>-SUMIFS(FinParameters!$F$8:$F$39,FinParameters!$B$8:$B$39,Financials!$E191,FinParameters!$C$8:$C$39,Financials!$F191)</f>
        <v>-73600000</v>
      </c>
      <c r="O191" s="73">
        <f>SUMIFS(FinParameters!$G$8:$G$39,FinParameters!$B$8:$B$39,Financials!$E191,FinParameters!$C$8:$C$39,Financials!$F191)</f>
        <v>10872916.92525232</v>
      </c>
      <c r="P191" s="73">
        <f t="shared" si="35"/>
        <v>36175625.741164409</v>
      </c>
      <c r="Q191" s="73">
        <f>P191/SUMIFS(FinParameters!$H$8:$H$39,FinParameters!$B$8:$B$39,Financials!$E191,FinParameters!$C$8:$C$39,Financials!$F191)</f>
        <v>14141948.224551318</v>
      </c>
      <c r="R191" s="73">
        <f t="shared" si="47"/>
        <v>-26551457.333583273</v>
      </c>
      <c r="S191" s="12">
        <f t="shared" si="36"/>
        <v>-0.42328538219996092</v>
      </c>
      <c r="T191" s="114">
        <f t="shared" si="37"/>
        <v>37420438.256404132</v>
      </c>
      <c r="U191" s="73">
        <f>T191/SUMIFS(FinParameters!$L$8:$L$39,FinParameters!$B$8:$B$39,Financials!$E191,FinParameters!$C$8:$C$39,Financials!$F191)</f>
        <v>29963606.221723646</v>
      </c>
      <c r="V191" s="73">
        <f t="shared" si="38"/>
        <v>29963606.221723646</v>
      </c>
      <c r="W191" s="12"/>
      <c r="X191" s="73">
        <f t="shared" si="39"/>
        <v>73596063.997568548</v>
      </c>
      <c r="Y191" s="73">
        <f t="shared" si="40"/>
        <v>44105554.446274966</v>
      </c>
      <c r="Z191" s="73">
        <f t="shared" si="40"/>
        <v>3412148.8881403729</v>
      </c>
      <c r="AA191" s="12">
        <f t="shared" si="41"/>
        <v>5.4396740943211765E-2</v>
      </c>
      <c r="AB191" s="114">
        <f t="shared" si="42"/>
        <v>-18385584.125098243</v>
      </c>
      <c r="AC191" s="73">
        <f>AB191/SUMIFS(FinParameters!$L$8:$L$39,FinParameters!$B$8:$B$39,Financials!$E191,FinParameters!$C$8:$C$39,Financials!$F191)</f>
        <v>-14721858.656653667</v>
      </c>
      <c r="AD191" s="73">
        <f t="shared" si="43"/>
        <v>-14721858.656653667</v>
      </c>
      <c r="AE191" s="12"/>
      <c r="AF191" s="73">
        <f t="shared" si="44"/>
        <v>55210479.872470304</v>
      </c>
      <c r="AG191" s="73">
        <f t="shared" si="45"/>
        <v>29383695.789621301</v>
      </c>
      <c r="AH191" s="73">
        <f t="shared" si="45"/>
        <v>-11309709.768513294</v>
      </c>
      <c r="AI191" s="12">
        <f t="shared" si="46"/>
        <v>-0.18030026607544092</v>
      </c>
      <c r="AL191" s="73">
        <f>Summary!G191</f>
        <v>1446894.0205003924</v>
      </c>
      <c r="AM191" s="73">
        <f>IF(D191&lt;&gt;"avg",SUMIFS(Summary!$H:$H,Summary!$C:$C,Financials!C191,Summary!$E:$E,Financials!E191,Summary!$D:$D,1-Financials!D191,Summary!$F:$F,Financials!F191),SUMIFS(Summary!$H:$H,Summary!$C:$C,Financials!C191,Summary!$E:$E,Financials!E191,Summary!$D:$D,"avg",Summary!$F:$F,Financials!F191))</f>
        <v>-2692375.1847101087</v>
      </c>
      <c r="AN191" s="20">
        <f>Summary!I191</f>
        <v>5682423.2171033863</v>
      </c>
      <c r="AP191" s="12">
        <v>1</v>
      </c>
    </row>
    <row r="192" spans="1:42" x14ac:dyDescent="0.3">
      <c r="A192">
        <v>188</v>
      </c>
      <c r="B192" t="str">
        <f>Summary!B192</f>
        <v>MarinusPortland</v>
      </c>
      <c r="C192" t="str">
        <f>Summary!C192</f>
        <v>Wind</v>
      </c>
      <c r="D192" s="104">
        <f>Summary!D192</f>
        <v>0.5</v>
      </c>
      <c r="E192" t="str">
        <f>Summary!E192</f>
        <v>Cal-29</v>
      </c>
      <c r="F192" t="str">
        <f>Summary!F192</f>
        <v>2 Hour Battery</v>
      </c>
      <c r="G192" s="73">
        <f>SUMIFS(AL$5:AL192,$F$5:$F192,$F192,$D$5:$D192,$D192)</f>
        <v>6705443.1242252393</v>
      </c>
      <c r="H192" s="73">
        <f>SUMIFS(AM$5:AM192,$F$5:$F192,$F192,$D$5:$D192,$D192)</f>
        <v>257415.91220052107</v>
      </c>
      <c r="I192" s="20">
        <f>SUMIFS(AN$5:AN192,$F$5:$F192,$F192,$D$5:$D192,$D192)</f>
        <v>38230896.051454455</v>
      </c>
      <c r="J192" s="73">
        <f t="shared" si="32"/>
        <v>38230896.051454455</v>
      </c>
      <c r="K192" s="73">
        <f t="shared" si="33"/>
        <v>44936339.175679691</v>
      </c>
      <c r="L192" s="73">
        <f t="shared" si="34"/>
        <v>45193755.087880217</v>
      </c>
      <c r="M192" s="73">
        <f>-SUMIFS(FinParameters!$E$8:$E$39,FinParameters!$B$8:$B$39,Financials!$E192,FinParameters!$C$8:$C$39,Financials!$F192)</f>
        <v>-8907640.5651388541</v>
      </c>
      <c r="N192" s="73">
        <f>-SUMIFS(FinParameters!$F$8:$F$39,FinParameters!$B$8:$B$39,Financials!$E192,FinParameters!$C$8:$C$39,Financials!$F192)</f>
        <v>-73600000</v>
      </c>
      <c r="O192" s="73">
        <f>SUMIFS(FinParameters!$G$8:$G$39,FinParameters!$B$8:$B$39,Financials!$E192,FinParameters!$C$8:$C$39,Financials!$F192)</f>
        <v>10872916.92525232</v>
      </c>
      <c r="P192" s="73">
        <f t="shared" si="35"/>
        <v>29323255.486315601</v>
      </c>
      <c r="Q192" s="73">
        <f>P192/SUMIFS(FinParameters!$H$8:$H$39,FinParameters!$B$8:$B$39,Financials!$E192,FinParameters!$C$8:$C$39,Financials!$F192)</f>
        <v>11463186.948854635</v>
      </c>
      <c r="R192" s="73">
        <f t="shared" si="47"/>
        <v>-33403827.588432081</v>
      </c>
      <c r="S192" s="12">
        <f t="shared" si="36"/>
        <v>-0.53252639770650534</v>
      </c>
      <c r="T192" s="114">
        <f t="shared" si="37"/>
        <v>6705443.1242252393</v>
      </c>
      <c r="U192" s="73">
        <f>T192/SUMIFS(FinParameters!$L$8:$L$39,FinParameters!$B$8:$B$39,Financials!$E192,FinParameters!$C$8:$C$39,Financials!$F192)</f>
        <v>5369238.4877952123</v>
      </c>
      <c r="V192" s="73">
        <f t="shared" si="38"/>
        <v>5369238.4877952123</v>
      </c>
      <c r="W192" s="12"/>
      <c r="X192" s="73">
        <f t="shared" si="39"/>
        <v>36028698.610540837</v>
      </c>
      <c r="Y192" s="73">
        <f t="shared" si="40"/>
        <v>16832425.436649848</v>
      </c>
      <c r="Z192" s="73">
        <f t="shared" si="40"/>
        <v>-28034589.10063687</v>
      </c>
      <c r="AA192" s="12">
        <f t="shared" si="41"/>
        <v>-0.44692958330662241</v>
      </c>
      <c r="AB192" s="114">
        <f t="shared" si="42"/>
        <v>257415.91220052107</v>
      </c>
      <c r="AC192" s="73">
        <f>AB192/SUMIFS(FinParameters!$L$8:$L$39,FinParameters!$B$8:$B$39,Financials!$E192,FinParameters!$C$8:$C$39,Financials!$F192)</f>
        <v>206120.22166956263</v>
      </c>
      <c r="AD192" s="73">
        <f t="shared" si="43"/>
        <v>206120.22166956263</v>
      </c>
      <c r="AE192" s="12"/>
      <c r="AF192" s="73">
        <f t="shared" si="44"/>
        <v>36286114.522741355</v>
      </c>
      <c r="AG192" s="73">
        <f t="shared" si="45"/>
        <v>17038545.65831941</v>
      </c>
      <c r="AH192" s="73">
        <f t="shared" si="45"/>
        <v>-27828468.878967308</v>
      </c>
      <c r="AI192" s="12">
        <f t="shared" si="46"/>
        <v>-0.44364359882327026</v>
      </c>
      <c r="AL192" s="73">
        <f>Summary!G192</f>
        <v>-1422851.1473726921</v>
      </c>
      <c r="AM192" s="73">
        <f>IF(D192&lt;&gt;"avg",SUMIFS(Summary!$H:$H,Summary!$C:$C,Financials!C192,Summary!$E:$E,Financials!E192,Summary!$D:$D,1-Financials!D192,Summary!$F:$F,Financials!F192),SUMIFS(Summary!$H:$H,Summary!$C:$C,Financials!C192,Summary!$E:$E,Financials!E192,Summary!$D:$D,"avg",Summary!$F:$F,Financials!F192))</f>
        <v>-21509.658641293328</v>
      </c>
      <c r="AN192" s="20">
        <f>Summary!I192</f>
        <v>4940842.4997534966</v>
      </c>
      <c r="AP192" s="12">
        <v>1</v>
      </c>
    </row>
    <row r="193" spans="1:42" x14ac:dyDescent="0.3">
      <c r="A193">
        <v>189</v>
      </c>
      <c r="B193" t="str">
        <f>Summary!B193</f>
        <v>MarinusPortland</v>
      </c>
      <c r="C193" t="str">
        <f>Summary!C193</f>
        <v>Wind</v>
      </c>
      <c r="D193" s="104">
        <f>Summary!D193</f>
        <v>0.25</v>
      </c>
      <c r="E193" t="str">
        <f>Summary!E193</f>
        <v>Cal-29</v>
      </c>
      <c r="F193" t="str">
        <f>Summary!F193</f>
        <v>2 Hour Battery</v>
      </c>
      <c r="G193" s="73">
        <f>SUMIFS(AL$5:AL193,$F$5:$F193,$F193,$D$5:$D193,$D193)</f>
        <v>-14611605.604935382</v>
      </c>
      <c r="H193" s="73">
        <f>SUMIFS(AM$5:AM193,$F$5:$F193,$F193,$D$5:$D193,$D193)</f>
        <v>17564532.128883254</v>
      </c>
      <c r="I193" s="20">
        <f>SUMIFS(AN$5:AN193,$F$5:$F193,$F193,$D$5:$D193,$D193)</f>
        <v>31822666.476297356</v>
      </c>
      <c r="J193" s="73">
        <f t="shared" si="32"/>
        <v>31822666.476297356</v>
      </c>
      <c r="K193" s="73">
        <f t="shared" si="33"/>
        <v>17211060.871361975</v>
      </c>
      <c r="L193" s="73">
        <f t="shared" si="34"/>
        <v>34775593.000245228</v>
      </c>
      <c r="M193" s="73">
        <f>-SUMIFS(FinParameters!$E$8:$E$39,FinParameters!$B$8:$B$39,Financials!$E193,FinParameters!$C$8:$C$39,Financials!$F193)</f>
        <v>-8907640.5651388541</v>
      </c>
      <c r="N193" s="73">
        <f>-SUMIFS(FinParameters!$F$8:$F$39,FinParameters!$B$8:$B$39,Financials!$E193,FinParameters!$C$8:$C$39,Financials!$F193)</f>
        <v>-73600000</v>
      </c>
      <c r="O193" s="73">
        <f>SUMIFS(FinParameters!$G$8:$G$39,FinParameters!$B$8:$B$39,Financials!$E193,FinParameters!$C$8:$C$39,Financials!$F193)</f>
        <v>10872916.92525232</v>
      </c>
      <c r="P193" s="73">
        <f t="shared" si="35"/>
        <v>22915025.911158502</v>
      </c>
      <c r="Q193" s="73">
        <f>P193/SUMIFS(FinParameters!$H$8:$H$39,FinParameters!$B$8:$B$39,Financials!$E193,FinParameters!$C$8:$C$39,Financials!$F193)</f>
        <v>8958051.2668534871</v>
      </c>
      <c r="R193" s="73">
        <f t="shared" si="47"/>
        <v>-39812057.16358918</v>
      </c>
      <c r="S193" s="12">
        <f t="shared" si="36"/>
        <v>-0.63468688821617625</v>
      </c>
      <c r="T193" s="114">
        <f t="shared" si="37"/>
        <v>-14611605.604935382</v>
      </c>
      <c r="U193" s="73">
        <f>T193/SUMIFS(FinParameters!$L$8:$L$39,FinParameters!$B$8:$B$39,Financials!$E193,FinParameters!$C$8:$C$39,Financials!$F193)</f>
        <v>-11699927.018852754</v>
      </c>
      <c r="V193" s="73">
        <f t="shared" si="38"/>
        <v>-11699927.018852754</v>
      </c>
      <c r="W193" s="12"/>
      <c r="X193" s="73">
        <f t="shared" si="39"/>
        <v>8303420.3062231205</v>
      </c>
      <c r="Y193" s="73">
        <f t="shared" si="40"/>
        <v>-2741875.7519992664</v>
      </c>
      <c r="Z193" s="73">
        <f t="shared" si="40"/>
        <v>-51511984.182441935</v>
      </c>
      <c r="AA193" s="12">
        <f t="shared" si="41"/>
        <v>-0.82120802781564928</v>
      </c>
      <c r="AB193" s="114">
        <f t="shared" si="42"/>
        <v>17564532.128883254</v>
      </c>
      <c r="AC193" s="73">
        <f>AB193/SUMIFS(FinParameters!$L$8:$L$39,FinParameters!$B$8:$B$39,Financials!$E193,FinParameters!$C$8:$C$39,Financials!$F193)</f>
        <v>14064419.036797378</v>
      </c>
      <c r="AD193" s="73">
        <f t="shared" si="43"/>
        <v>14064419.036797378</v>
      </c>
      <c r="AE193" s="12"/>
      <c r="AF193" s="73">
        <f t="shared" si="44"/>
        <v>25867952.435106374</v>
      </c>
      <c r="AG193" s="73">
        <f t="shared" si="45"/>
        <v>11322543.284798112</v>
      </c>
      <c r="AH193" s="73">
        <f t="shared" si="45"/>
        <v>-37447565.14564456</v>
      </c>
      <c r="AI193" s="12">
        <f t="shared" si="46"/>
        <v>-0.59699197396156289</v>
      </c>
      <c r="AL193" s="73">
        <f>Summary!G193</f>
        <v>-3938384.9869741341</v>
      </c>
      <c r="AM193" s="73">
        <f>IF(D193&lt;&gt;"avg",SUMIFS(Summary!$H:$H,Summary!$C:$C,Financials!C193,Summary!$E:$E,Financials!E193,Summary!$D:$D,1-Financials!D193,Summary!$F:$F,Financials!F193),SUMIFS(Summary!$H:$H,Summary!$C:$C,Financials!C193,Summary!$E:$E,Financials!E193,Summary!$D:$D,"avg",Summary!$F:$F,Financials!F193))</f>
        <v>2400154.0467617302</v>
      </c>
      <c r="AN193" s="20">
        <f>Summary!I193</f>
        <v>4224632.4978525471</v>
      </c>
      <c r="AP193" s="12">
        <v>1</v>
      </c>
    </row>
    <row r="194" spans="1:42" x14ac:dyDescent="0.3">
      <c r="A194">
        <v>190</v>
      </c>
      <c r="B194" t="str">
        <f>Summary!B194</f>
        <v>MarinusPortland</v>
      </c>
      <c r="C194" t="str">
        <f>Summary!C194</f>
        <v>Wind</v>
      </c>
      <c r="D194" s="104">
        <f>Summary!D194</f>
        <v>0.05</v>
      </c>
      <c r="E194" t="str">
        <f>Summary!E194</f>
        <v>Cal-29</v>
      </c>
      <c r="F194" t="str">
        <f>Summary!F194</f>
        <v>2 Hour Battery</v>
      </c>
      <c r="G194" s="73">
        <f>SUMIFS(AL$5:AL194,$F$5:$F194,$F194,$D$5:$D194,$D194)</f>
        <v>-39427960.12893483</v>
      </c>
      <c r="H194" s="73">
        <f>SUMIFS(AM$5:AM194,$F$5:$F194,$F194,$D$5:$D194,$D194)</f>
        <v>41043727.655818164</v>
      </c>
      <c r="I194" s="20">
        <f>SUMIFS(AN$5:AN194,$F$5:$F194,$F194,$D$5:$D194,$D194)</f>
        <v>24009477.142349612</v>
      </c>
      <c r="J194" s="73">
        <f t="shared" si="32"/>
        <v>24009477.142349612</v>
      </c>
      <c r="K194" s="73">
        <f t="shared" si="33"/>
        <v>-15418482.986585218</v>
      </c>
      <c r="L194" s="73">
        <f t="shared" si="34"/>
        <v>25625244.669232946</v>
      </c>
      <c r="M194" s="73">
        <f>-SUMIFS(FinParameters!$E$8:$E$39,FinParameters!$B$8:$B$39,Financials!$E194,FinParameters!$C$8:$C$39,Financials!$F194)</f>
        <v>-8907640.5651388541</v>
      </c>
      <c r="N194" s="73">
        <f>-SUMIFS(FinParameters!$F$8:$F$39,FinParameters!$B$8:$B$39,Financials!$E194,FinParameters!$C$8:$C$39,Financials!$F194)</f>
        <v>-73600000</v>
      </c>
      <c r="O194" s="73">
        <f>SUMIFS(FinParameters!$G$8:$G$39,FinParameters!$B$8:$B$39,Financials!$E194,FinParameters!$C$8:$C$39,Financials!$F194)</f>
        <v>10872916.92525232</v>
      </c>
      <c r="P194" s="73">
        <f t="shared" si="35"/>
        <v>15101836.577210758</v>
      </c>
      <c r="Q194" s="73">
        <f>P194/SUMIFS(FinParameters!$H$8:$H$39,FinParameters!$B$8:$B$39,Financials!$E194,FinParameters!$C$8:$C$39,Financials!$F194)</f>
        <v>5903682.0122651886</v>
      </c>
      <c r="R194" s="73">
        <f t="shared" si="47"/>
        <v>-47625246.497536927</v>
      </c>
      <c r="S194" s="12">
        <f t="shared" si="36"/>
        <v>-0.75924535564303375</v>
      </c>
      <c r="T194" s="114">
        <f t="shared" si="37"/>
        <v>-39427960.12893483</v>
      </c>
      <c r="U194" s="73">
        <f>T194/SUMIFS(FinParameters!$L$8:$L$39,FinParameters!$B$8:$B$39,Financials!$E194,FinParameters!$C$8:$C$39,Financials!$F194)</f>
        <v>-31571085.921930328</v>
      </c>
      <c r="V194" s="73">
        <f t="shared" si="38"/>
        <v>-31571085.921930328</v>
      </c>
      <c r="W194" s="12"/>
      <c r="X194" s="73">
        <f t="shared" si="39"/>
        <v>-24326123.551724073</v>
      </c>
      <c r="Y194" s="73">
        <f t="shared" si="40"/>
        <v>-25667403.909665138</v>
      </c>
      <c r="Z194" s="73">
        <f t="shared" si="40"/>
        <v>-79196332.419467255</v>
      </c>
      <c r="AA194" s="12">
        <f t="shared" si="41"/>
        <v>-1.2625540442410541</v>
      </c>
      <c r="AB194" s="114">
        <f t="shared" si="42"/>
        <v>41043727.655818164</v>
      </c>
      <c r="AC194" s="73">
        <f>AB194/SUMIFS(FinParameters!$L$8:$L$39,FinParameters!$B$8:$B$39,Financials!$E194,FinParameters!$C$8:$C$39,Financials!$F194)</f>
        <v>32864876.80673096</v>
      </c>
      <c r="AD194" s="73">
        <f t="shared" si="43"/>
        <v>32864876.80673096</v>
      </c>
      <c r="AE194" s="12"/>
      <c r="AF194" s="73">
        <f t="shared" si="44"/>
        <v>16717604.104094092</v>
      </c>
      <c r="AG194" s="73">
        <f t="shared" si="45"/>
        <v>7197472.897065822</v>
      </c>
      <c r="AH194" s="73">
        <f t="shared" si="45"/>
        <v>-46331455.6127363</v>
      </c>
      <c r="AI194" s="12">
        <f t="shared" si="46"/>
        <v>-0.73861964149562309</v>
      </c>
      <c r="AL194" s="73">
        <f>Summary!G194</f>
        <v>-6788811.1834711172</v>
      </c>
      <c r="AM194" s="73">
        <f>IF(D194&lt;&gt;"avg",SUMIFS(Summary!$H:$H,Summary!$C:$C,Financials!C194,Summary!$E:$E,Financials!E194,Summary!$D:$D,1-Financials!D194,Summary!$F:$F,Financials!F194),SUMIFS(Summary!$H:$H,Summary!$C:$C,Financials!C194,Summary!$E:$E,Financials!E194,Summary!$D:$D,"avg",Summary!$F:$F,Financials!F194))</f>
        <v>5771698.2735815914</v>
      </c>
      <c r="AN194" s="20">
        <f>Summary!I194</f>
        <v>3212004.5045150416</v>
      </c>
      <c r="AP194" s="12">
        <v>1</v>
      </c>
    </row>
    <row r="195" spans="1:42" x14ac:dyDescent="0.3">
      <c r="A195">
        <v>191</v>
      </c>
      <c r="B195" t="str">
        <f>Summary!B195</f>
        <v>MarinusPortland</v>
      </c>
      <c r="C195" t="str">
        <f>Summary!C195</f>
        <v>Wind</v>
      </c>
      <c r="D195" s="104">
        <f>Summary!D195</f>
        <v>0</v>
      </c>
      <c r="E195" t="str">
        <f>Summary!E195</f>
        <v>Cal-29</v>
      </c>
      <c r="F195" t="str">
        <f>Summary!F195</f>
        <v>2 Hour Battery</v>
      </c>
      <c r="G195" s="73">
        <f>SUMIFS(AL$5:AL195,$F$5:$F195,$F195,$D$5:$D195,$D195)</f>
        <v>-78583262.27945058</v>
      </c>
      <c r="H195" s="73">
        <f>SUMIFS(AM$5:AM195,$F$5:$F195,$F195,$D$5:$D195,$D195)</f>
        <v>89128606.171828941</v>
      </c>
      <c r="I195" s="20">
        <f>SUMIFS(AN$5:AN195,$F$5:$F195,$F195,$D$5:$D195,$D195)</f>
        <v>12092079.657356728</v>
      </c>
      <c r="J195" s="73">
        <f t="shared" si="32"/>
        <v>12092079.657356728</v>
      </c>
      <c r="K195" s="73">
        <f t="shared" si="33"/>
        <v>-66491182.622093856</v>
      </c>
      <c r="L195" s="73">
        <f t="shared" si="34"/>
        <v>22637423.549735088</v>
      </c>
      <c r="M195" s="73">
        <f>-SUMIFS(FinParameters!$E$8:$E$39,FinParameters!$B$8:$B$39,Financials!$E195,FinParameters!$C$8:$C$39,Financials!$F195)</f>
        <v>-8907640.5651388541</v>
      </c>
      <c r="N195" s="73">
        <f>-SUMIFS(FinParameters!$F$8:$F$39,FinParameters!$B$8:$B$39,Financials!$E195,FinParameters!$C$8:$C$39,Financials!$F195)</f>
        <v>-73600000</v>
      </c>
      <c r="O195" s="73">
        <f>SUMIFS(FinParameters!$G$8:$G$39,FinParameters!$B$8:$B$39,Financials!$E195,FinParameters!$C$8:$C$39,Financials!$F195)</f>
        <v>10872916.92525232</v>
      </c>
      <c r="P195" s="73">
        <f t="shared" si="35"/>
        <v>3184439.0922178738</v>
      </c>
      <c r="Q195" s="73">
        <f>P195/SUMIFS(FinParameters!$H$8:$H$39,FinParameters!$B$8:$B$39,Financials!$E195,FinParameters!$C$8:$C$39,Financials!$F195)</f>
        <v>1244876.1242887855</v>
      </c>
      <c r="R195" s="73">
        <f t="shared" si="47"/>
        <v>-59542643.982529804</v>
      </c>
      <c r="S195" s="12">
        <f t="shared" si="36"/>
        <v>-0.94923342619928308</v>
      </c>
      <c r="T195" s="114">
        <f t="shared" si="37"/>
        <v>-78583262.27945058</v>
      </c>
      <c r="U195" s="73">
        <f>T195/SUMIFS(FinParameters!$L$8:$L$39,FinParameters!$B$8:$B$39,Financials!$E195,FinParameters!$C$8:$C$39,Financials!$F195)</f>
        <v>-62923846.867477931</v>
      </c>
      <c r="V195" s="73">
        <f t="shared" si="38"/>
        <v>-62923846.867477931</v>
      </c>
      <c r="W195" s="12"/>
      <c r="X195" s="73">
        <f t="shared" si="39"/>
        <v>-75398823.187232703</v>
      </c>
      <c r="Y195" s="73">
        <f t="shared" si="40"/>
        <v>-61678970.743189149</v>
      </c>
      <c r="Z195" s="73">
        <f t="shared" si="40"/>
        <v>-122466490.85000774</v>
      </c>
      <c r="AA195" s="12">
        <f t="shared" si="41"/>
        <v>-1.9523702497703042</v>
      </c>
      <c r="AB195" s="114">
        <f t="shared" si="42"/>
        <v>89128606.171828941</v>
      </c>
      <c r="AC195" s="73">
        <f>AB195/SUMIFS(FinParameters!$L$8:$L$39,FinParameters!$B$8:$B$39,Financials!$E195,FinParameters!$C$8:$C$39,Financials!$F195)</f>
        <v>71367802.80671142</v>
      </c>
      <c r="AD195" s="73">
        <f t="shared" si="43"/>
        <v>71367802.80671142</v>
      </c>
      <c r="AE195" s="12"/>
      <c r="AF195" s="73">
        <f t="shared" si="44"/>
        <v>13729782.984596238</v>
      </c>
      <c r="AG195" s="73">
        <f t="shared" si="45"/>
        <v>9688832.0635222718</v>
      </c>
      <c r="AH195" s="73">
        <f t="shared" si="45"/>
        <v>-51098688.043296322</v>
      </c>
      <c r="AI195" s="12">
        <f t="shared" si="46"/>
        <v>-0.81461922886491345</v>
      </c>
      <c r="AL195" s="73">
        <f>Summary!G195</f>
        <v>-11147496.83599486</v>
      </c>
      <c r="AM195" s="73">
        <f>IF(D195&lt;&gt;"avg",SUMIFS(Summary!$H:$H,Summary!$C:$C,Financials!C195,Summary!$E:$E,Financials!E195,Summary!$D:$D,1-Financials!D195,Summary!$F:$F,Financials!F195),SUMIFS(Summary!$H:$H,Summary!$C:$C,Financials!C195,Summary!$E:$E,Financials!E195,Summary!$D:$D,"avg",Summary!$F:$F,Financials!F195))</f>
        <v>12214883.419456434</v>
      </c>
      <c r="AN195" s="20">
        <f>Summary!I195</f>
        <v>1676209.6085794473</v>
      </c>
      <c r="AP195" s="12">
        <v>1</v>
      </c>
    </row>
    <row r="196" spans="1:42" x14ac:dyDescent="0.3">
      <c r="A196">
        <v>192</v>
      </c>
      <c r="B196" t="str">
        <f>Summary!B196</f>
        <v>MarinusPortland</v>
      </c>
      <c r="C196" t="str">
        <f>Summary!C196</f>
        <v>Wind</v>
      </c>
      <c r="D196" s="104" t="str">
        <f>Summary!D196</f>
        <v>avg</v>
      </c>
      <c r="E196" t="str">
        <f>Summary!E196</f>
        <v>Cal-29</v>
      </c>
      <c r="F196" t="str">
        <f>Summary!F196</f>
        <v>2 Hour Battery</v>
      </c>
      <c r="G196" s="73">
        <f>SUMIFS(AL$5:AL196,$F$5:$F196,$F196,$D$5:$D196,$D196)</f>
        <v>13132518.685541393</v>
      </c>
      <c r="H196" s="73">
        <f>SUMIFS(AM$5:AM196,$F$5:$F196,$F196,$D$5:$D196,$D196)</f>
        <v>-956690.85095745767</v>
      </c>
      <c r="I196" s="20">
        <f>SUMIFS(AN$5:AN196,$F$5:$F196,$F196,$D$5:$D196,$D196)</f>
        <v>38714129.890754759</v>
      </c>
      <c r="J196" s="73">
        <f t="shared" si="32"/>
        <v>38714129.890754759</v>
      </c>
      <c r="K196" s="73">
        <f t="shared" si="33"/>
        <v>51846648.576296151</v>
      </c>
      <c r="L196" s="73">
        <f t="shared" si="34"/>
        <v>50889957.725338697</v>
      </c>
      <c r="M196" s="73">
        <f>-SUMIFS(FinParameters!$E$8:$E$39,FinParameters!$B$8:$B$39,Financials!$E196,FinParameters!$C$8:$C$39,Financials!$F196)</f>
        <v>-8907640.5651388541</v>
      </c>
      <c r="N196" s="73">
        <f>-SUMIFS(FinParameters!$F$8:$F$39,FinParameters!$B$8:$B$39,Financials!$E196,FinParameters!$C$8:$C$39,Financials!$F196)</f>
        <v>-73600000</v>
      </c>
      <c r="O196" s="73">
        <f>SUMIFS(FinParameters!$G$8:$G$39,FinParameters!$B$8:$B$39,Financials!$E196,FinParameters!$C$8:$C$39,Financials!$F196)</f>
        <v>10872916.92525232</v>
      </c>
      <c r="P196" s="73">
        <f t="shared" si="35"/>
        <v>29806489.325615905</v>
      </c>
      <c r="Q196" s="73">
        <f>P196/SUMIFS(FinParameters!$H$8:$H$39,FinParameters!$B$8:$B$39,Financials!$E196,FinParameters!$C$8:$C$39,Financials!$F196)</f>
        <v>11652095.027035015</v>
      </c>
      <c r="R196" s="73">
        <f t="shared" si="47"/>
        <v>-32920593.749131776</v>
      </c>
      <c r="S196" s="12">
        <f t="shared" si="36"/>
        <v>-0.52482264654172583</v>
      </c>
      <c r="T196" s="114">
        <f t="shared" si="37"/>
        <v>13132518.685541393</v>
      </c>
      <c r="U196" s="73">
        <f>T196/SUMIFS(FinParameters!$L$8:$L$39,FinParameters!$B$8:$B$39,Financials!$E196,FinParameters!$C$8:$C$39,Financials!$F196)</f>
        <v>10515580.17297264</v>
      </c>
      <c r="V196" s="73">
        <f t="shared" si="38"/>
        <v>10515580.17297264</v>
      </c>
      <c r="W196" s="12"/>
      <c r="X196" s="73">
        <f t="shared" si="39"/>
        <v>42939008.011157297</v>
      </c>
      <c r="Y196" s="73">
        <f t="shared" si="40"/>
        <v>22167675.200007655</v>
      </c>
      <c r="Z196" s="73">
        <f t="shared" si="40"/>
        <v>-22405013.576159135</v>
      </c>
      <c r="AA196" s="12">
        <f t="shared" si="41"/>
        <v>-0.35718245577369784</v>
      </c>
      <c r="AB196" s="114">
        <f t="shared" si="42"/>
        <v>-956690.85095745767</v>
      </c>
      <c r="AC196" s="73">
        <f>AB196/SUMIFS(FinParameters!$L$8:$L$39,FinParameters!$B$8:$B$39,Financials!$E196,FinParameters!$C$8:$C$39,Financials!$F196)</f>
        <v>-766049.49780643161</v>
      </c>
      <c r="AD196" s="73">
        <f t="shared" si="43"/>
        <v>-766049.49780643161</v>
      </c>
      <c r="AE196" s="12"/>
      <c r="AF196" s="73">
        <f t="shared" si="44"/>
        <v>41982317.160199836</v>
      </c>
      <c r="AG196" s="73">
        <f t="shared" si="45"/>
        <v>21401625.702201225</v>
      </c>
      <c r="AH196" s="73">
        <f t="shared" si="45"/>
        <v>-23171063.073965564</v>
      </c>
      <c r="AI196" s="12">
        <f t="shared" si="46"/>
        <v>-0.3693948759956549</v>
      </c>
      <c r="AL196" s="73">
        <f>Summary!G196</f>
        <v>-1017094.1755379711</v>
      </c>
      <c r="AM196" s="73">
        <f>IF(D196&lt;&gt;"avg",SUMIFS(Summary!$H:$H,Summary!$C:$C,Financials!C196,Summary!$E:$E,Financials!E196,Summary!$D:$D,1-Financials!D196,Summary!$F:$F,Financials!F196),SUMIFS(Summary!$H:$H,Summary!$C:$C,Financials!C196,Summary!$E:$E,Financials!E196,Summary!$D:$D,"avg",Summary!$F:$F,Financials!F196))</f>
        <v>-172678.6399866314</v>
      </c>
      <c r="AN196" s="20">
        <f>Summary!I196</f>
        <v>4957547.9236028614</v>
      </c>
      <c r="AP196" s="12">
        <v>1</v>
      </c>
    </row>
    <row r="197" spans="1:42" x14ac:dyDescent="0.3">
      <c r="A197">
        <v>193</v>
      </c>
      <c r="B197" t="str">
        <f>Summary!B197</f>
        <v>MarinusPortland</v>
      </c>
      <c r="C197" t="str">
        <f>Summary!C197</f>
        <v>Wind</v>
      </c>
      <c r="D197" s="104">
        <f>Summary!D197</f>
        <v>1</v>
      </c>
      <c r="E197" t="str">
        <f>Summary!E197</f>
        <v>Cal-30</v>
      </c>
      <c r="F197" t="str">
        <f>Summary!F197</f>
        <v>2 Hour Battery</v>
      </c>
      <c r="G197" s="73">
        <f>SUMIFS(AL$5:AL197,$F$5:$F197,$F197,$D$5:$D197,$D197)</f>
        <v>181734256.50767341</v>
      </c>
      <c r="H197" s="73">
        <f>SUMIFS(AM$5:AM197,$F$5:$F197,$F197,$D$5:$D197,$D197)</f>
        <v>-130334466.02622616</v>
      </c>
      <c r="I197" s="20">
        <f>SUMIFS(AN$5:AN197,$F$5:$F197,$F197,$D$5:$D197,$D197)</f>
        <v>92099551.950772509</v>
      </c>
      <c r="J197" s="73">
        <f t="shared" si="32"/>
        <v>92099551.950772509</v>
      </c>
      <c r="K197" s="73">
        <f t="shared" si="33"/>
        <v>273833808.45844591</v>
      </c>
      <c r="L197" s="73">
        <f t="shared" si="34"/>
        <v>143499342.43221974</v>
      </c>
      <c r="M197" s="73">
        <f>-SUMIFS(FinParameters!$E$8:$E$39,FinParameters!$B$8:$B$39,Financials!$E197,FinParameters!$C$8:$C$39,Financials!$F197)</f>
        <v>-9934081.5792673249</v>
      </c>
      <c r="N197" s="73">
        <f>-SUMIFS(FinParameters!$F$8:$F$39,FinParameters!$B$8:$B$39,Financials!$E197,FinParameters!$C$8:$C$39,Financials!$F197)</f>
        <v>-73600000</v>
      </c>
      <c r="O197" s="73">
        <f>SUMIFS(FinParameters!$G$8:$G$39,FinParameters!$B$8:$B$39,Financials!$E197,FinParameters!$C$8:$C$39,Financials!$F197)</f>
        <v>8967149.8397671357</v>
      </c>
      <c r="P197" s="73">
        <f t="shared" si="35"/>
        <v>82165470.371505186</v>
      </c>
      <c r="Q197" s="73">
        <f>P197/SUMIFS(FinParameters!$H$8:$H$39,FinParameters!$B$8:$B$39,Financials!$E197,FinParameters!$C$8:$C$39,Financials!$F197)</f>
        <v>28937403.356047463</v>
      </c>
      <c r="R197" s="73">
        <f t="shared" si="47"/>
        <v>17532620.211272322</v>
      </c>
      <c r="S197" s="12">
        <f t="shared" si="36"/>
        <v>0.27126484702139514</v>
      </c>
      <c r="T197" s="114">
        <f t="shared" si="37"/>
        <v>181734256.50767341</v>
      </c>
      <c r="U197" s="73">
        <f>T197/SUMIFS(FinParameters!$L$8:$L$39,FinParameters!$B$8:$B$39,Financials!$E197,FinParameters!$C$8:$C$39,Financials!$F197)</f>
        <v>141970510.72260782</v>
      </c>
      <c r="V197" s="73">
        <f t="shared" si="38"/>
        <v>141970510.72260782</v>
      </c>
      <c r="W197" s="12"/>
      <c r="X197" s="73">
        <f t="shared" si="39"/>
        <v>263899726.87917858</v>
      </c>
      <c r="Y197" s="73">
        <f t="shared" si="40"/>
        <v>170907914.07865527</v>
      </c>
      <c r="Z197" s="73">
        <f t="shared" si="40"/>
        <v>159503130.93388015</v>
      </c>
      <c r="AA197" s="12">
        <f t="shared" si="41"/>
        <v>2.467833780166774</v>
      </c>
      <c r="AB197" s="114">
        <f t="shared" si="42"/>
        <v>-130334466.02622616</v>
      </c>
      <c r="AC197" s="73">
        <f>AB197/SUMIFS(FinParameters!$L$8:$L$39,FinParameters!$B$8:$B$39,Financials!$E197,FinParameters!$C$8:$C$39,Financials!$F197)</f>
        <v>-101817076.54946399</v>
      </c>
      <c r="AD197" s="73">
        <f t="shared" si="43"/>
        <v>-101817076.54946399</v>
      </c>
      <c r="AE197" s="12"/>
      <c r="AF197" s="73">
        <f t="shared" si="44"/>
        <v>133565260.85295242</v>
      </c>
      <c r="AG197" s="73">
        <f t="shared" si="45"/>
        <v>69090837.529191285</v>
      </c>
      <c r="AH197" s="73">
        <f t="shared" si="45"/>
        <v>57686054.384416163</v>
      </c>
      <c r="AI197" s="12">
        <f t="shared" si="46"/>
        <v>0.89251911746743751</v>
      </c>
      <c r="AL197" s="73">
        <f>Summary!G197</f>
        <v>15656147.491762327</v>
      </c>
      <c r="AM197" s="73">
        <f>IF(D197&lt;&gt;"avg",SUMIFS(Summary!$H:$H,Summary!$C:$C,Financials!C197,Summary!$E:$E,Financials!E197,Summary!$D:$D,1-Financials!D197,Summary!$F:$F,Financials!F197),SUMIFS(Summary!$H:$H,Summary!$C:$C,Financials!C197,Summary!$E:$E,Financials!E197,Summary!$D:$D,"avg",Summary!$F:$F,Financials!F197))</f>
        <v>-16844391.822619341</v>
      </c>
      <c r="AN197" s="20">
        <f>Summary!I197</f>
        <v>9425577.7014016975</v>
      </c>
      <c r="AP197" s="12">
        <v>1</v>
      </c>
    </row>
    <row r="198" spans="1:42" x14ac:dyDescent="0.3">
      <c r="A198">
        <v>194</v>
      </c>
      <c r="B198" t="str">
        <f>Summary!B198</f>
        <v>MarinusPortland</v>
      </c>
      <c r="C198" t="str">
        <f>Summary!C198</f>
        <v>Wind</v>
      </c>
      <c r="D198" s="104">
        <f>Summary!D198</f>
        <v>0.95</v>
      </c>
      <c r="E198" t="str">
        <f>Summary!E198</f>
        <v>Cal-30</v>
      </c>
      <c r="F198" t="str">
        <f>Summary!F198</f>
        <v>2 Hour Battery</v>
      </c>
      <c r="G198" s="73">
        <f>SUMIFS(AL$5:AL198,$F$5:$F198,$F198,$D$5:$D198,$D198)</f>
        <v>90749507.669912279</v>
      </c>
      <c r="H198" s="73">
        <f>SUMIFS(AM$5:AM198,$F$5:$F198,$F198,$D$5:$D198,$D198)</f>
        <v>-54007542.173724376</v>
      </c>
      <c r="I198" s="20">
        <f>SUMIFS(AN$5:AN198,$F$5:$F198,$F198,$D$5:$D198,$D198)</f>
        <v>62784067.494723044</v>
      </c>
      <c r="J198" s="73">
        <f t="shared" ref="J198:J260" si="48">I198</f>
        <v>62784067.494723044</v>
      </c>
      <c r="K198" s="73">
        <f t="shared" ref="K198:K260" si="49">SUM(G198,I198)</f>
        <v>153533575.16463533</v>
      </c>
      <c r="L198" s="73">
        <f t="shared" ref="L198:L260" si="50">SUM(G198:I198)</f>
        <v>99526032.990910947</v>
      </c>
      <c r="M198" s="73">
        <f>-SUMIFS(FinParameters!$E$8:$E$39,FinParameters!$B$8:$B$39,Financials!$E198,FinParameters!$C$8:$C$39,Financials!$F198)</f>
        <v>-9934081.5792673249</v>
      </c>
      <c r="N198" s="73">
        <f>-SUMIFS(FinParameters!$F$8:$F$39,FinParameters!$B$8:$B$39,Financials!$E198,FinParameters!$C$8:$C$39,Financials!$F198)</f>
        <v>-73600000</v>
      </c>
      <c r="O198" s="73">
        <f>SUMIFS(FinParameters!$G$8:$G$39,FinParameters!$B$8:$B$39,Financials!$E198,FinParameters!$C$8:$C$39,Financials!$F198)</f>
        <v>8967149.8397671357</v>
      </c>
      <c r="P198" s="73">
        <f t="shared" ref="P198:P260" si="51">SUM(J198,M198)</f>
        <v>52849985.915455721</v>
      </c>
      <c r="Q198" s="73">
        <f>P198/SUMIFS(FinParameters!$H$8:$H$39,FinParameters!$B$8:$B$39,Financials!$E198,FinParameters!$C$8:$C$39,Financials!$F198)</f>
        <v>18612944.742872693</v>
      </c>
      <c r="R198" s="73">
        <f t="shared" si="47"/>
        <v>-11782864.244777143</v>
      </c>
      <c r="S198" s="12">
        <f t="shared" ref="S198:S260" si="52">-R198/SUM($N198,$O198)</f>
        <v>-0.18230457446276868</v>
      </c>
      <c r="T198" s="114">
        <f t="shared" ref="T198:T260" si="53">G198</f>
        <v>90749507.669912279</v>
      </c>
      <c r="U198" s="73">
        <f>T198/SUMIFS(FinParameters!$L$8:$L$39,FinParameters!$B$8:$B$39,Financials!$E198,FinParameters!$C$8:$C$39,Financials!$F198)</f>
        <v>70893370.349132106</v>
      </c>
      <c r="V198" s="73">
        <f t="shared" ref="V198:V260" si="54">U198</f>
        <v>70893370.349132106</v>
      </c>
      <c r="W198" s="12"/>
      <c r="X198" s="73">
        <f t="shared" ref="X198:X260" si="55">SUM(K198,M198)</f>
        <v>143599493.58536801</v>
      </c>
      <c r="Y198" s="73">
        <f t="shared" ref="Y198:Z260" si="56">SUM(Q198,U198)</f>
        <v>89506315.092004806</v>
      </c>
      <c r="Z198" s="73">
        <f t="shared" si="56"/>
        <v>59110506.104354963</v>
      </c>
      <c r="AA198" s="12">
        <f t="shared" ref="AA198:AA260" si="57">-Z198/SUM($N198,$O198)</f>
        <v>0.91455824643061034</v>
      </c>
      <c r="AB198" s="114">
        <f t="shared" ref="AB198:AB260" si="58">H198*AP198</f>
        <v>-54007542.173724376</v>
      </c>
      <c r="AC198" s="73">
        <f>AB198/SUMIFS(FinParameters!$L$8:$L$39,FinParameters!$B$8:$B$39,Financials!$E198,FinParameters!$C$8:$C$39,Financials!$F198)</f>
        <v>-42190605.627248295</v>
      </c>
      <c r="AD198" s="73">
        <f t="shared" ref="AD198:AD260" si="59">AC198</f>
        <v>-42190605.627248295</v>
      </c>
      <c r="AE198" s="12"/>
      <c r="AF198" s="73">
        <f t="shared" ref="AF198:AF260" si="60">X198+AB198</f>
        <v>89591951.411643624</v>
      </c>
      <c r="AG198" s="73">
        <f t="shared" ref="AG198:AH260" si="61">Y198+AC198</f>
        <v>47315709.464756511</v>
      </c>
      <c r="AH198" s="73">
        <f t="shared" si="61"/>
        <v>16919900.477106668</v>
      </c>
      <c r="AI198" s="12">
        <f t="shared" ref="AI198:AI260" si="62">-AH198/SUM($N198,$O198)</f>
        <v>0.2617848421531796</v>
      </c>
      <c r="AL198" s="73">
        <f>Summary!G198</f>
        <v>7148719.1713374928</v>
      </c>
      <c r="AM198" s="73">
        <f>IF(D198&lt;&gt;"avg",SUMIFS(Summary!$H:$H,Summary!$C:$C,Financials!C198,Summary!$E:$E,Financials!E198,Summary!$D:$D,1-Financials!D198,Summary!$F:$F,Financials!F198),SUMIFS(Summary!$H:$H,Summary!$C:$C,Financials!C198,Summary!$E:$E,Financials!E198,Summary!$D:$D,"avg",Summary!$F:$F,Financials!F198))</f>
        <v>-7185939.2630695021</v>
      </c>
      <c r="AN198" s="20">
        <f>Summary!I198</f>
        <v>6959630.7684523975</v>
      </c>
      <c r="AP198" s="12">
        <v>1</v>
      </c>
    </row>
    <row r="199" spans="1:42" x14ac:dyDescent="0.3">
      <c r="A199">
        <v>195</v>
      </c>
      <c r="B199" t="str">
        <f>Summary!B199</f>
        <v>MarinusPortland</v>
      </c>
      <c r="C199" t="str">
        <f>Summary!C199</f>
        <v>Wind</v>
      </c>
      <c r="D199" s="104">
        <f>Summary!D199</f>
        <v>0.75</v>
      </c>
      <c r="E199" t="str">
        <f>Summary!E199</f>
        <v>Cal-30</v>
      </c>
      <c r="F199" t="str">
        <f>Summary!F199</f>
        <v>2 Hour Battery</v>
      </c>
      <c r="G199" s="73">
        <f>SUMIFS(AL$5:AL199,$F$5:$F199,$F199,$D$5:$D199,$D199)</f>
        <v>39052913.996239237</v>
      </c>
      <c r="H199" s="73">
        <f>SUMIFS(AM$5:AM199,$F$5:$F199,$F199,$D$5:$D199,$D199)</f>
        <v>-21210834.996656936</v>
      </c>
      <c r="I199" s="20">
        <f>SUMIFS(AN$5:AN199,$F$5:$F199,$F199,$D$5:$D199,$D199)</f>
        <v>50946412.549457483</v>
      </c>
      <c r="J199" s="73">
        <f t="shared" si="48"/>
        <v>50946412.549457483</v>
      </c>
      <c r="K199" s="73">
        <f t="shared" si="49"/>
        <v>89999326.54569672</v>
      </c>
      <c r="L199" s="73">
        <f t="shared" si="50"/>
        <v>68788491.549039781</v>
      </c>
      <c r="M199" s="73">
        <f>-SUMIFS(FinParameters!$E$8:$E$39,FinParameters!$B$8:$B$39,Financials!$E199,FinParameters!$C$8:$C$39,Financials!$F199)</f>
        <v>-9934081.5792673249</v>
      </c>
      <c r="N199" s="73">
        <f>-SUMIFS(FinParameters!$F$8:$F$39,FinParameters!$B$8:$B$39,Financials!$E199,FinParameters!$C$8:$C$39,Financials!$F199)</f>
        <v>-73600000</v>
      </c>
      <c r="O199" s="73">
        <f>SUMIFS(FinParameters!$G$8:$G$39,FinParameters!$B$8:$B$39,Financials!$E199,FinParameters!$C$8:$C$39,Financials!$F199)</f>
        <v>8967149.8397671357</v>
      </c>
      <c r="P199" s="73">
        <f t="shared" si="51"/>
        <v>41012330.97019016</v>
      </c>
      <c r="Q199" s="73">
        <f>P199/SUMIFS(FinParameters!$H$8:$H$39,FinParameters!$B$8:$B$39,Financials!$E199,FinParameters!$C$8:$C$39,Financials!$F199)</f>
        <v>14443906.406062352</v>
      </c>
      <c r="R199" s="73">
        <f t="shared" ref="R199:R260" si="63">SUM(P199,N199:O199)</f>
        <v>-23620519.190042704</v>
      </c>
      <c r="S199" s="12">
        <f t="shared" si="52"/>
        <v>-0.36545687110323161</v>
      </c>
      <c r="T199" s="114">
        <f t="shared" si="53"/>
        <v>39052913.996239237</v>
      </c>
      <c r="U199" s="73">
        <f>T199/SUMIFS(FinParameters!$L$8:$L$39,FinParameters!$B$8:$B$39,Financials!$E199,FinParameters!$C$8:$C$39,Financials!$F199)</f>
        <v>30508073.996594381</v>
      </c>
      <c r="V199" s="73">
        <f t="shared" si="54"/>
        <v>30508073.996594381</v>
      </c>
      <c r="W199" s="12"/>
      <c r="X199" s="73">
        <f t="shared" si="55"/>
        <v>80065244.966429397</v>
      </c>
      <c r="Y199" s="73">
        <f t="shared" si="56"/>
        <v>44951980.402656734</v>
      </c>
      <c r="Z199" s="73">
        <f t="shared" si="56"/>
        <v>6887554.8065516762</v>
      </c>
      <c r="AA199" s="12">
        <f t="shared" si="57"/>
        <v>0.10656430575901531</v>
      </c>
      <c r="AB199" s="114">
        <f t="shared" si="58"/>
        <v>-21210834.996656936</v>
      </c>
      <c r="AC199" s="73">
        <f>AB199/SUMIFS(FinParameters!$L$8:$L$39,FinParameters!$B$8:$B$39,Financials!$E199,FinParameters!$C$8:$C$39,Financials!$F199)</f>
        <v>-16569870.398656521</v>
      </c>
      <c r="AD199" s="73">
        <f t="shared" si="59"/>
        <v>-16569870.398656521</v>
      </c>
      <c r="AE199" s="12"/>
      <c r="AF199" s="73">
        <f t="shared" si="60"/>
        <v>58854409.969772458</v>
      </c>
      <c r="AG199" s="73">
        <f t="shared" si="61"/>
        <v>28382110.004000213</v>
      </c>
      <c r="AH199" s="73">
        <f t="shared" si="61"/>
        <v>-9682315.5921048447</v>
      </c>
      <c r="AI199" s="12">
        <f t="shared" si="62"/>
        <v>-0.14980486808335361</v>
      </c>
      <c r="AL199" s="73">
        <f>Summary!G199</f>
        <v>1632475.7398351033</v>
      </c>
      <c r="AM199" s="73">
        <f>IF(D199&lt;&gt;"avg",SUMIFS(Summary!$H:$H,Summary!$C:$C,Financials!C199,Summary!$E:$E,Financials!E199,Summary!$D:$D,1-Financials!D199,Summary!$F:$F,Financials!F199),SUMIFS(Summary!$H:$H,Summary!$C:$C,Financials!C199,Summary!$E:$E,Financials!E199,Summary!$D:$D,"avg",Summary!$F:$F,Financials!F199))</f>
        <v>-2825250.8715586932</v>
      </c>
      <c r="AN199" s="20">
        <f>Summary!I199</f>
        <v>5863146.2431542194</v>
      </c>
      <c r="AP199" s="12">
        <v>1</v>
      </c>
    </row>
    <row r="200" spans="1:42" x14ac:dyDescent="0.3">
      <c r="A200">
        <v>196</v>
      </c>
      <c r="B200" t="str">
        <f>Summary!B200</f>
        <v>MarinusPortland</v>
      </c>
      <c r="C200" t="str">
        <f>Summary!C200</f>
        <v>Wind</v>
      </c>
      <c r="D200" s="104">
        <f>Summary!D200</f>
        <v>0.5</v>
      </c>
      <c r="E200" t="str">
        <f>Summary!E200</f>
        <v>Cal-30</v>
      </c>
      <c r="F200" t="str">
        <f>Summary!F200</f>
        <v>2 Hour Battery</v>
      </c>
      <c r="G200" s="73">
        <f>SUMIFS(AL$5:AL200,$F$5:$F200,$F200,$D$5:$D200,$D200)</f>
        <v>5065669.7204070073</v>
      </c>
      <c r="H200" s="73">
        <f>SUMIFS(AM$5:AM200,$F$5:$F200,$F200,$D$5:$D200,$D200)</f>
        <v>256714.95428879376</v>
      </c>
      <c r="I200" s="20">
        <f>SUMIFS(AN$5:AN200,$F$5:$F200,$F200,$D$5:$D200,$D200)</f>
        <v>43320190.563911602</v>
      </c>
      <c r="J200" s="73">
        <f t="shared" si="48"/>
        <v>43320190.563911602</v>
      </c>
      <c r="K200" s="73">
        <f t="shared" si="49"/>
        <v>48385860.284318611</v>
      </c>
      <c r="L200" s="73">
        <f t="shared" si="50"/>
        <v>48642575.238607407</v>
      </c>
      <c r="M200" s="73">
        <f>-SUMIFS(FinParameters!$E$8:$E$39,FinParameters!$B$8:$B$39,Financials!$E200,FinParameters!$C$8:$C$39,Financials!$F200)</f>
        <v>-9934081.5792673249</v>
      </c>
      <c r="N200" s="73">
        <f>-SUMIFS(FinParameters!$F$8:$F$39,FinParameters!$B$8:$B$39,Financials!$E200,FinParameters!$C$8:$C$39,Financials!$F200)</f>
        <v>-73600000</v>
      </c>
      <c r="O200" s="73">
        <f>SUMIFS(FinParameters!$G$8:$G$39,FinParameters!$B$8:$B$39,Financials!$E200,FinParameters!$C$8:$C$39,Financials!$F200)</f>
        <v>8967149.8397671357</v>
      </c>
      <c r="P200" s="73">
        <f t="shared" si="51"/>
        <v>33386108.984644279</v>
      </c>
      <c r="Q200" s="73">
        <f>P200/SUMIFS(FinParameters!$H$8:$H$39,FinParameters!$B$8:$B$39,Financials!$E200,FinParameters!$C$8:$C$39,Financials!$F200)</f>
        <v>11758069.391064495</v>
      </c>
      <c r="R200" s="73">
        <f t="shared" si="63"/>
        <v>-31246741.175588585</v>
      </c>
      <c r="S200" s="12">
        <f t="shared" si="52"/>
        <v>-0.48344984165364874</v>
      </c>
      <c r="T200" s="114">
        <f t="shared" si="53"/>
        <v>5065669.7204070073</v>
      </c>
      <c r="U200" s="73">
        <f>T200/SUMIFS(FinParameters!$L$8:$L$39,FinParameters!$B$8:$B$39,Financials!$E200,FinParameters!$C$8:$C$39,Financials!$F200)</f>
        <v>3957293.0892523662</v>
      </c>
      <c r="V200" s="73">
        <f t="shared" si="54"/>
        <v>3957293.0892523662</v>
      </c>
      <c r="W200" s="12"/>
      <c r="X200" s="73">
        <f t="shared" si="55"/>
        <v>38451778.705051288</v>
      </c>
      <c r="Y200" s="73">
        <f t="shared" si="56"/>
        <v>15715362.480316861</v>
      </c>
      <c r="Z200" s="73">
        <f t="shared" si="56"/>
        <v>-27289448.086336218</v>
      </c>
      <c r="AA200" s="12">
        <f t="shared" si="57"/>
        <v>-0.42222256977190836</v>
      </c>
      <c r="AB200" s="114">
        <f t="shared" si="58"/>
        <v>256714.95428879376</v>
      </c>
      <c r="AC200" s="73">
        <f>AB200/SUMIFS(FinParameters!$L$8:$L$39,FinParameters!$B$8:$B$39,Financials!$E200,FinParameters!$C$8:$C$39,Financials!$F200)</f>
        <v>200545.31198949885</v>
      </c>
      <c r="AD200" s="73">
        <f t="shared" si="59"/>
        <v>200545.31198949885</v>
      </c>
      <c r="AE200" s="12"/>
      <c r="AF200" s="73">
        <f t="shared" si="60"/>
        <v>38708493.659340084</v>
      </c>
      <c r="AG200" s="73">
        <f t="shared" si="61"/>
        <v>15915907.79230636</v>
      </c>
      <c r="AH200" s="73">
        <f t="shared" si="61"/>
        <v>-27088902.77434672</v>
      </c>
      <c r="AI200" s="12">
        <f t="shared" si="62"/>
        <v>-0.41911973102207262</v>
      </c>
      <c r="AL200" s="73">
        <f>Summary!G200</f>
        <v>-1639773.4038182318</v>
      </c>
      <c r="AM200" s="73">
        <f>IF(D200&lt;&gt;"avg",SUMIFS(Summary!$H:$H,Summary!$C:$C,Financials!C200,Summary!$E:$E,Financials!E200,Summary!$D:$D,1-Financials!D200,Summary!$F:$F,Financials!F200),SUMIFS(Summary!$H:$H,Summary!$C:$C,Financials!C200,Summary!$E:$E,Financials!E200,Summary!$D:$D,"avg",Summary!$F:$F,Financials!F200))</f>
        <v>-700.95791172732049</v>
      </c>
      <c r="AN200" s="20">
        <f>Summary!I200</f>
        <v>5089294.5124571482</v>
      </c>
      <c r="AP200" s="12">
        <v>1</v>
      </c>
    </row>
    <row r="201" spans="1:42" x14ac:dyDescent="0.3">
      <c r="A201">
        <v>197</v>
      </c>
      <c r="B201" t="str">
        <f>Summary!B201</f>
        <v>MarinusPortland</v>
      </c>
      <c r="C201" t="str">
        <f>Summary!C201</f>
        <v>Wind</v>
      </c>
      <c r="D201" s="104">
        <f>Summary!D201</f>
        <v>0.25</v>
      </c>
      <c r="E201" t="str">
        <f>Summary!E201</f>
        <v>Cal-30</v>
      </c>
      <c r="F201" t="str">
        <f>Summary!F201</f>
        <v>2 Hour Battery</v>
      </c>
      <c r="G201" s="73">
        <f>SUMIFS(AL$5:AL201,$F$5:$F201,$F201,$D$5:$D201,$D201)</f>
        <v>-18793427.677708417</v>
      </c>
      <c r="H201" s="73">
        <f>SUMIFS(AM$5:AM201,$F$5:$F201,$F201,$D$5:$D201,$D201)</f>
        <v>20139124.081415772</v>
      </c>
      <c r="I201" s="20">
        <f>SUMIFS(AN$5:AN201,$F$5:$F201,$F201,$D$5:$D201,$D201)</f>
        <v>36206676.081949398</v>
      </c>
      <c r="J201" s="73">
        <f t="shared" si="48"/>
        <v>36206676.081949398</v>
      </c>
      <c r="K201" s="73">
        <f t="shared" si="49"/>
        <v>17413248.404240981</v>
      </c>
      <c r="L201" s="73">
        <f t="shared" si="50"/>
        <v>37552372.485656753</v>
      </c>
      <c r="M201" s="73">
        <f>-SUMIFS(FinParameters!$E$8:$E$39,FinParameters!$B$8:$B$39,Financials!$E201,FinParameters!$C$8:$C$39,Financials!$F201)</f>
        <v>-9934081.5792673249</v>
      </c>
      <c r="N201" s="73">
        <f>-SUMIFS(FinParameters!$F$8:$F$39,FinParameters!$B$8:$B$39,Financials!$E201,FinParameters!$C$8:$C$39,Financials!$F201)</f>
        <v>-73600000</v>
      </c>
      <c r="O201" s="73">
        <f>SUMIFS(FinParameters!$G$8:$G$39,FinParameters!$B$8:$B$39,Financials!$E201,FinParameters!$C$8:$C$39,Financials!$F201)</f>
        <v>8967149.8397671357</v>
      </c>
      <c r="P201" s="73">
        <f t="shared" si="51"/>
        <v>26272594.502682075</v>
      </c>
      <c r="Q201" s="73">
        <f>P201/SUMIFS(FinParameters!$H$8:$H$39,FinParameters!$B$8:$B$39,Financials!$E201,FinParameters!$C$8:$C$39,Financials!$F201)</f>
        <v>9252800.0009800121</v>
      </c>
      <c r="R201" s="73">
        <f t="shared" si="63"/>
        <v>-38360255.657550789</v>
      </c>
      <c r="S201" s="12">
        <f t="shared" si="52"/>
        <v>-0.59351019740659661</v>
      </c>
      <c r="T201" s="114">
        <f t="shared" si="53"/>
        <v>-18793427.677708417</v>
      </c>
      <c r="U201" s="73">
        <f>T201/SUMIFS(FinParameters!$L$8:$L$39,FinParameters!$B$8:$B$39,Financials!$E201,FinParameters!$C$8:$C$39,Financials!$F201)</f>
        <v>-14681395.664773863</v>
      </c>
      <c r="V201" s="73">
        <f t="shared" si="54"/>
        <v>-14681395.664773863</v>
      </c>
      <c r="W201" s="12"/>
      <c r="X201" s="73">
        <f t="shared" si="55"/>
        <v>7479166.8249736559</v>
      </c>
      <c r="Y201" s="73">
        <f t="shared" si="56"/>
        <v>-5428595.6637938507</v>
      </c>
      <c r="Z201" s="73">
        <f t="shared" si="56"/>
        <v>-53041651.322324648</v>
      </c>
      <c r="AA201" s="12">
        <f t="shared" si="57"/>
        <v>-0.82066087432053214</v>
      </c>
      <c r="AB201" s="114">
        <f t="shared" si="58"/>
        <v>20139124.081415772</v>
      </c>
      <c r="AC201" s="73">
        <f>AB201/SUMIFS(FinParameters!$L$8:$L$39,FinParameters!$B$8:$B$39,Financials!$E201,FinParameters!$C$8:$C$39,Financials!$F201)</f>
        <v>15732651.544558108</v>
      </c>
      <c r="AD201" s="73">
        <f t="shared" si="59"/>
        <v>15732651.544558108</v>
      </c>
      <c r="AE201" s="12"/>
      <c r="AF201" s="73">
        <f t="shared" si="60"/>
        <v>27618290.90638943</v>
      </c>
      <c r="AG201" s="73">
        <f t="shared" si="61"/>
        <v>10304055.880764257</v>
      </c>
      <c r="AH201" s="73">
        <f t="shared" si="61"/>
        <v>-37308999.777766541</v>
      </c>
      <c r="AI201" s="12">
        <f t="shared" si="62"/>
        <v>-0.5772451576137041</v>
      </c>
      <c r="AL201" s="73">
        <f>Summary!G201</f>
        <v>-4181822.0727730361</v>
      </c>
      <c r="AM201" s="73">
        <f>IF(D201&lt;&gt;"avg",SUMIFS(Summary!$H:$H,Summary!$C:$C,Financials!C201,Summary!$E:$E,Financials!E201,Summary!$D:$D,1-Financials!D201,Summary!$F:$F,Financials!F201),SUMIFS(Summary!$H:$H,Summary!$C:$C,Financials!C201,Summary!$E:$E,Financials!E201,Summary!$D:$D,"avg",Summary!$F:$F,Financials!F201))</f>
        <v>2574591.9525325187</v>
      </c>
      <c r="AN201" s="20">
        <f>Summary!I201</f>
        <v>4384009.6056520445</v>
      </c>
      <c r="AP201" s="12">
        <v>1</v>
      </c>
    </row>
    <row r="202" spans="1:42" x14ac:dyDescent="0.3">
      <c r="A202">
        <v>198</v>
      </c>
      <c r="B202" t="str">
        <f>Summary!B202</f>
        <v>MarinusPortland</v>
      </c>
      <c r="C202" t="str">
        <f>Summary!C202</f>
        <v>Wind</v>
      </c>
      <c r="D202" s="104">
        <f>Summary!D202</f>
        <v>0.05</v>
      </c>
      <c r="E202" t="str">
        <f>Summary!E202</f>
        <v>Cal-30</v>
      </c>
      <c r="F202" t="str">
        <f>Summary!F202</f>
        <v>2 Hour Battery</v>
      </c>
      <c r="G202" s="73">
        <f>SUMIFS(AL$5:AL202,$F$5:$F202,$F202,$D$5:$D202,$D202)</f>
        <v>-46991604.301486775</v>
      </c>
      <c r="H202" s="73">
        <f>SUMIFS(AM$5:AM202,$F$5:$F202,$F202,$D$5:$D202,$D202)</f>
        <v>46941266.188538857</v>
      </c>
      <c r="I202" s="20">
        <f>SUMIFS(AN$5:AN202,$F$5:$F202,$F202,$D$5:$D202,$D202)</f>
        <v>27404444.964316685</v>
      </c>
      <c r="J202" s="73">
        <f t="shared" si="48"/>
        <v>27404444.964316685</v>
      </c>
      <c r="K202" s="73">
        <f t="shared" si="49"/>
        <v>-19587159.337170091</v>
      </c>
      <c r="L202" s="73">
        <f t="shared" si="50"/>
        <v>27354106.851368766</v>
      </c>
      <c r="M202" s="73">
        <f>-SUMIFS(FinParameters!$E$8:$E$39,FinParameters!$B$8:$B$39,Financials!$E202,FinParameters!$C$8:$C$39,Financials!$F202)</f>
        <v>-9934081.5792673249</v>
      </c>
      <c r="N202" s="73">
        <f>-SUMIFS(FinParameters!$F$8:$F$39,FinParameters!$B$8:$B$39,Financials!$E202,FinParameters!$C$8:$C$39,Financials!$F202)</f>
        <v>-73600000</v>
      </c>
      <c r="O202" s="73">
        <f>SUMIFS(FinParameters!$G$8:$G$39,FinParameters!$B$8:$B$39,Financials!$E202,FinParameters!$C$8:$C$39,Financials!$F202)</f>
        <v>8967149.8397671357</v>
      </c>
      <c r="P202" s="73">
        <f t="shared" si="51"/>
        <v>17470363.385049358</v>
      </c>
      <c r="Q202" s="73">
        <f>P202/SUMIFS(FinParameters!$H$8:$H$39,FinParameters!$B$8:$B$39,Financials!$E202,FinParameters!$C$8:$C$39,Financials!$F202)</f>
        <v>6152790.8227641406</v>
      </c>
      <c r="R202" s="73">
        <f t="shared" si="63"/>
        <v>-47162486.775183506</v>
      </c>
      <c r="S202" s="12">
        <f t="shared" si="52"/>
        <v>-0.72969839111631074</v>
      </c>
      <c r="T202" s="114">
        <f t="shared" si="53"/>
        <v>-46991604.301486775</v>
      </c>
      <c r="U202" s="73">
        <f>T202/SUMIFS(FinParameters!$L$8:$L$39,FinParameters!$B$8:$B$39,Financials!$E202,FinParameters!$C$8:$C$39,Financials!$F202)</f>
        <v>-36709766.174849287</v>
      </c>
      <c r="V202" s="73">
        <f t="shared" si="54"/>
        <v>-36709766.174849287</v>
      </c>
      <c r="W202" s="12"/>
      <c r="X202" s="73">
        <f t="shared" si="55"/>
        <v>-29521240.916437417</v>
      </c>
      <c r="Y202" s="73">
        <f t="shared" si="56"/>
        <v>-30556975.352085147</v>
      </c>
      <c r="Z202" s="73">
        <f t="shared" si="56"/>
        <v>-83872252.9500328</v>
      </c>
      <c r="AA202" s="12">
        <f t="shared" si="57"/>
        <v>-1.2976722013976341</v>
      </c>
      <c r="AB202" s="114">
        <f t="shared" si="58"/>
        <v>46941266.188538857</v>
      </c>
      <c r="AC202" s="73">
        <f>AB202/SUMIFS(FinParameters!$L$8:$L$39,FinParameters!$B$8:$B$39,Financials!$E202,FinParameters!$C$8:$C$39,Financials!$F202)</f>
        <v>36670442.121468477</v>
      </c>
      <c r="AD202" s="73">
        <f t="shared" si="59"/>
        <v>36670442.121468477</v>
      </c>
      <c r="AE202" s="12"/>
      <c r="AF202" s="73">
        <f t="shared" si="60"/>
        <v>17420025.27210144</v>
      </c>
      <c r="AG202" s="73">
        <f t="shared" si="61"/>
        <v>6113466.7693833299</v>
      </c>
      <c r="AH202" s="73">
        <f t="shared" si="61"/>
        <v>-47201810.828564323</v>
      </c>
      <c r="AI202" s="12">
        <f t="shared" si="62"/>
        <v>-0.73030681320017876</v>
      </c>
      <c r="AL202" s="73">
        <f>Summary!G202</f>
        <v>-7563644.1725519486</v>
      </c>
      <c r="AM202" s="73">
        <f>IF(D202&lt;&gt;"avg",SUMIFS(Summary!$H:$H,Summary!$C:$C,Financials!C202,Summary!$E:$E,Financials!E202,Summary!$D:$D,1-Financials!D202,Summary!$F:$F,Financials!F202),SUMIFS(Summary!$H:$H,Summary!$C:$C,Financials!C202,Summary!$E:$E,Financials!E202,Summary!$D:$D,"avg",Summary!$F:$F,Financials!F202))</f>
        <v>5897538.5327206925</v>
      </c>
      <c r="AN202" s="20">
        <f>Summary!I202</f>
        <v>3394967.8219670714</v>
      </c>
      <c r="AP202" s="12">
        <v>1</v>
      </c>
    </row>
    <row r="203" spans="1:42" x14ac:dyDescent="0.3">
      <c r="A203">
        <v>199</v>
      </c>
      <c r="B203" t="str">
        <f>Summary!B203</f>
        <v>MarinusPortland</v>
      </c>
      <c r="C203" t="str">
        <f>Summary!C203</f>
        <v>Wind</v>
      </c>
      <c r="D203" s="104">
        <f>Summary!D203</f>
        <v>0</v>
      </c>
      <c r="E203" t="str">
        <f>Summary!E203</f>
        <v>Cal-30</v>
      </c>
      <c r="F203" t="str">
        <f>Summary!F203</f>
        <v>2 Hour Battery</v>
      </c>
      <c r="G203" s="73">
        <f>SUMIFS(AL$5:AL203,$F$5:$F203,$F203,$D$5:$D203,$D203)</f>
        <v>-89507083.268514484</v>
      </c>
      <c r="H203" s="73">
        <f>SUMIFS(AM$5:AM203,$F$5:$F203,$F203,$D$5:$D203,$D203)</f>
        <v>100726250.4022548</v>
      </c>
      <c r="I203" s="20">
        <f>SUMIFS(AN$5:AN203,$F$5:$F203,$F203,$D$5:$D203,$D203)</f>
        <v>14210841.137110919</v>
      </c>
      <c r="J203" s="73">
        <f t="shared" si="48"/>
        <v>14210841.137110919</v>
      </c>
      <c r="K203" s="73">
        <f t="shared" si="49"/>
        <v>-75296242.131403565</v>
      </c>
      <c r="L203" s="73">
        <f t="shared" si="50"/>
        <v>25430008.27085124</v>
      </c>
      <c r="M203" s="73">
        <f>-SUMIFS(FinParameters!$E$8:$E$39,FinParameters!$B$8:$B$39,Financials!$E203,FinParameters!$C$8:$C$39,Financials!$F203)</f>
        <v>-9934081.5792673249</v>
      </c>
      <c r="N203" s="73">
        <f>-SUMIFS(FinParameters!$F$8:$F$39,FinParameters!$B$8:$B$39,Financials!$E203,FinParameters!$C$8:$C$39,Financials!$F203)</f>
        <v>-73600000</v>
      </c>
      <c r="O203" s="73">
        <f>SUMIFS(FinParameters!$G$8:$G$39,FinParameters!$B$8:$B$39,Financials!$E203,FinParameters!$C$8:$C$39,Financials!$F203)</f>
        <v>8967149.8397671357</v>
      </c>
      <c r="P203" s="73">
        <f t="shared" si="51"/>
        <v>4276759.5578435939</v>
      </c>
      <c r="Q203" s="73">
        <f>P203/SUMIFS(FinParameters!$H$8:$H$39,FinParameters!$B$8:$B$39,Financials!$E203,FinParameters!$C$8:$C$39,Financials!$F203)</f>
        <v>1506208.335722866</v>
      </c>
      <c r="R203" s="73">
        <f t="shared" si="63"/>
        <v>-60356090.602389269</v>
      </c>
      <c r="S203" s="12">
        <f t="shared" si="52"/>
        <v>-0.93382994023563903</v>
      </c>
      <c r="T203" s="114">
        <f t="shared" si="53"/>
        <v>-89507083.268514484</v>
      </c>
      <c r="U203" s="73">
        <f>T203/SUMIFS(FinParameters!$L$8:$L$39,FinParameters!$B$8:$B$39,Financials!$E203,FinParameters!$C$8:$C$39,Financials!$F203)</f>
        <v>-69922790.392495111</v>
      </c>
      <c r="V203" s="73">
        <f t="shared" si="54"/>
        <v>-69922790.392495111</v>
      </c>
      <c r="W203" s="12"/>
      <c r="X203" s="73">
        <f t="shared" si="55"/>
        <v>-85230323.710670888</v>
      </c>
      <c r="Y203" s="73">
        <f t="shared" si="56"/>
        <v>-68416582.056772247</v>
      </c>
      <c r="Z203" s="73">
        <f t="shared" si="56"/>
        <v>-130278880.99488437</v>
      </c>
      <c r="AA203" s="12">
        <f t="shared" si="57"/>
        <v>-2.0156759398959947</v>
      </c>
      <c r="AB203" s="114">
        <f t="shared" si="58"/>
        <v>100726250.4022548</v>
      </c>
      <c r="AC203" s="73">
        <f>AB203/SUMIFS(FinParameters!$L$8:$L$39,FinParameters!$B$8:$B$39,Financials!$E203,FinParameters!$C$8:$C$39,Financials!$F203)</f>
        <v>78687185.826066852</v>
      </c>
      <c r="AD203" s="73">
        <f t="shared" si="59"/>
        <v>78687185.826066852</v>
      </c>
      <c r="AE203" s="12"/>
      <c r="AF203" s="73">
        <f t="shared" si="60"/>
        <v>15495926.691583917</v>
      </c>
      <c r="AG203" s="73">
        <f t="shared" si="61"/>
        <v>10270603.769294605</v>
      </c>
      <c r="AH203" s="73">
        <f t="shared" si="61"/>
        <v>-51591695.16881752</v>
      </c>
      <c r="AI203" s="12">
        <f t="shared" si="62"/>
        <v>-0.79822714054718769</v>
      </c>
      <c r="AL203" s="73">
        <f>Summary!G203</f>
        <v>-10923820.989063902</v>
      </c>
      <c r="AM203" s="73">
        <f>IF(D203&lt;&gt;"avg",SUMIFS(Summary!$H:$H,Summary!$C:$C,Financials!C203,Summary!$E:$E,Financials!E203,Summary!$D:$D,1-Financials!D203,Summary!$F:$F,Financials!F203),SUMIFS(Summary!$H:$H,Summary!$C:$C,Financials!C203,Summary!$E:$E,Financials!E203,Summary!$D:$D,"avg",Summary!$F:$F,Financials!F203))</f>
        <v>11597644.230425859</v>
      </c>
      <c r="AN203" s="20">
        <f>Summary!I203</f>
        <v>2118761.4797541914</v>
      </c>
      <c r="AP203" s="12">
        <v>1</v>
      </c>
    </row>
    <row r="204" spans="1:42" x14ac:dyDescent="0.3">
      <c r="A204">
        <v>200</v>
      </c>
      <c r="B204" t="str">
        <f>Summary!B204</f>
        <v>MarinusPortland</v>
      </c>
      <c r="C204" t="str">
        <f>Summary!C204</f>
        <v>Wind</v>
      </c>
      <c r="D204" s="104" t="str">
        <f>Summary!D204</f>
        <v>avg</v>
      </c>
      <c r="E204" t="str">
        <f>Summary!E204</f>
        <v>Cal-30</v>
      </c>
      <c r="F204" t="str">
        <f>Summary!F204</f>
        <v>2 Hour Battery</v>
      </c>
      <c r="G204" s="73">
        <f>SUMIFS(AL$5:AL204,$F$5:$F204,$F204,$D$5:$D204,$D204)</f>
        <v>12038840.809244731</v>
      </c>
      <c r="H204" s="73">
        <f>SUMIFS(AM$5:AM204,$F$5:$F204,$F204,$D$5:$D204,$D204)</f>
        <v>-1176843.1437183905</v>
      </c>
      <c r="I204" s="20">
        <f>SUMIFS(AN$5:AN204,$F$5:$F204,$F204,$D$5:$D204,$D204)</f>
        <v>43839275.941203117</v>
      </c>
      <c r="J204" s="73">
        <f t="shared" si="48"/>
        <v>43839275.941203117</v>
      </c>
      <c r="K204" s="73">
        <f t="shared" si="49"/>
        <v>55878116.750447847</v>
      </c>
      <c r="L204" s="73">
        <f t="shared" si="50"/>
        <v>54701273.606729463</v>
      </c>
      <c r="M204" s="73">
        <f>-SUMIFS(FinParameters!$E$8:$E$39,FinParameters!$B$8:$B$39,Financials!$E204,FinParameters!$C$8:$C$39,Financials!$F204)</f>
        <v>-9934081.5792673249</v>
      </c>
      <c r="N204" s="73">
        <f>-SUMIFS(FinParameters!$F$8:$F$39,FinParameters!$B$8:$B$39,Financials!$E204,FinParameters!$C$8:$C$39,Financials!$F204)</f>
        <v>-73600000</v>
      </c>
      <c r="O204" s="73">
        <f>SUMIFS(FinParameters!$G$8:$G$39,FinParameters!$B$8:$B$39,Financials!$E204,FinParameters!$C$8:$C$39,Financials!$F204)</f>
        <v>8967149.8397671357</v>
      </c>
      <c r="P204" s="73">
        <f t="shared" si="51"/>
        <v>33905194.361935794</v>
      </c>
      <c r="Q204" s="73">
        <f>P204/SUMIFS(FinParameters!$H$8:$H$39,FinParameters!$B$8:$B$39,Financials!$E204,FinParameters!$C$8:$C$39,Financials!$F204)</f>
        <v>11940883.204105353</v>
      </c>
      <c r="R204" s="73">
        <f t="shared" si="63"/>
        <v>-30727655.79829707</v>
      </c>
      <c r="S204" s="12">
        <f t="shared" si="52"/>
        <v>-0.47541854834065639</v>
      </c>
      <c r="T204" s="114">
        <f t="shared" si="53"/>
        <v>12038840.809244731</v>
      </c>
      <c r="U204" s="73">
        <f>T204/SUMIFS(FinParameters!$L$8:$L$39,FinParameters!$B$8:$B$39,Financials!$E204,FinParameters!$C$8:$C$39,Financials!$F204)</f>
        <v>9404723.1988124456</v>
      </c>
      <c r="V204" s="73">
        <f t="shared" si="54"/>
        <v>9404723.1988124456</v>
      </c>
      <c r="W204" s="12"/>
      <c r="X204" s="73">
        <f t="shared" si="55"/>
        <v>45944035.171180524</v>
      </c>
      <c r="Y204" s="73">
        <f t="shared" si="56"/>
        <v>21345606.402917799</v>
      </c>
      <c r="Z204" s="73">
        <f t="shared" si="56"/>
        <v>-21322932.599484622</v>
      </c>
      <c r="AA204" s="12">
        <f t="shared" si="57"/>
        <v>-0.32990859209554313</v>
      </c>
      <c r="AB204" s="114">
        <f t="shared" si="58"/>
        <v>-1176843.1437183905</v>
      </c>
      <c r="AC204" s="73">
        <f>AB204/SUMIFS(FinParameters!$L$8:$L$39,FinParameters!$B$8:$B$39,Financials!$E204,FinParameters!$C$8:$C$39,Financials!$F204)</f>
        <v>-919347.98295468709</v>
      </c>
      <c r="AD204" s="73">
        <f t="shared" si="59"/>
        <v>-919347.98295468709</v>
      </c>
      <c r="AE204" s="12"/>
      <c r="AF204" s="73">
        <f t="shared" si="60"/>
        <v>44767192.027462132</v>
      </c>
      <c r="AG204" s="73">
        <f t="shared" si="61"/>
        <v>20426258.41996311</v>
      </c>
      <c r="AH204" s="73">
        <f t="shared" si="61"/>
        <v>-22242280.582439311</v>
      </c>
      <c r="AI204" s="12">
        <f t="shared" si="62"/>
        <v>-0.3441327518018768</v>
      </c>
      <c r="AL204" s="73">
        <f>Summary!G204</f>
        <v>-1093677.876296662</v>
      </c>
      <c r="AM204" s="73">
        <f>IF(D204&lt;&gt;"avg",SUMIFS(Summary!$H:$H,Summary!$C:$C,Financials!C204,Summary!$E:$E,Financials!E204,Summary!$D:$D,1-Financials!D204,Summary!$F:$F,Financials!F204),SUMIFS(Summary!$H:$H,Summary!$C:$C,Financials!C204,Summary!$E:$E,Financials!E204,Summary!$D:$D,"avg",Summary!$F:$F,Financials!F204))</f>
        <v>-220152.29276093279</v>
      </c>
      <c r="AN204" s="20">
        <f>Summary!I204</f>
        <v>5125146.0504483571</v>
      </c>
      <c r="AP204" s="12">
        <v>1</v>
      </c>
    </row>
    <row r="205" spans="1:42" x14ac:dyDescent="0.3">
      <c r="A205">
        <v>201</v>
      </c>
      <c r="B205" t="str">
        <f>Summary!B205</f>
        <v>MarinusPortland</v>
      </c>
      <c r="C205" t="str">
        <f>Summary!C205</f>
        <v>Wind</v>
      </c>
      <c r="D205" s="104">
        <f>Summary!D205</f>
        <v>1</v>
      </c>
      <c r="E205" t="str">
        <f>Summary!E205</f>
        <v>Cal-31</v>
      </c>
      <c r="F205" t="str">
        <f>Summary!F205</f>
        <v>2 Hour Battery</v>
      </c>
      <c r="G205" s="73">
        <f>SUMIFS(AL$5:AL205,$F$5:$F205,$F205,$D$5:$D205,$D205)</f>
        <v>201637693.26298553</v>
      </c>
      <c r="H205" s="73">
        <f>SUMIFS(AM$5:AM205,$F$5:$F205,$F205,$D$5:$D205,$D205)</f>
        <v>-149196053.82595423</v>
      </c>
      <c r="I205" s="20">
        <f>SUMIFS(AN$5:AN205,$F$5:$F205,$F205,$D$5:$D205,$D205)</f>
        <v>103627066.1042224</v>
      </c>
      <c r="J205" s="73">
        <f t="shared" si="48"/>
        <v>103627066.1042224</v>
      </c>
      <c r="K205" s="73">
        <f t="shared" si="49"/>
        <v>305264759.36720794</v>
      </c>
      <c r="L205" s="73">
        <f t="shared" si="50"/>
        <v>156068705.54125369</v>
      </c>
      <c r="M205" s="73">
        <f>-SUMIFS(FinParameters!$E$8:$E$39,FinParameters!$B$8:$B$39,Financials!$E205,FinParameters!$C$8:$C$39,Financials!$F205)</f>
        <v>-10971183.618749008</v>
      </c>
      <c r="N205" s="73">
        <f>-SUMIFS(FinParameters!$F$8:$F$39,FinParameters!$B$8:$B$39,Financials!$E205,FinParameters!$C$8:$C$39,Financials!$F205)</f>
        <v>-73600000</v>
      </c>
      <c r="O205" s="73">
        <f>SUMIFS(FinParameters!$G$8:$G$39,FinParameters!$B$8:$B$39,Financials!$E205,FinParameters!$C$8:$C$39,Financials!$F205)</f>
        <v>7423332.3282346334</v>
      </c>
      <c r="P205" s="73">
        <f t="shared" si="51"/>
        <v>92655882.485473394</v>
      </c>
      <c r="Q205" s="73">
        <f>P205/SUMIFS(FinParameters!$H$8:$H$39,FinParameters!$B$8:$B$39,Financials!$E205,FinParameters!$C$8:$C$39,Financials!$F205)</f>
        <v>29398165.476157397</v>
      </c>
      <c r="R205" s="73">
        <f t="shared" si="63"/>
        <v>26479214.81370803</v>
      </c>
      <c r="S205" s="12">
        <f t="shared" si="52"/>
        <v>0.40012916553979844</v>
      </c>
      <c r="T205" s="114">
        <f t="shared" si="53"/>
        <v>201637693.26298553</v>
      </c>
      <c r="U205" s="73">
        <f>T205/SUMIFS(FinParameters!$L$8:$L$39,FinParameters!$B$8:$B$39,Financials!$E205,FinParameters!$C$8:$C$39,Financials!$F205)</f>
        <v>153677115.80947</v>
      </c>
      <c r="V205" s="73">
        <f t="shared" si="54"/>
        <v>153677115.80947</v>
      </c>
      <c r="W205" s="12"/>
      <c r="X205" s="73">
        <f t="shared" si="55"/>
        <v>294293575.74845892</v>
      </c>
      <c r="Y205" s="73">
        <f t="shared" si="56"/>
        <v>183075281.28562739</v>
      </c>
      <c r="Z205" s="73">
        <f t="shared" si="56"/>
        <v>180156330.62317804</v>
      </c>
      <c r="AA205" s="12">
        <f t="shared" si="57"/>
        <v>2.7223542218346348</v>
      </c>
      <c r="AB205" s="114">
        <f t="shared" si="58"/>
        <v>-149196053.82595423</v>
      </c>
      <c r="AC205" s="73">
        <f>AB205/SUMIFS(FinParameters!$L$8:$L$39,FinParameters!$B$8:$B$39,Financials!$E205,FinParameters!$C$8:$C$39,Financials!$F205)</f>
        <v>-113708993.94402052</v>
      </c>
      <c r="AD205" s="73">
        <f t="shared" si="59"/>
        <v>-113708993.94402052</v>
      </c>
      <c r="AE205" s="12"/>
      <c r="AF205" s="73">
        <f t="shared" si="60"/>
        <v>145097521.92250469</v>
      </c>
      <c r="AG205" s="73">
        <f t="shared" si="61"/>
        <v>69366287.34160687</v>
      </c>
      <c r="AH205" s="73">
        <f t="shared" si="61"/>
        <v>66447336.67915751</v>
      </c>
      <c r="AI205" s="12">
        <f t="shared" si="62"/>
        <v>1.0040900972641091</v>
      </c>
      <c r="AL205" s="73">
        <f>Summary!G205</f>
        <v>19903436.755312122</v>
      </c>
      <c r="AM205" s="73">
        <f>IF(D205&lt;&gt;"avg",SUMIFS(Summary!$H:$H,Summary!$C:$C,Financials!C205,Summary!$E:$E,Financials!E205,Summary!$D:$D,1-Financials!D205,Summary!$F:$F,Financials!F205),SUMIFS(Summary!$H:$H,Summary!$C:$C,Financials!C205,Summary!$E:$E,Financials!E205,Summary!$D:$D,"avg",Summary!$F:$F,Financials!F205))</f>
        <v>-18861587.799728066</v>
      </c>
      <c r="AN205" s="20">
        <f>Summary!I205</f>
        <v>11527514.153449893</v>
      </c>
      <c r="AP205" s="12">
        <v>1</v>
      </c>
    </row>
    <row r="206" spans="1:42" x14ac:dyDescent="0.3">
      <c r="A206">
        <v>202</v>
      </c>
      <c r="B206" t="str">
        <f>Summary!B206</f>
        <v>MarinusPortland</v>
      </c>
      <c r="C206" t="str">
        <f>Summary!C206</f>
        <v>Wind</v>
      </c>
      <c r="D206" s="104">
        <f>Summary!D206</f>
        <v>0.95</v>
      </c>
      <c r="E206" t="str">
        <f>Summary!E206</f>
        <v>Cal-31</v>
      </c>
      <c r="F206" t="str">
        <f>Summary!F206</f>
        <v>2 Hour Battery</v>
      </c>
      <c r="G206" s="73">
        <f>SUMIFS(AL$5:AL206,$F$5:$F206,$F206,$D$5:$D206,$D206)</f>
        <v>97737785.06924057</v>
      </c>
      <c r="H206" s="73">
        <f>SUMIFS(AM$5:AM206,$F$5:$F206,$F206,$D$5:$D206,$D206)</f>
        <v>-62707861.606753163</v>
      </c>
      <c r="I206" s="20">
        <f>SUMIFS(AN$5:AN206,$F$5:$F206,$F206,$D$5:$D206,$D206)</f>
        <v>70868001.918407753</v>
      </c>
      <c r="J206" s="73">
        <f t="shared" si="48"/>
        <v>70868001.918407753</v>
      </c>
      <c r="K206" s="73">
        <f t="shared" si="49"/>
        <v>168605786.98764831</v>
      </c>
      <c r="L206" s="73">
        <f t="shared" si="50"/>
        <v>105897925.38089517</v>
      </c>
      <c r="M206" s="73">
        <f>-SUMIFS(FinParameters!$E$8:$E$39,FinParameters!$B$8:$B$39,Financials!$E206,FinParameters!$C$8:$C$39,Financials!$F206)</f>
        <v>-10971183.618749008</v>
      </c>
      <c r="N206" s="73">
        <f>-SUMIFS(FinParameters!$F$8:$F$39,FinParameters!$B$8:$B$39,Financials!$E206,FinParameters!$C$8:$C$39,Financials!$F206)</f>
        <v>-73600000</v>
      </c>
      <c r="O206" s="73">
        <f>SUMIFS(FinParameters!$G$8:$G$39,FinParameters!$B$8:$B$39,Financials!$E206,FinParameters!$C$8:$C$39,Financials!$F206)</f>
        <v>7423332.3282346334</v>
      </c>
      <c r="P206" s="73">
        <f t="shared" si="51"/>
        <v>59896818.299658746</v>
      </c>
      <c r="Q206" s="73">
        <f>P206/SUMIFS(FinParameters!$H$8:$H$39,FinParameters!$B$8:$B$39,Financials!$E206,FinParameters!$C$8:$C$39,Financials!$F206)</f>
        <v>19004261.020823665</v>
      </c>
      <c r="R206" s="73">
        <f t="shared" si="63"/>
        <v>-6279849.372106621</v>
      </c>
      <c r="S206" s="12">
        <f t="shared" si="52"/>
        <v>-9.4895219010641615E-2</v>
      </c>
      <c r="T206" s="114">
        <f t="shared" si="53"/>
        <v>97737785.06924057</v>
      </c>
      <c r="U206" s="73">
        <f>T206/SUMIFS(FinParameters!$L$8:$L$39,FinParameters!$B$8:$B$39,Financials!$E206,FinParameters!$C$8:$C$39,Financials!$F206)</f>
        <v>74490342.911515504</v>
      </c>
      <c r="V206" s="73">
        <f t="shared" si="54"/>
        <v>74490342.911515504</v>
      </c>
      <c r="W206" s="12"/>
      <c r="X206" s="73">
        <f t="shared" si="55"/>
        <v>157634603.36889929</v>
      </c>
      <c r="Y206" s="73">
        <f t="shared" si="56"/>
        <v>93494603.932339162</v>
      </c>
      <c r="Z206" s="73">
        <f t="shared" si="56"/>
        <v>68210493.539408877</v>
      </c>
      <c r="AA206" s="12">
        <f t="shared" si="57"/>
        <v>1.0307332771382693</v>
      </c>
      <c r="AB206" s="114">
        <f t="shared" si="58"/>
        <v>-62707861.606753163</v>
      </c>
      <c r="AC206" s="73">
        <f>AB206/SUMIFS(FinParameters!$L$8:$L$39,FinParameters!$B$8:$B$39,Financials!$E206,FinParameters!$C$8:$C$39,Financials!$F206)</f>
        <v>-47792469.524715781</v>
      </c>
      <c r="AD206" s="73">
        <f t="shared" si="59"/>
        <v>-47792469.524715781</v>
      </c>
      <c r="AE206" s="12"/>
      <c r="AF206" s="73">
        <f t="shared" si="60"/>
        <v>94926741.762146115</v>
      </c>
      <c r="AG206" s="73">
        <f t="shared" si="61"/>
        <v>45702134.40762338</v>
      </c>
      <c r="AH206" s="73">
        <f t="shared" si="61"/>
        <v>20418024.014693096</v>
      </c>
      <c r="AI206" s="12">
        <f t="shared" si="62"/>
        <v>0.30853811068224213</v>
      </c>
      <c r="AL206" s="73">
        <f>Summary!G206</f>
        <v>6988277.3993282923</v>
      </c>
      <c r="AM206" s="73">
        <f>IF(D206&lt;&gt;"avg",SUMIFS(Summary!$H:$H,Summary!$C:$C,Financials!C206,Summary!$E:$E,Financials!E206,Summary!$D:$D,1-Financials!D206,Summary!$F:$F,Financials!F206),SUMIFS(Summary!$H:$H,Summary!$C:$C,Financials!C206,Summary!$E:$E,Financials!E206,Summary!$D:$D,"avg",Summary!$F:$F,Financials!F206))</f>
        <v>-8700319.4330287892</v>
      </c>
      <c r="AN206" s="20">
        <f>Summary!I206</f>
        <v>8083934.4236847097</v>
      </c>
      <c r="AP206" s="12">
        <v>1</v>
      </c>
    </row>
    <row r="207" spans="1:42" x14ac:dyDescent="0.3">
      <c r="A207">
        <v>203</v>
      </c>
      <c r="B207" t="str">
        <f>Summary!B207</f>
        <v>MarinusPortland</v>
      </c>
      <c r="C207" t="str">
        <f>Summary!C207</f>
        <v>Wind</v>
      </c>
      <c r="D207" s="104">
        <f>Summary!D207</f>
        <v>0.75</v>
      </c>
      <c r="E207" t="str">
        <f>Summary!E207</f>
        <v>Cal-31</v>
      </c>
      <c r="F207" t="str">
        <f>Summary!F207</f>
        <v>2 Hour Battery</v>
      </c>
      <c r="G207" s="73">
        <f>SUMIFS(AL$5:AL207,$F$5:$F207,$F207,$D$5:$D207,$D207)</f>
        <v>41062375.718592227</v>
      </c>
      <c r="H207" s="73">
        <f>SUMIFS(AM$5:AM207,$F$5:$F207,$F207,$D$5:$D207,$D207)</f>
        <v>-24602043.565935627</v>
      </c>
      <c r="I207" s="20">
        <f>SUMIFS(AN$5:AN207,$F$5:$F207,$F207,$D$5:$D207,$D207)</f>
        <v>57776536.935666852</v>
      </c>
      <c r="J207" s="73">
        <f t="shared" si="48"/>
        <v>57776536.935666852</v>
      </c>
      <c r="K207" s="73">
        <f t="shared" si="49"/>
        <v>98838912.654259086</v>
      </c>
      <c r="L207" s="73">
        <f t="shared" si="50"/>
        <v>74236869.088323444</v>
      </c>
      <c r="M207" s="73">
        <f>-SUMIFS(FinParameters!$E$8:$E$39,FinParameters!$B$8:$B$39,Financials!$E207,FinParameters!$C$8:$C$39,Financials!$F207)</f>
        <v>-10971183.618749008</v>
      </c>
      <c r="N207" s="73">
        <f>-SUMIFS(FinParameters!$F$8:$F$39,FinParameters!$B$8:$B$39,Financials!$E207,FinParameters!$C$8:$C$39,Financials!$F207)</f>
        <v>-73600000</v>
      </c>
      <c r="O207" s="73">
        <f>SUMIFS(FinParameters!$G$8:$G$39,FinParameters!$B$8:$B$39,Financials!$E207,FinParameters!$C$8:$C$39,Financials!$F207)</f>
        <v>7423332.3282346334</v>
      </c>
      <c r="P207" s="73">
        <f t="shared" si="51"/>
        <v>46805353.316917844</v>
      </c>
      <c r="Q207" s="73">
        <f>P207/SUMIFS(FinParameters!$H$8:$H$39,FinParameters!$B$8:$B$39,Financials!$E207,FinParameters!$C$8:$C$39,Financials!$F207)</f>
        <v>14850557.62321935</v>
      </c>
      <c r="R207" s="73">
        <f t="shared" si="63"/>
        <v>-19371314.354847521</v>
      </c>
      <c r="S207" s="12">
        <f t="shared" si="52"/>
        <v>-0.29272121181635741</v>
      </c>
      <c r="T207" s="114">
        <f t="shared" si="53"/>
        <v>41062375.718592227</v>
      </c>
      <c r="U207" s="73">
        <f>T207/SUMIFS(FinParameters!$L$8:$L$39,FinParameters!$B$8:$B$39,Financials!$E207,FinParameters!$C$8:$C$39,Financials!$F207)</f>
        <v>31295475.397488356</v>
      </c>
      <c r="V207" s="73">
        <f t="shared" si="54"/>
        <v>31295475.397488356</v>
      </c>
      <c r="W207" s="12"/>
      <c r="X207" s="73">
        <f t="shared" si="55"/>
        <v>87867729.035510078</v>
      </c>
      <c r="Y207" s="73">
        <f t="shared" si="56"/>
        <v>46146033.020707704</v>
      </c>
      <c r="Z207" s="73">
        <f t="shared" si="56"/>
        <v>11924161.042640835</v>
      </c>
      <c r="AA207" s="12">
        <f t="shared" si="57"/>
        <v>0.18018678579865005</v>
      </c>
      <c r="AB207" s="114">
        <f t="shared" si="58"/>
        <v>-24602043.565935627</v>
      </c>
      <c r="AC207" s="73">
        <f>AB207/SUMIFS(FinParameters!$L$8:$L$39,FinParameters!$B$8:$B$39,Financials!$E207,FinParameters!$C$8:$C$39,Financials!$F207)</f>
        <v>-18750319.134532318</v>
      </c>
      <c r="AD207" s="73">
        <f t="shared" si="59"/>
        <v>-18750319.134532318</v>
      </c>
      <c r="AE207" s="12"/>
      <c r="AF207" s="73">
        <f t="shared" si="60"/>
        <v>63265685.469574451</v>
      </c>
      <c r="AG207" s="73">
        <f t="shared" si="61"/>
        <v>27395713.886175387</v>
      </c>
      <c r="AH207" s="73">
        <f t="shared" si="61"/>
        <v>-6826158.0918914825</v>
      </c>
      <c r="AI207" s="12">
        <f t="shared" si="62"/>
        <v>-0.10315052619072719</v>
      </c>
      <c r="AL207" s="73">
        <f>Summary!G207</f>
        <v>2009461.7223529855</v>
      </c>
      <c r="AM207" s="73">
        <f>IF(D207&lt;&gt;"avg",SUMIFS(Summary!$H:$H,Summary!$C:$C,Financials!C207,Summary!$E:$E,Financials!E207,Summary!$D:$D,1-Financials!D207,Summary!$F:$F,Financials!F207),SUMIFS(Summary!$H:$H,Summary!$C:$C,Financials!C207,Summary!$E:$E,Financials!E207,Summary!$D:$D,"avg",Summary!$F:$F,Financials!F207))</f>
        <v>-3391208.5692786914</v>
      </c>
      <c r="AN207" s="20">
        <f>Summary!I207</f>
        <v>6830124.3862093715</v>
      </c>
      <c r="AP207" s="12">
        <v>1</v>
      </c>
    </row>
    <row r="208" spans="1:42" x14ac:dyDescent="0.3">
      <c r="A208">
        <v>204</v>
      </c>
      <c r="B208" t="str">
        <f>Summary!B208</f>
        <v>MarinusPortland</v>
      </c>
      <c r="C208" t="str">
        <f>Summary!C208</f>
        <v>Wind</v>
      </c>
      <c r="D208" s="104">
        <f>Summary!D208</f>
        <v>0.5</v>
      </c>
      <c r="E208" t="str">
        <f>Summary!E208</f>
        <v>Cal-31</v>
      </c>
      <c r="F208" t="str">
        <f>Summary!F208</f>
        <v>2 Hour Battery</v>
      </c>
      <c r="G208" s="73">
        <f>SUMIFS(AL$5:AL208,$F$5:$F208,$F208,$D$5:$D208,$D208)</f>
        <v>3734156.266877885</v>
      </c>
      <c r="H208" s="73">
        <f>SUMIFS(AM$5:AM208,$F$5:$F208,$F208,$D$5:$D208,$D208)</f>
        <v>256140.70532760385</v>
      </c>
      <c r="I208" s="20">
        <f>SUMIFS(AN$5:AN208,$F$5:$F208,$F208,$D$5:$D208,$D208)</f>
        <v>49242670.321854658</v>
      </c>
      <c r="J208" s="73">
        <f t="shared" si="48"/>
        <v>49242670.321854658</v>
      </c>
      <c r="K208" s="73">
        <f t="shared" si="49"/>
        <v>52976826.588732541</v>
      </c>
      <c r="L208" s="73">
        <f t="shared" si="50"/>
        <v>53232967.294060148</v>
      </c>
      <c r="M208" s="73">
        <f>-SUMIFS(FinParameters!$E$8:$E$39,FinParameters!$B$8:$B$39,Financials!$E208,FinParameters!$C$8:$C$39,Financials!$F208)</f>
        <v>-10971183.618749008</v>
      </c>
      <c r="N208" s="73">
        <f>-SUMIFS(FinParameters!$F$8:$F$39,FinParameters!$B$8:$B$39,Financials!$E208,FinParameters!$C$8:$C$39,Financials!$F208)</f>
        <v>-73600000</v>
      </c>
      <c r="O208" s="73">
        <f>SUMIFS(FinParameters!$G$8:$G$39,FinParameters!$B$8:$B$39,Financials!$E208,FinParameters!$C$8:$C$39,Financials!$F208)</f>
        <v>7423332.3282346334</v>
      </c>
      <c r="P208" s="73">
        <f t="shared" si="51"/>
        <v>38271486.703105651</v>
      </c>
      <c r="Q208" s="73">
        <f>P208/SUMIFS(FinParameters!$H$8:$H$39,FinParameters!$B$8:$B$39,Financials!$E208,FinParameters!$C$8:$C$39,Financials!$F208)</f>
        <v>12142904.140952438</v>
      </c>
      <c r="R208" s="73">
        <f t="shared" si="63"/>
        <v>-27905180.968659714</v>
      </c>
      <c r="S208" s="12">
        <f t="shared" si="52"/>
        <v>-0.42167703437514747</v>
      </c>
      <c r="T208" s="114">
        <f t="shared" si="53"/>
        <v>3734156.266877885</v>
      </c>
      <c r="U208" s="73">
        <f>T208/SUMIFS(FinParameters!$L$8:$L$39,FinParameters!$B$8:$B$39,Financials!$E208,FinParameters!$C$8:$C$39,Financials!$F208)</f>
        <v>2845967.7146137683</v>
      </c>
      <c r="V208" s="73">
        <f t="shared" si="54"/>
        <v>2845967.7146137683</v>
      </c>
      <c r="W208" s="12"/>
      <c r="X208" s="73">
        <f t="shared" si="55"/>
        <v>42005642.969983533</v>
      </c>
      <c r="Y208" s="73">
        <f t="shared" si="56"/>
        <v>14988871.855566207</v>
      </c>
      <c r="Z208" s="73">
        <f t="shared" si="56"/>
        <v>-25059213.254045945</v>
      </c>
      <c r="AA208" s="12">
        <f t="shared" si="57"/>
        <v>-0.37867142809817839</v>
      </c>
      <c r="AB208" s="114">
        <f t="shared" si="58"/>
        <v>256140.70532760385</v>
      </c>
      <c r="AC208" s="73">
        <f>AB208/SUMIFS(FinParameters!$L$8:$L$39,FinParameters!$B$8:$B$39,Financials!$E208,FinParameters!$C$8:$C$39,Financials!$F208)</f>
        <v>195216.30206714597</v>
      </c>
      <c r="AD208" s="73">
        <f t="shared" si="59"/>
        <v>195216.30206714597</v>
      </c>
      <c r="AE208" s="12"/>
      <c r="AF208" s="73">
        <f t="shared" si="60"/>
        <v>42261783.675311133</v>
      </c>
      <c r="AG208" s="73">
        <f t="shared" si="61"/>
        <v>15184088.157633353</v>
      </c>
      <c r="AH208" s="73">
        <f t="shared" si="61"/>
        <v>-24863996.951978799</v>
      </c>
      <c r="AI208" s="12">
        <f t="shared" si="62"/>
        <v>-0.37572150165226825</v>
      </c>
      <c r="AL208" s="73">
        <f>Summary!G208</f>
        <v>-1331513.4535291225</v>
      </c>
      <c r="AM208" s="73">
        <f>IF(D208&lt;&gt;"avg",SUMIFS(Summary!$H:$H,Summary!$C:$C,Financials!C208,Summary!$E:$E,Financials!E208,Summary!$D:$D,1-Financials!D208,Summary!$F:$F,Financials!F208),SUMIFS(Summary!$H:$H,Summary!$C:$C,Financials!C208,Summary!$E:$E,Financials!E208,Summary!$D:$D,"avg",Summary!$F:$F,Financials!F208))</f>
        <v>-574.24896118991023</v>
      </c>
      <c r="AN208" s="20">
        <f>Summary!I208</f>
        <v>5922479.7579430556</v>
      </c>
      <c r="AP208" s="12">
        <v>1</v>
      </c>
    </row>
    <row r="209" spans="1:42" x14ac:dyDescent="0.3">
      <c r="A209">
        <v>205</v>
      </c>
      <c r="B209" t="str">
        <f>Summary!B209</f>
        <v>MarinusPortland</v>
      </c>
      <c r="C209" t="str">
        <f>Summary!C209</f>
        <v>Wind</v>
      </c>
      <c r="D209" s="104">
        <f>Summary!D209</f>
        <v>0.25</v>
      </c>
      <c r="E209" t="str">
        <f>Summary!E209</f>
        <v>Cal-31</v>
      </c>
      <c r="F209" t="str">
        <f>Summary!F209</f>
        <v>2 Hour Battery</v>
      </c>
      <c r="G209" s="73">
        <f>SUMIFS(AL$5:AL209,$F$5:$F209,$F209,$D$5:$D209,$D209)</f>
        <v>-22950420.035723366</v>
      </c>
      <c r="H209" s="73">
        <f>SUMIFS(AM$5:AM209,$F$5:$F209,$F209,$D$5:$D209,$D209)</f>
        <v>23322923.752809886</v>
      </c>
      <c r="I209" s="20">
        <f>SUMIFS(AN$5:AN209,$F$5:$F209,$F209,$D$5:$D209,$D209)</f>
        <v>41282428.471498355</v>
      </c>
      <c r="J209" s="73">
        <f t="shared" si="48"/>
        <v>41282428.471498355</v>
      </c>
      <c r="K209" s="73">
        <f t="shared" si="49"/>
        <v>18332008.435774989</v>
      </c>
      <c r="L209" s="73">
        <f t="shared" si="50"/>
        <v>41654932.188584879</v>
      </c>
      <c r="M209" s="73">
        <f>-SUMIFS(FinParameters!$E$8:$E$39,FinParameters!$B$8:$B$39,Financials!$E209,FinParameters!$C$8:$C$39,Financials!$F209)</f>
        <v>-10971183.618749008</v>
      </c>
      <c r="N209" s="73">
        <f>-SUMIFS(FinParameters!$F$8:$F$39,FinParameters!$B$8:$B$39,Financials!$E209,FinParameters!$C$8:$C$39,Financials!$F209)</f>
        <v>-73600000</v>
      </c>
      <c r="O209" s="73">
        <f>SUMIFS(FinParameters!$G$8:$G$39,FinParameters!$B$8:$B$39,Financials!$E209,FinParameters!$C$8:$C$39,Financials!$F209)</f>
        <v>7423332.3282346334</v>
      </c>
      <c r="P209" s="73">
        <f t="shared" si="51"/>
        <v>30311244.852749348</v>
      </c>
      <c r="Q209" s="73">
        <f>P209/SUMIFS(FinParameters!$H$8:$H$39,FinParameters!$B$8:$B$39,Financials!$E209,FinParameters!$C$8:$C$39,Financials!$F209)</f>
        <v>9617252.2247484438</v>
      </c>
      <c r="R209" s="73">
        <f t="shared" si="63"/>
        <v>-35865422.819016017</v>
      </c>
      <c r="S209" s="12">
        <f t="shared" si="52"/>
        <v>-0.54196477521212805</v>
      </c>
      <c r="T209" s="114">
        <f t="shared" si="53"/>
        <v>-22950420.035723366</v>
      </c>
      <c r="U209" s="73">
        <f>T209/SUMIFS(FinParameters!$L$8:$L$39,FinParameters!$B$8:$B$39,Financials!$E209,FinParameters!$C$8:$C$39,Financials!$F209)</f>
        <v>-17491542.878869466</v>
      </c>
      <c r="V209" s="73">
        <f t="shared" si="54"/>
        <v>-17491542.878869466</v>
      </c>
      <c r="W209" s="12"/>
      <c r="X209" s="73">
        <f t="shared" si="55"/>
        <v>7360824.8170259818</v>
      </c>
      <c r="Y209" s="73">
        <f t="shared" si="56"/>
        <v>-7874290.6541210227</v>
      </c>
      <c r="Z209" s="73">
        <f t="shared" si="56"/>
        <v>-53356965.697885484</v>
      </c>
      <c r="AA209" s="12">
        <f t="shared" si="57"/>
        <v>-0.8062806359869118</v>
      </c>
      <c r="AB209" s="114">
        <f t="shared" si="58"/>
        <v>23322923.752809886</v>
      </c>
      <c r="AC209" s="73">
        <f>AB209/SUMIFS(FinParameters!$L$8:$L$39,FinParameters!$B$8:$B$39,Financials!$E209,FinParameters!$C$8:$C$39,Financials!$F209)</f>
        <v>17775444.643186424</v>
      </c>
      <c r="AD209" s="73">
        <f t="shared" si="59"/>
        <v>17775444.643186424</v>
      </c>
      <c r="AE209" s="12"/>
      <c r="AF209" s="73">
        <f t="shared" si="60"/>
        <v>30683748.569835868</v>
      </c>
      <c r="AG209" s="73">
        <f t="shared" si="61"/>
        <v>9901153.9890654013</v>
      </c>
      <c r="AH209" s="73">
        <f t="shared" si="61"/>
        <v>-35581521.054699063</v>
      </c>
      <c r="AI209" s="12">
        <f t="shared" si="62"/>
        <v>-0.53767471688333612</v>
      </c>
      <c r="AL209" s="73">
        <f>Summary!G209</f>
        <v>-4156992.3580149505</v>
      </c>
      <c r="AM209" s="73">
        <f>IF(D209&lt;&gt;"avg",SUMIFS(Summary!$H:$H,Summary!$C:$C,Financials!C209,Summary!$E:$E,Financials!E209,Summary!$D:$D,1-Financials!D209,Summary!$F:$F,Financials!F209),SUMIFS(Summary!$H:$H,Summary!$C:$C,Financials!C209,Summary!$E:$E,Financials!E209,Summary!$D:$D,"avg",Summary!$F:$F,Financials!F209))</f>
        <v>3183799.6713941144</v>
      </c>
      <c r="AN209" s="20">
        <f>Summary!I209</f>
        <v>5075752.3895489611</v>
      </c>
      <c r="AP209" s="12">
        <v>1</v>
      </c>
    </row>
    <row r="210" spans="1:42" x14ac:dyDescent="0.3">
      <c r="A210">
        <v>206</v>
      </c>
      <c r="B210" t="str">
        <f>Summary!B210</f>
        <v>MarinusPortland</v>
      </c>
      <c r="C210" t="str">
        <f>Summary!C210</f>
        <v>Wind</v>
      </c>
      <c r="D210" s="104">
        <f>Summary!D210</f>
        <v>0.05</v>
      </c>
      <c r="E210" t="str">
        <f>Summary!E210</f>
        <v>Cal-31</v>
      </c>
      <c r="F210" t="str">
        <f>Summary!F210</f>
        <v>2 Hour Battery</v>
      </c>
      <c r="G210" s="73">
        <f>SUMIFS(AL$5:AL210,$F$5:$F210,$F210,$D$5:$D210,$D210)</f>
        <v>-54136815.490367346</v>
      </c>
      <c r="H210" s="73">
        <f>SUMIFS(AM$5:AM210,$F$5:$F210,$F210,$D$5:$D210,$D210)</f>
        <v>54260676.899709232</v>
      </c>
      <c r="I210" s="20">
        <f>SUMIFS(AN$5:AN210,$F$5:$F210,$F210,$D$5:$D210,$D210)</f>
        <v>31471421.360818531</v>
      </c>
      <c r="J210" s="73">
        <f t="shared" si="48"/>
        <v>31471421.360818531</v>
      </c>
      <c r="K210" s="73">
        <f t="shared" si="49"/>
        <v>-22665394.129548814</v>
      </c>
      <c r="L210" s="73">
        <f t="shared" si="50"/>
        <v>31595282.770160418</v>
      </c>
      <c r="M210" s="73">
        <f>-SUMIFS(FinParameters!$E$8:$E$39,FinParameters!$B$8:$B$39,Financials!$E210,FinParameters!$C$8:$C$39,Financials!$F210)</f>
        <v>-10971183.618749008</v>
      </c>
      <c r="N210" s="73">
        <f>-SUMIFS(FinParameters!$F$8:$F$39,FinParameters!$B$8:$B$39,Financials!$E210,FinParameters!$C$8:$C$39,Financials!$F210)</f>
        <v>-73600000</v>
      </c>
      <c r="O210" s="73">
        <f>SUMIFS(FinParameters!$G$8:$G$39,FinParameters!$B$8:$B$39,Financials!$E210,FinParameters!$C$8:$C$39,Financials!$F210)</f>
        <v>7423332.3282346334</v>
      </c>
      <c r="P210" s="73">
        <f t="shared" si="51"/>
        <v>20500237.742069524</v>
      </c>
      <c r="Q210" s="73">
        <f>P210/SUMIFS(FinParameters!$H$8:$H$39,FinParameters!$B$8:$B$39,Financials!$E210,FinParameters!$C$8:$C$39,Financials!$F210)</f>
        <v>6504383.3729219912</v>
      </c>
      <c r="R210" s="73">
        <f t="shared" si="63"/>
        <v>-45676429.929695837</v>
      </c>
      <c r="S210" s="12">
        <f t="shared" si="52"/>
        <v>-0.69021955224838161</v>
      </c>
      <c r="T210" s="114">
        <f t="shared" si="53"/>
        <v>-54136815.490367346</v>
      </c>
      <c r="U210" s="73">
        <f>T210/SUMIFS(FinParameters!$L$8:$L$39,FinParameters!$B$8:$B$39,Financials!$E210,FinParameters!$C$8:$C$39,Financials!$F210)</f>
        <v>-41260091.449361533</v>
      </c>
      <c r="V210" s="73">
        <f t="shared" si="54"/>
        <v>-41260091.449361533</v>
      </c>
      <c r="W210" s="12"/>
      <c r="X210" s="73">
        <f t="shared" si="55"/>
        <v>-33636577.748297825</v>
      </c>
      <c r="Y210" s="73">
        <f t="shared" si="56"/>
        <v>-34755708.076439545</v>
      </c>
      <c r="Z210" s="73">
        <f t="shared" si="56"/>
        <v>-86936521.379057378</v>
      </c>
      <c r="AA210" s="12">
        <f t="shared" si="57"/>
        <v>-1.3137035217648065</v>
      </c>
      <c r="AB210" s="114">
        <f t="shared" si="58"/>
        <v>54260676.899709232</v>
      </c>
      <c r="AC210" s="73">
        <f>AB210/SUMIFS(FinParameters!$L$8:$L$39,FinParameters!$B$8:$B$39,Financials!$E210,FinParameters!$C$8:$C$39,Financials!$F210)</f>
        <v>41354491.776203848</v>
      </c>
      <c r="AD210" s="73">
        <f t="shared" si="59"/>
        <v>41354491.776203848</v>
      </c>
      <c r="AE210" s="12"/>
      <c r="AF210" s="73">
        <f t="shared" si="60"/>
        <v>20624099.151411407</v>
      </c>
      <c r="AG210" s="73">
        <f t="shared" si="61"/>
        <v>6598783.6997643039</v>
      </c>
      <c r="AH210" s="73">
        <f t="shared" si="61"/>
        <v>-45582029.602853529</v>
      </c>
      <c r="AI210" s="12">
        <f t="shared" si="62"/>
        <v>-0.68879306266884377</v>
      </c>
      <c r="AL210" s="73">
        <f>Summary!G210</f>
        <v>-7145211.1888805712</v>
      </c>
      <c r="AM210" s="73">
        <f>IF(D210&lt;&gt;"avg",SUMIFS(Summary!$H:$H,Summary!$C:$C,Financials!C210,Summary!$E:$E,Financials!E210,Summary!$D:$D,1-Financials!D210,Summary!$F:$F,Financials!F210),SUMIFS(Summary!$H:$H,Summary!$C:$C,Financials!C210,Summary!$E:$E,Financials!E210,Summary!$D:$D,"avg",Summary!$F:$F,Financials!F210))</f>
        <v>7319410.7111703753</v>
      </c>
      <c r="AN210" s="20">
        <f>Summary!I210</f>
        <v>4066976.396501848</v>
      </c>
      <c r="AP210" s="12">
        <v>1</v>
      </c>
    </row>
    <row r="211" spans="1:42" x14ac:dyDescent="0.3">
      <c r="A211">
        <v>207</v>
      </c>
      <c r="B211" t="str">
        <f>Summary!B211</f>
        <v>MarinusPortland</v>
      </c>
      <c r="C211" t="str">
        <f>Summary!C211</f>
        <v>Wind</v>
      </c>
      <c r="D211" s="104">
        <f>Summary!D211</f>
        <v>0</v>
      </c>
      <c r="E211" t="str">
        <f>Summary!E211</f>
        <v>Cal-31</v>
      </c>
      <c r="F211" t="str">
        <f>Summary!F211</f>
        <v>2 Hour Battery</v>
      </c>
      <c r="G211" s="73">
        <f>SUMIFS(AL$5:AL211,$F$5:$F211,$F211,$D$5:$D211,$D211)</f>
        <v>-101025668.91555886</v>
      </c>
      <c r="H211" s="73">
        <f>SUMIFS(AM$5:AM211,$F$5:$F211,$F211,$D$5:$D211,$D211)</f>
        <v>116774874.43625681</v>
      </c>
      <c r="I211" s="20">
        <f>SUMIFS(AN$5:AN211,$F$5:$F211,$F211,$D$5:$D211,$D211)</f>
        <v>16823773.606797174</v>
      </c>
      <c r="J211" s="73">
        <f t="shared" si="48"/>
        <v>16823773.606797174</v>
      </c>
      <c r="K211" s="73">
        <f t="shared" si="49"/>
        <v>-84201895.308761686</v>
      </c>
      <c r="L211" s="73">
        <f t="shared" si="50"/>
        <v>32572979.127495125</v>
      </c>
      <c r="M211" s="73">
        <f>-SUMIFS(FinParameters!$E$8:$E$39,FinParameters!$B$8:$B$39,Financials!$E211,FinParameters!$C$8:$C$39,Financials!$F211)</f>
        <v>-10971183.618749008</v>
      </c>
      <c r="N211" s="73">
        <f>-SUMIFS(FinParameters!$F$8:$F$39,FinParameters!$B$8:$B$39,Financials!$E211,FinParameters!$C$8:$C$39,Financials!$F211)</f>
        <v>-73600000</v>
      </c>
      <c r="O211" s="73">
        <f>SUMIFS(FinParameters!$G$8:$G$39,FinParameters!$B$8:$B$39,Financials!$E211,FinParameters!$C$8:$C$39,Financials!$F211)</f>
        <v>7423332.3282346334</v>
      </c>
      <c r="P211" s="73">
        <f t="shared" si="51"/>
        <v>5852589.988048166</v>
      </c>
      <c r="Q211" s="73">
        <f>P211/SUMIFS(FinParameters!$H$8:$H$39,FinParameters!$B$8:$B$39,Financials!$E211,FinParameters!$C$8:$C$39,Financials!$F211)</f>
        <v>1856929.1481273938</v>
      </c>
      <c r="R211" s="73">
        <f t="shared" si="63"/>
        <v>-60324077.683717199</v>
      </c>
      <c r="S211" s="12">
        <f t="shared" si="52"/>
        <v>-0.91156112578716009</v>
      </c>
      <c r="T211" s="114">
        <f t="shared" si="53"/>
        <v>-101025668.91555886</v>
      </c>
      <c r="U211" s="73">
        <f>T211/SUMIFS(FinParameters!$L$8:$L$39,FinParameters!$B$8:$B$39,Financials!$E211,FinParameters!$C$8:$C$39,Financials!$F211)</f>
        <v>-76996186.429372758</v>
      </c>
      <c r="V211" s="73">
        <f t="shared" si="54"/>
        <v>-76996186.429372758</v>
      </c>
      <c r="W211" s="12"/>
      <c r="X211" s="73">
        <f t="shared" si="55"/>
        <v>-95173078.927510694</v>
      </c>
      <c r="Y211" s="73">
        <f t="shared" si="56"/>
        <v>-75139257.281245366</v>
      </c>
      <c r="Z211" s="73">
        <f t="shared" si="56"/>
        <v>-137320264.11308995</v>
      </c>
      <c r="AA211" s="12">
        <f t="shared" si="57"/>
        <v>-2.0750555889908973</v>
      </c>
      <c r="AB211" s="114">
        <f t="shared" si="58"/>
        <v>116774874.43625681</v>
      </c>
      <c r="AC211" s="73">
        <f>AB211/SUMIFS(FinParameters!$L$8:$L$39,FinParameters!$B$8:$B$39,Financials!$E211,FinParameters!$C$8:$C$39,Financials!$F211)</f>
        <v>88999361.240318358</v>
      </c>
      <c r="AD211" s="73">
        <f t="shared" si="59"/>
        <v>88999361.240318358</v>
      </c>
      <c r="AE211" s="12"/>
      <c r="AF211" s="73">
        <f t="shared" si="60"/>
        <v>21601795.508746117</v>
      </c>
      <c r="AG211" s="73">
        <f t="shared" si="61"/>
        <v>13860103.959072992</v>
      </c>
      <c r="AH211" s="73">
        <f t="shared" si="61"/>
        <v>-48320902.872771591</v>
      </c>
      <c r="AI211" s="12">
        <f t="shared" si="62"/>
        <v>-0.73018035771220868</v>
      </c>
      <c r="AL211" s="73">
        <f>Summary!G211</f>
        <v>-11518585.64704437</v>
      </c>
      <c r="AM211" s="73">
        <f>IF(D211&lt;&gt;"avg",SUMIFS(Summary!$H:$H,Summary!$C:$C,Financials!C211,Summary!$E:$E,Financials!E211,Summary!$D:$D,1-Financials!D211,Summary!$F:$F,Financials!F211),SUMIFS(Summary!$H:$H,Summary!$C:$C,Financials!C211,Summary!$E:$E,Financials!E211,Summary!$D:$D,"avg",Summary!$F:$F,Financials!F211))</f>
        <v>16048624.034002012</v>
      </c>
      <c r="AN211" s="20">
        <f>Summary!I211</f>
        <v>2612932.4696862553</v>
      </c>
      <c r="AP211" s="12">
        <v>1</v>
      </c>
    </row>
    <row r="212" spans="1:42" x14ac:dyDescent="0.3">
      <c r="A212">
        <v>208</v>
      </c>
      <c r="B212" t="str">
        <f>Summary!B212</f>
        <v>MarinusPortland</v>
      </c>
      <c r="C212" t="str">
        <f>Summary!C212</f>
        <v>Wind</v>
      </c>
      <c r="D212" s="104" t="str">
        <f>Summary!D212</f>
        <v>avg</v>
      </c>
      <c r="E212" t="str">
        <f>Summary!E212</f>
        <v>Cal-31</v>
      </c>
      <c r="F212" t="str">
        <f>Summary!F212</f>
        <v>2 Hour Battery</v>
      </c>
      <c r="G212" s="73">
        <f>SUMIFS(AL$5:AL212,$F$5:$F212,$F212,$D$5:$D212,$D212)</f>
        <v>11174503.120828234</v>
      </c>
      <c r="H212" s="73">
        <f>SUMIFS(AM$5:AM212,$F$5:$F212,$F212,$D$5:$D212,$D212)</f>
        <v>-1417607.7170497158</v>
      </c>
      <c r="I212" s="20">
        <f>SUMIFS(AN$5:AN212,$F$5:$F212,$F212,$D$5:$D212,$D212)</f>
        <v>49814652.810967006</v>
      </c>
      <c r="J212" s="73">
        <f t="shared" si="48"/>
        <v>49814652.810967006</v>
      </c>
      <c r="K212" s="73">
        <f t="shared" si="49"/>
        <v>60989155.931795239</v>
      </c>
      <c r="L212" s="73">
        <f t="shared" si="50"/>
        <v>59571548.214745522</v>
      </c>
      <c r="M212" s="73">
        <f>-SUMIFS(FinParameters!$E$8:$E$39,FinParameters!$B$8:$B$39,Financials!$E212,FinParameters!$C$8:$C$39,Financials!$F212)</f>
        <v>-10971183.618749008</v>
      </c>
      <c r="N212" s="73">
        <f>-SUMIFS(FinParameters!$F$8:$F$39,FinParameters!$B$8:$B$39,Financials!$E212,FinParameters!$C$8:$C$39,Financials!$F212)</f>
        <v>-73600000</v>
      </c>
      <c r="O212" s="73">
        <f>SUMIFS(FinParameters!$G$8:$G$39,FinParameters!$B$8:$B$39,Financials!$E212,FinParameters!$C$8:$C$39,Financials!$F212)</f>
        <v>7423332.3282346334</v>
      </c>
      <c r="P212" s="73">
        <f t="shared" si="51"/>
        <v>38843469.192217998</v>
      </c>
      <c r="Q212" s="73">
        <f>P212/SUMIFS(FinParameters!$H$8:$H$39,FinParameters!$B$8:$B$39,Financials!$E212,FinParameters!$C$8:$C$39,Financials!$F212)</f>
        <v>12324384.640768792</v>
      </c>
      <c r="R212" s="73">
        <f t="shared" si="63"/>
        <v>-27333198.479547366</v>
      </c>
      <c r="S212" s="12">
        <f t="shared" si="52"/>
        <v>-0.41303376916951084</v>
      </c>
      <c r="T212" s="114">
        <f t="shared" si="53"/>
        <v>11174503.120828234</v>
      </c>
      <c r="U212" s="73">
        <f>T212/SUMIFS(FinParameters!$L$8:$L$39,FinParameters!$B$8:$B$39,Financials!$E212,FinParameters!$C$8:$C$39,Financials!$F212)</f>
        <v>8516589.2468977254</v>
      </c>
      <c r="V212" s="73">
        <f t="shared" si="54"/>
        <v>8516589.2468977254</v>
      </c>
      <c r="W212" s="12"/>
      <c r="X212" s="73">
        <f t="shared" si="55"/>
        <v>50017972.313046232</v>
      </c>
      <c r="Y212" s="73">
        <f t="shared" si="56"/>
        <v>20840973.887666516</v>
      </c>
      <c r="Z212" s="73">
        <f t="shared" si="56"/>
        <v>-18816609.232649639</v>
      </c>
      <c r="AA212" s="12">
        <f t="shared" si="57"/>
        <v>-0.28433902604433869</v>
      </c>
      <c r="AB212" s="114">
        <f t="shared" si="58"/>
        <v>-1417607.7170497158</v>
      </c>
      <c r="AC212" s="73">
        <f>AB212/SUMIFS(FinParameters!$L$8:$L$39,FinParameters!$B$8:$B$39,Financials!$E212,FinParameters!$C$8:$C$39,Financials!$F212)</f>
        <v>-1080422.3247154099</v>
      </c>
      <c r="AD212" s="73">
        <f t="shared" si="59"/>
        <v>-1080422.3247154099</v>
      </c>
      <c r="AE212" s="12"/>
      <c r="AF212" s="73">
        <f t="shared" si="60"/>
        <v>48600364.595996514</v>
      </c>
      <c r="AG212" s="73">
        <f t="shared" si="61"/>
        <v>19760551.562951107</v>
      </c>
      <c r="AH212" s="73">
        <f t="shared" si="61"/>
        <v>-19897031.557365049</v>
      </c>
      <c r="AI212" s="12">
        <f t="shared" si="62"/>
        <v>-0.30066535921775078</v>
      </c>
      <c r="AL212" s="73">
        <f>Summary!G212</f>
        <v>-864337.68841649778</v>
      </c>
      <c r="AM212" s="73">
        <f>IF(D212&lt;&gt;"avg",SUMIFS(Summary!$H:$H,Summary!$C:$C,Financials!C212,Summary!$E:$E,Financials!E212,Summary!$D:$D,1-Financials!D212,Summary!$F:$F,Financials!F212),SUMIFS(Summary!$H:$H,Summary!$C:$C,Financials!C212,Summary!$E:$E,Financials!E212,Summary!$D:$D,"avg",Summary!$F:$F,Financials!F212))</f>
        <v>-240764.57333132531</v>
      </c>
      <c r="AN212" s="20">
        <f>Summary!I212</f>
        <v>5975376.8697638856</v>
      </c>
      <c r="AP212" s="12">
        <v>1</v>
      </c>
    </row>
    <row r="213" spans="1:42" x14ac:dyDescent="0.3">
      <c r="A213">
        <v>209</v>
      </c>
      <c r="B213" t="str">
        <f>Summary!B213</f>
        <v>MarinusPortland</v>
      </c>
      <c r="C213" t="str">
        <f>Summary!C213</f>
        <v>Wind</v>
      </c>
      <c r="D213" s="104">
        <f>Summary!D213</f>
        <v>1</v>
      </c>
      <c r="E213" t="str">
        <f>Summary!E213</f>
        <v>Cal-32</v>
      </c>
      <c r="F213" t="str">
        <f>Summary!F213</f>
        <v>2 Hour Battery</v>
      </c>
      <c r="G213" s="73">
        <f>SUMIFS(AL$5:AL213,$F$5:$F213,$F213,$D$5:$D213,$D213)</f>
        <v>216416686.75520951</v>
      </c>
      <c r="H213" s="73">
        <f>SUMIFS(AM$5:AM213,$F$5:$F213,$F213,$D$5:$D213,$D213)</f>
        <v>-170532993.01675022</v>
      </c>
      <c r="I213" s="20">
        <f>SUMIFS(AN$5:AN213,$F$5:$F213,$F213,$D$5:$D213,$D213)</f>
        <v>114080750.58825004</v>
      </c>
      <c r="J213" s="73">
        <f t="shared" si="48"/>
        <v>114080750.58825004</v>
      </c>
      <c r="K213" s="73">
        <f t="shared" si="49"/>
        <v>330497437.34345955</v>
      </c>
      <c r="L213" s="73">
        <f t="shared" si="50"/>
        <v>159964444.32670933</v>
      </c>
      <c r="M213" s="73">
        <f>-SUMIFS(FinParameters!$E$8:$E$39,FinParameters!$B$8:$B$39,Financials!$E213,FinParameters!$C$8:$C$39,Financials!$F213)</f>
        <v>-12034213.209217733</v>
      </c>
      <c r="N213" s="73">
        <f>-SUMIFS(FinParameters!$F$8:$F$39,FinParameters!$B$8:$B$39,Financials!$E213,FinParameters!$C$8:$C$39,Financials!$F213)</f>
        <v>-73600000</v>
      </c>
      <c r="O213" s="73">
        <f>SUMIFS(FinParameters!$G$8:$G$39,FinParameters!$B$8:$B$39,Financials!$E213,FinParameters!$C$8:$C$39,Financials!$F213)</f>
        <v>6164003.5878098402</v>
      </c>
      <c r="P213" s="73">
        <f t="shared" si="51"/>
        <v>102046537.37903231</v>
      </c>
      <c r="Q213" s="73">
        <f>P213/SUMIFS(FinParameters!$H$8:$H$39,FinParameters!$B$8:$B$39,Financials!$E213,FinParameters!$C$8:$C$39,Financials!$F213)</f>
        <v>29169066.291351069</v>
      </c>
      <c r="R213" s="73">
        <f t="shared" si="63"/>
        <v>34610540.966842152</v>
      </c>
      <c r="S213" s="12">
        <f t="shared" si="52"/>
        <v>0.51323540554352565</v>
      </c>
      <c r="T213" s="114">
        <f t="shared" si="53"/>
        <v>216416686.75520951</v>
      </c>
      <c r="U213" s="73">
        <f>T213/SUMIFS(FinParameters!$L$8:$L$39,FinParameters!$B$8:$B$39,Financials!$E213,FinParameters!$C$8:$C$39,Financials!$F213)</f>
        <v>160917901.05884314</v>
      </c>
      <c r="V213" s="73">
        <f t="shared" si="54"/>
        <v>160917901.05884314</v>
      </c>
      <c r="W213" s="12"/>
      <c r="X213" s="73">
        <f t="shared" si="55"/>
        <v>318463224.13424182</v>
      </c>
      <c r="Y213" s="73">
        <f t="shared" si="56"/>
        <v>190086967.35019422</v>
      </c>
      <c r="Z213" s="73">
        <f t="shared" si="56"/>
        <v>195528442.02568528</v>
      </c>
      <c r="AA213" s="12">
        <f t="shared" si="57"/>
        <v>2.8994669379622353</v>
      </c>
      <c r="AB213" s="114">
        <f t="shared" si="58"/>
        <v>-170532993.01675022</v>
      </c>
      <c r="AC213" s="73">
        <f>AB213/SUMIFS(FinParameters!$L$8:$L$39,FinParameters!$B$8:$B$39,Financials!$E213,FinParameters!$C$8:$C$39,Financials!$F213)</f>
        <v>-126800810.55199514</v>
      </c>
      <c r="AD213" s="73">
        <f t="shared" si="59"/>
        <v>-126800810.55199514</v>
      </c>
      <c r="AE213" s="12"/>
      <c r="AF213" s="73">
        <f t="shared" si="60"/>
        <v>147930231.1174916</v>
      </c>
      <c r="AG213" s="73">
        <f t="shared" si="61"/>
        <v>63286156.798199072</v>
      </c>
      <c r="AH213" s="73">
        <f t="shared" si="61"/>
        <v>68727631.473690137</v>
      </c>
      <c r="AI213" s="12">
        <f t="shared" si="62"/>
        <v>1.0191534956139019</v>
      </c>
      <c r="AL213" s="73">
        <f>Summary!G213</f>
        <v>14778993.492223972</v>
      </c>
      <c r="AM213" s="73">
        <f>IF(D213&lt;&gt;"avg",SUMIFS(Summary!$H:$H,Summary!$C:$C,Financials!C213,Summary!$E:$E,Financials!E213,Summary!$D:$D,1-Financials!D213,Summary!$F:$F,Financials!F213),SUMIFS(Summary!$H:$H,Summary!$C:$C,Financials!C213,Summary!$E:$E,Financials!E213,Summary!$D:$D,"avg",Summary!$F:$F,Financials!F213))</f>
        <v>-21336939.190795988</v>
      </c>
      <c r="AN213" s="20">
        <f>Summary!I213</f>
        <v>10453684.484027633</v>
      </c>
      <c r="AP213" s="12">
        <v>1</v>
      </c>
    </row>
    <row r="214" spans="1:42" x14ac:dyDescent="0.3">
      <c r="A214">
        <v>210</v>
      </c>
      <c r="B214" t="str">
        <f>Summary!B214</f>
        <v>MarinusPortland</v>
      </c>
      <c r="C214" t="str">
        <f>Summary!C214</f>
        <v>Wind</v>
      </c>
      <c r="D214" s="104">
        <f>Summary!D214</f>
        <v>0.95</v>
      </c>
      <c r="E214" t="str">
        <f>Summary!E214</f>
        <v>Cal-32</v>
      </c>
      <c r="F214" t="str">
        <f>Summary!F214</f>
        <v>2 Hour Battery</v>
      </c>
      <c r="G214" s="73">
        <f>SUMIFS(AL$5:AL214,$F$5:$F214,$F214,$D$5:$D214,$D214)</f>
        <v>101582204.78403357</v>
      </c>
      <c r="H214" s="73">
        <f>SUMIFS(AM$5:AM214,$F$5:$F214,$F214,$D$5:$D214,$D214)</f>
        <v>-71221074.271378845</v>
      </c>
      <c r="I214" s="20">
        <f>SUMIFS(AN$5:AN214,$F$5:$F214,$F214,$D$5:$D214,$D214)</f>
        <v>78335067.058506429</v>
      </c>
      <c r="J214" s="73">
        <f t="shared" si="48"/>
        <v>78335067.058506429</v>
      </c>
      <c r="K214" s="73">
        <f t="shared" si="49"/>
        <v>179917271.84254</v>
      </c>
      <c r="L214" s="73">
        <f t="shared" si="50"/>
        <v>108696197.57116115</v>
      </c>
      <c r="M214" s="73">
        <f>-SUMIFS(FinParameters!$E$8:$E$39,FinParameters!$B$8:$B$39,Financials!$E214,FinParameters!$C$8:$C$39,Financials!$F214)</f>
        <v>-12034213.209217733</v>
      </c>
      <c r="N214" s="73">
        <f>-SUMIFS(FinParameters!$F$8:$F$39,FinParameters!$B$8:$B$39,Financials!$E214,FinParameters!$C$8:$C$39,Financials!$F214)</f>
        <v>-73600000</v>
      </c>
      <c r="O214" s="73">
        <f>SUMIFS(FinParameters!$G$8:$G$39,FinParameters!$B$8:$B$39,Financials!$E214,FinParameters!$C$8:$C$39,Financials!$F214)</f>
        <v>6164003.5878098402</v>
      </c>
      <c r="P214" s="73">
        <f t="shared" si="51"/>
        <v>66300853.849288695</v>
      </c>
      <c r="Q214" s="73">
        <f>P214/SUMIFS(FinParameters!$H$8:$H$39,FinParameters!$B$8:$B$39,Financials!$E214,FinParameters!$C$8:$C$39,Financials!$F214)</f>
        <v>18951490.670573693</v>
      </c>
      <c r="R214" s="73">
        <f t="shared" si="63"/>
        <v>-1135142.5629014652</v>
      </c>
      <c r="S214" s="12">
        <f t="shared" si="52"/>
        <v>-1.6832887823931816E-2</v>
      </c>
      <c r="T214" s="114">
        <f t="shared" si="53"/>
        <v>101582204.78403357</v>
      </c>
      <c r="U214" s="73">
        <f>T214/SUMIFS(FinParameters!$L$8:$L$39,FinParameters!$B$8:$B$39,Financials!$E214,FinParameters!$C$8:$C$39,Financials!$F214)</f>
        <v>75532046.183045864</v>
      </c>
      <c r="V214" s="73">
        <f t="shared" si="54"/>
        <v>75532046.183045864</v>
      </c>
      <c r="W214" s="12"/>
      <c r="X214" s="73">
        <f t="shared" si="55"/>
        <v>167883058.63332227</v>
      </c>
      <c r="Y214" s="73">
        <f t="shared" si="56"/>
        <v>94483536.853619561</v>
      </c>
      <c r="Z214" s="73">
        <f t="shared" si="56"/>
        <v>74396903.620144397</v>
      </c>
      <c r="AA214" s="12">
        <f t="shared" si="57"/>
        <v>1.103222426868389</v>
      </c>
      <c r="AB214" s="114">
        <f t="shared" si="58"/>
        <v>-71221074.271378845</v>
      </c>
      <c r="AC214" s="73">
        <f>AB214/SUMIFS(FinParameters!$L$8:$L$39,FinParameters!$B$8:$B$39,Financials!$E214,FinParameters!$C$8:$C$39,Financials!$F214)</f>
        <v>-52956848.91373276</v>
      </c>
      <c r="AD214" s="73">
        <f t="shared" si="59"/>
        <v>-52956848.91373276</v>
      </c>
      <c r="AE214" s="12"/>
      <c r="AF214" s="73">
        <f t="shared" si="60"/>
        <v>96661984.361943424</v>
      </c>
      <c r="AG214" s="73">
        <f t="shared" si="61"/>
        <v>41526687.939886801</v>
      </c>
      <c r="AH214" s="73">
        <f t="shared" si="61"/>
        <v>21440054.706411637</v>
      </c>
      <c r="AI214" s="12">
        <f t="shared" si="62"/>
        <v>0.31793190353951672</v>
      </c>
      <c r="AL214" s="73">
        <f>Summary!G214</f>
        <v>3844419.7147929971</v>
      </c>
      <c r="AM214" s="73">
        <f>IF(D214&lt;&gt;"avg",SUMIFS(Summary!$H:$H,Summary!$C:$C,Financials!C214,Summary!$E:$E,Financials!E214,Summary!$D:$D,1-Financials!D214,Summary!$F:$F,Financials!F214),SUMIFS(Summary!$H:$H,Summary!$C:$C,Financials!C214,Summary!$E:$E,Financials!E214,Summary!$D:$D,"avg",Summary!$F:$F,Financials!F214))</f>
        <v>-8513212.6646256857</v>
      </c>
      <c r="AN214" s="20">
        <f>Summary!I214</f>
        <v>7467065.1400986798</v>
      </c>
      <c r="AP214" s="12">
        <v>1</v>
      </c>
    </row>
    <row r="215" spans="1:42" x14ac:dyDescent="0.3">
      <c r="A215">
        <v>211</v>
      </c>
      <c r="B215" t="str">
        <f>Summary!B215</f>
        <v>MarinusPortland</v>
      </c>
      <c r="C215" t="str">
        <f>Summary!C215</f>
        <v>Wind</v>
      </c>
      <c r="D215" s="104">
        <f>Summary!D215</f>
        <v>0.75</v>
      </c>
      <c r="E215" t="str">
        <f>Summary!E215</f>
        <v>Cal-32</v>
      </c>
      <c r="F215" t="str">
        <f>Summary!F215</f>
        <v>2 Hour Battery</v>
      </c>
      <c r="G215" s="73">
        <f>SUMIFS(AL$5:AL215,$F$5:$F215,$F215,$D$5:$D215,$D215)</f>
        <v>40535714.223024733</v>
      </c>
      <c r="H215" s="73">
        <f>SUMIFS(AM$5:AM215,$F$5:$F215,$F215,$D$5:$D215,$D215)</f>
        <v>-28029687.031497408</v>
      </c>
      <c r="I215" s="20">
        <f>SUMIFS(AN$5:AN215,$F$5:$F215,$F215,$D$5:$D215,$D215)</f>
        <v>64157544.189294785</v>
      </c>
      <c r="J215" s="73">
        <f t="shared" si="48"/>
        <v>64157544.189294785</v>
      </c>
      <c r="K215" s="73">
        <f t="shared" si="49"/>
        <v>104693258.41231951</v>
      </c>
      <c r="L215" s="73">
        <f t="shared" si="50"/>
        <v>76663571.380822107</v>
      </c>
      <c r="M215" s="73">
        <f>-SUMIFS(FinParameters!$E$8:$E$39,FinParameters!$B$8:$B$39,Financials!$E215,FinParameters!$C$8:$C$39,Financials!$F215)</f>
        <v>-12034213.209217733</v>
      </c>
      <c r="N215" s="73">
        <f>-SUMIFS(FinParameters!$F$8:$F$39,FinParameters!$B$8:$B$39,Financials!$E215,FinParameters!$C$8:$C$39,Financials!$F215)</f>
        <v>-73600000</v>
      </c>
      <c r="O215" s="73">
        <f>SUMIFS(FinParameters!$G$8:$G$39,FinParameters!$B$8:$B$39,Financials!$E215,FinParameters!$C$8:$C$39,Financials!$F215)</f>
        <v>6164003.5878098402</v>
      </c>
      <c r="P215" s="73">
        <f t="shared" si="51"/>
        <v>52123330.980077051</v>
      </c>
      <c r="Q215" s="73">
        <f>P215/SUMIFS(FinParameters!$H$8:$H$39,FinParameters!$B$8:$B$39,Financials!$E215,FinParameters!$C$8:$C$39,Financials!$F215)</f>
        <v>14898975.856835857</v>
      </c>
      <c r="R215" s="73">
        <f t="shared" si="63"/>
        <v>-15312665.432113109</v>
      </c>
      <c r="S215" s="12">
        <f t="shared" si="52"/>
        <v>-0.22706961039794313</v>
      </c>
      <c r="T215" s="114">
        <f t="shared" si="53"/>
        <v>40535714.223024733</v>
      </c>
      <c r="U215" s="73">
        <f>T215/SUMIFS(FinParameters!$L$8:$L$39,FinParameters!$B$8:$B$39,Financials!$E215,FinParameters!$C$8:$C$39,Financials!$F215)</f>
        <v>30140568.865044862</v>
      </c>
      <c r="V215" s="73">
        <f t="shared" si="54"/>
        <v>30140568.865044862</v>
      </c>
      <c r="W215" s="12"/>
      <c r="X215" s="73">
        <f t="shared" si="55"/>
        <v>92659045.203101784</v>
      </c>
      <c r="Y215" s="73">
        <f t="shared" si="56"/>
        <v>45039544.721880719</v>
      </c>
      <c r="Z215" s="73">
        <f t="shared" si="56"/>
        <v>14827903.432931753</v>
      </c>
      <c r="AA215" s="12">
        <f t="shared" si="57"/>
        <v>0.21988113502911583</v>
      </c>
      <c r="AB215" s="114">
        <f t="shared" si="58"/>
        <v>-28029687.031497408</v>
      </c>
      <c r="AC215" s="73">
        <f>AB215/SUMIFS(FinParameters!$L$8:$L$39,FinParameters!$B$8:$B$39,Financials!$E215,FinParameters!$C$8:$C$39,Financials!$F215)</f>
        <v>-20841638.748248067</v>
      </c>
      <c r="AD215" s="73">
        <f t="shared" si="59"/>
        <v>-20841638.748248067</v>
      </c>
      <c r="AE215" s="12"/>
      <c r="AF215" s="73">
        <f t="shared" si="60"/>
        <v>64629358.17160438</v>
      </c>
      <c r="AG215" s="73">
        <f t="shared" si="61"/>
        <v>24197905.973632652</v>
      </c>
      <c r="AH215" s="73">
        <f t="shared" si="61"/>
        <v>-6013735.3153163139</v>
      </c>
      <c r="AI215" s="12">
        <f t="shared" si="62"/>
        <v>-8.9176932725342412E-2</v>
      </c>
      <c r="AL215" s="73">
        <f>Summary!G215</f>
        <v>-526661.49556749419</v>
      </c>
      <c r="AM215" s="73">
        <f>IF(D215&lt;&gt;"avg",SUMIFS(Summary!$H:$H,Summary!$C:$C,Financials!C215,Summary!$E:$E,Financials!E215,Summary!$D:$D,1-Financials!D215,Summary!$F:$F,Financials!F215),SUMIFS(Summary!$H:$H,Summary!$C:$C,Financials!C215,Summary!$E:$E,Financials!E215,Summary!$D:$D,"avg",Summary!$F:$F,Financials!F215))</f>
        <v>-3427643.4655617806</v>
      </c>
      <c r="AN215" s="20">
        <f>Summary!I215</f>
        <v>6381007.2536279336</v>
      </c>
      <c r="AP215" s="12">
        <v>1</v>
      </c>
    </row>
    <row r="216" spans="1:42" x14ac:dyDescent="0.3">
      <c r="A216">
        <v>212</v>
      </c>
      <c r="B216" t="str">
        <f>Summary!B216</f>
        <v>MarinusPortland</v>
      </c>
      <c r="C216" t="str">
        <f>Summary!C216</f>
        <v>Wind</v>
      </c>
      <c r="D216" s="104">
        <f>Summary!D216</f>
        <v>0.5</v>
      </c>
      <c r="E216" t="str">
        <f>Summary!E216</f>
        <v>Cal-32</v>
      </c>
      <c r="F216" t="str">
        <f>Summary!F216</f>
        <v>2 Hour Battery</v>
      </c>
      <c r="G216" s="73">
        <f>SUMIFS(AL$5:AL216,$F$5:$F216,$F216,$D$5:$D216,$D216)</f>
        <v>-58474.583103026729</v>
      </c>
      <c r="H216" s="73">
        <f>SUMIFS(AM$5:AM216,$F$5:$F216,$F216,$D$5:$D216,$D216)</f>
        <v>341523.48235187196</v>
      </c>
      <c r="I216" s="20">
        <f>SUMIFS(AN$5:AN216,$F$5:$F216,$F216,$D$5:$D216,$D216)</f>
        <v>54776769.589848652</v>
      </c>
      <c r="J216" s="73">
        <f t="shared" si="48"/>
        <v>54776769.589848652</v>
      </c>
      <c r="K216" s="73">
        <f t="shared" si="49"/>
        <v>54718295.006745629</v>
      </c>
      <c r="L216" s="73">
        <f t="shared" si="50"/>
        <v>55059818.489097498</v>
      </c>
      <c r="M216" s="73">
        <f>-SUMIFS(FinParameters!$E$8:$E$39,FinParameters!$B$8:$B$39,Financials!$E216,FinParameters!$C$8:$C$39,Financials!$F216)</f>
        <v>-12034213.209217733</v>
      </c>
      <c r="N216" s="73">
        <f>-SUMIFS(FinParameters!$F$8:$F$39,FinParameters!$B$8:$B$39,Financials!$E216,FinParameters!$C$8:$C$39,Financials!$F216)</f>
        <v>-73600000</v>
      </c>
      <c r="O216" s="73">
        <f>SUMIFS(FinParameters!$G$8:$G$39,FinParameters!$B$8:$B$39,Financials!$E216,FinParameters!$C$8:$C$39,Financials!$F216)</f>
        <v>6164003.5878098402</v>
      </c>
      <c r="P216" s="73">
        <f t="shared" si="51"/>
        <v>42742556.380630918</v>
      </c>
      <c r="Q216" s="73">
        <f>P216/SUMIFS(FinParameters!$H$8:$H$39,FinParameters!$B$8:$B$39,Financials!$E216,FinParameters!$C$8:$C$39,Financials!$F216)</f>
        <v>12217567.519195491</v>
      </c>
      <c r="R216" s="73">
        <f t="shared" si="63"/>
        <v>-24693440.031559244</v>
      </c>
      <c r="S216" s="12">
        <f t="shared" si="52"/>
        <v>-0.36617594972016315</v>
      </c>
      <c r="T216" s="114">
        <f t="shared" si="53"/>
        <v>-58474.583103026729</v>
      </c>
      <c r="U216" s="73">
        <f>T216/SUMIFS(FinParameters!$L$8:$L$39,FinParameters!$B$8:$B$39,Financials!$E216,FinParameters!$C$8:$C$39,Financials!$F216)</f>
        <v>-43479.120391826495</v>
      </c>
      <c r="V216" s="73">
        <f t="shared" si="54"/>
        <v>-43479.120391826495</v>
      </c>
      <c r="W216" s="12"/>
      <c r="X216" s="73">
        <f t="shared" si="55"/>
        <v>42684081.797527894</v>
      </c>
      <c r="Y216" s="73">
        <f t="shared" si="56"/>
        <v>12174088.398803664</v>
      </c>
      <c r="Z216" s="73">
        <f t="shared" si="56"/>
        <v>-24736919.151951071</v>
      </c>
      <c r="AA216" s="12">
        <f t="shared" si="57"/>
        <v>-0.36682069618651725</v>
      </c>
      <c r="AB216" s="114">
        <f t="shared" si="58"/>
        <v>341523.48235187196</v>
      </c>
      <c r="AC216" s="73">
        <f>AB216/SUMIFS(FinParameters!$L$8:$L$39,FinParameters!$B$8:$B$39,Financials!$E216,FinParameters!$C$8:$C$39,Financials!$F216)</f>
        <v>253941.79518390202</v>
      </c>
      <c r="AD216" s="73">
        <f t="shared" si="59"/>
        <v>253941.79518390202</v>
      </c>
      <c r="AE216" s="12"/>
      <c r="AF216" s="73">
        <f t="shared" si="60"/>
        <v>43025605.279879764</v>
      </c>
      <c r="AG216" s="73">
        <f t="shared" si="61"/>
        <v>12428030.193987567</v>
      </c>
      <c r="AH216" s="73">
        <f t="shared" si="61"/>
        <v>-24482977.35676717</v>
      </c>
      <c r="AI216" s="12">
        <f t="shared" si="62"/>
        <v>-0.36305502490271613</v>
      </c>
      <c r="AL216" s="73">
        <f>Summary!G216</f>
        <v>-3792630.8499809117</v>
      </c>
      <c r="AM216" s="73">
        <f>IF(D216&lt;&gt;"avg",SUMIFS(Summary!$H:$H,Summary!$C:$C,Financials!C216,Summary!$E:$E,Financials!E216,Summary!$D:$D,1-Financials!D216,Summary!$F:$F,Financials!F216),SUMIFS(Summary!$H:$H,Summary!$C:$C,Financials!C216,Summary!$E:$E,Financials!E216,Summary!$D:$D,"avg",Summary!$F:$F,Financials!F216))</f>
        <v>85382.777024268114</v>
      </c>
      <c r="AN216" s="20">
        <f>Summary!I216</f>
        <v>5534099.2679939922</v>
      </c>
      <c r="AP216" s="12">
        <v>1</v>
      </c>
    </row>
    <row r="217" spans="1:42" x14ac:dyDescent="0.3">
      <c r="A217">
        <v>213</v>
      </c>
      <c r="B217" t="str">
        <f>Summary!B217</f>
        <v>MarinusPortland</v>
      </c>
      <c r="C217" t="str">
        <f>Summary!C217</f>
        <v>Wind</v>
      </c>
      <c r="D217" s="104">
        <f>Summary!D217</f>
        <v>0.25</v>
      </c>
      <c r="E217" t="str">
        <f>Summary!E217</f>
        <v>Cal-32</v>
      </c>
      <c r="F217" t="str">
        <f>Summary!F217</f>
        <v>2 Hour Battery</v>
      </c>
      <c r="G217" s="73">
        <f>SUMIFS(AL$5:AL217,$F$5:$F217,$F217,$D$5:$D217,$D217)</f>
        <v>-29419115.228606954</v>
      </c>
      <c r="H217" s="73">
        <f>SUMIFS(AM$5:AM217,$F$5:$F217,$F217,$D$5:$D217,$D217)</f>
        <v>26428063.070638657</v>
      </c>
      <c r="I217" s="20">
        <f>SUMIFS(AN$5:AN217,$F$5:$F217,$F217,$D$5:$D217,$D217)</f>
        <v>46035109.763428338</v>
      </c>
      <c r="J217" s="73">
        <f t="shared" si="48"/>
        <v>46035109.763428338</v>
      </c>
      <c r="K217" s="73">
        <f t="shared" si="49"/>
        <v>16615994.534821384</v>
      </c>
      <c r="L217" s="73">
        <f t="shared" si="50"/>
        <v>43044057.60546004</v>
      </c>
      <c r="M217" s="73">
        <f>-SUMIFS(FinParameters!$E$8:$E$39,FinParameters!$B$8:$B$39,Financials!$E217,FinParameters!$C$8:$C$39,Financials!$F217)</f>
        <v>-12034213.209217733</v>
      </c>
      <c r="N217" s="73">
        <f>-SUMIFS(FinParameters!$F$8:$F$39,FinParameters!$B$8:$B$39,Financials!$E217,FinParameters!$C$8:$C$39,Financials!$F217)</f>
        <v>-73600000</v>
      </c>
      <c r="O217" s="73">
        <f>SUMIFS(FinParameters!$G$8:$G$39,FinParameters!$B$8:$B$39,Financials!$E217,FinParameters!$C$8:$C$39,Financials!$F217)</f>
        <v>6164003.5878098402</v>
      </c>
      <c r="P217" s="73">
        <f t="shared" si="51"/>
        <v>34000896.554210603</v>
      </c>
      <c r="Q217" s="73">
        <f>P217/SUMIFS(FinParameters!$H$8:$H$39,FinParameters!$B$8:$B$39,Financials!$E217,FinParameters!$C$8:$C$39,Financials!$F217)</f>
        <v>9718844.2746605221</v>
      </c>
      <c r="R217" s="73">
        <f t="shared" si="63"/>
        <v>-33435099.857979558</v>
      </c>
      <c r="S217" s="12">
        <f t="shared" si="52"/>
        <v>-0.49580493559572614</v>
      </c>
      <c r="T217" s="114">
        <f t="shared" si="53"/>
        <v>-29419115.228606954</v>
      </c>
      <c r="U217" s="73">
        <f>T217/SUMIFS(FinParameters!$L$8:$L$39,FinParameters!$B$8:$B$39,Financials!$E217,FinParameters!$C$8:$C$39,Financials!$F217)</f>
        <v>-21874756.261056762</v>
      </c>
      <c r="V217" s="73">
        <f t="shared" si="54"/>
        <v>-21874756.261056762</v>
      </c>
      <c r="W217" s="12"/>
      <c r="X217" s="73">
        <f t="shared" si="55"/>
        <v>4581781.3256036509</v>
      </c>
      <c r="Y217" s="73">
        <f t="shared" si="56"/>
        <v>-12155911.98639624</v>
      </c>
      <c r="Z217" s="73">
        <f t="shared" si="56"/>
        <v>-55309856.119036317</v>
      </c>
      <c r="AA217" s="12">
        <f t="shared" si="57"/>
        <v>-0.82018297440086696</v>
      </c>
      <c r="AB217" s="114">
        <f t="shared" si="58"/>
        <v>26428063.070638657</v>
      </c>
      <c r="AC217" s="73">
        <f>AB217/SUMIFS(FinParameters!$L$8:$L$39,FinParameters!$B$8:$B$39,Financials!$E217,FinParameters!$C$8:$C$39,Financials!$F217)</f>
        <v>19650741.826521963</v>
      </c>
      <c r="AD217" s="73">
        <f t="shared" si="59"/>
        <v>19650741.826521963</v>
      </c>
      <c r="AE217" s="12"/>
      <c r="AF217" s="73">
        <f t="shared" si="60"/>
        <v>31009844.396242306</v>
      </c>
      <c r="AG217" s="73">
        <f t="shared" si="61"/>
        <v>7494829.8401257228</v>
      </c>
      <c r="AH217" s="73">
        <f t="shared" si="61"/>
        <v>-35659114.292514354</v>
      </c>
      <c r="AI217" s="12">
        <f t="shared" si="62"/>
        <v>-0.5287845689200551</v>
      </c>
      <c r="AL217" s="73">
        <f>Summary!G217</f>
        <v>-6468695.1928835874</v>
      </c>
      <c r="AM217" s="73">
        <f>IF(D217&lt;&gt;"avg",SUMIFS(Summary!$H:$H,Summary!$C:$C,Financials!C217,Summary!$E:$E,Financials!E217,Summary!$D:$D,1-Financials!D217,Summary!$F:$F,Financials!F217),SUMIFS(Summary!$H:$H,Summary!$C:$C,Financials!C217,Summary!$E:$E,Financials!E217,Summary!$D:$D,"avg",Summary!$F:$F,Financials!F217))</f>
        <v>3105139.3178287721</v>
      </c>
      <c r="AN217" s="20">
        <f>Summary!I217</f>
        <v>4752681.2919299835</v>
      </c>
      <c r="AP217" s="12">
        <v>1</v>
      </c>
    </row>
    <row r="218" spans="1:42" x14ac:dyDescent="0.3">
      <c r="A218">
        <v>214</v>
      </c>
      <c r="B218" t="str">
        <f>Summary!B218</f>
        <v>MarinusPortland</v>
      </c>
      <c r="C218" t="str">
        <f>Summary!C218</f>
        <v>Wind</v>
      </c>
      <c r="D218" s="104">
        <f>Summary!D218</f>
        <v>0.05</v>
      </c>
      <c r="E218" t="str">
        <f>Summary!E218</f>
        <v>Cal-32</v>
      </c>
      <c r="F218" t="str">
        <f>Summary!F218</f>
        <v>2 Hour Battery</v>
      </c>
      <c r="G218" s="73">
        <f>SUMIFS(AL$5:AL218,$F$5:$F218,$F218,$D$5:$D218,$D218)</f>
        <v>-63573010.067096964</v>
      </c>
      <c r="H218" s="73">
        <f>SUMIFS(AM$5:AM218,$F$5:$F218,$F218,$D$5:$D218,$D218)</f>
        <v>61320943.156968191</v>
      </c>
      <c r="I218" s="20">
        <f>SUMIFS(AN$5:AN218,$F$5:$F218,$F218,$D$5:$D218,$D218)</f>
        <v>35252465.733624555</v>
      </c>
      <c r="J218" s="73">
        <f t="shared" si="48"/>
        <v>35252465.733624555</v>
      </c>
      <c r="K218" s="73">
        <f t="shared" si="49"/>
        <v>-28320544.333472408</v>
      </c>
      <c r="L218" s="73">
        <f t="shared" si="50"/>
        <v>33000398.823495783</v>
      </c>
      <c r="M218" s="73">
        <f>-SUMIFS(FinParameters!$E$8:$E$39,FinParameters!$B$8:$B$39,Financials!$E218,FinParameters!$C$8:$C$39,Financials!$F218)</f>
        <v>-12034213.209217733</v>
      </c>
      <c r="N218" s="73">
        <f>-SUMIFS(FinParameters!$F$8:$F$39,FinParameters!$B$8:$B$39,Financials!$E218,FinParameters!$C$8:$C$39,Financials!$F218)</f>
        <v>-73600000</v>
      </c>
      <c r="O218" s="73">
        <f>SUMIFS(FinParameters!$G$8:$G$39,FinParameters!$B$8:$B$39,Financials!$E218,FinParameters!$C$8:$C$39,Financials!$F218)</f>
        <v>6164003.5878098402</v>
      </c>
      <c r="P218" s="73">
        <f t="shared" si="51"/>
        <v>23218252.524406821</v>
      </c>
      <c r="Q218" s="73">
        <f>P218/SUMIFS(FinParameters!$H$8:$H$39,FinParameters!$B$8:$B$39,Financials!$E218,FinParameters!$C$8:$C$39,Financials!$F218)</f>
        <v>6636724.4244478261</v>
      </c>
      <c r="R218" s="73">
        <f t="shared" si="63"/>
        <v>-44217743.887783341</v>
      </c>
      <c r="S218" s="12">
        <f t="shared" si="52"/>
        <v>-0.65569942227160838</v>
      </c>
      <c r="T218" s="114">
        <f t="shared" si="53"/>
        <v>-63573010.067096964</v>
      </c>
      <c r="U218" s="73">
        <f>T218/SUMIFS(FinParameters!$L$8:$L$39,FinParameters!$B$8:$B$39,Financials!$E218,FinParameters!$C$8:$C$39,Financials!$F218)</f>
        <v>-47270085.7654346</v>
      </c>
      <c r="V218" s="73">
        <f t="shared" si="54"/>
        <v>-47270085.7654346</v>
      </c>
      <c r="W218" s="12"/>
      <c r="X218" s="73">
        <f t="shared" si="55"/>
        <v>-40354757.542690143</v>
      </c>
      <c r="Y218" s="73">
        <f t="shared" si="56"/>
        <v>-40633361.340986773</v>
      </c>
      <c r="Z218" s="73">
        <f t="shared" si="56"/>
        <v>-91487829.653217942</v>
      </c>
      <c r="AA218" s="12">
        <f t="shared" si="57"/>
        <v>-1.356661642455987</v>
      </c>
      <c r="AB218" s="114">
        <f t="shared" si="58"/>
        <v>61320943.156968191</v>
      </c>
      <c r="AC218" s="73">
        <f>AB218/SUMIFS(FinParameters!$L$8:$L$39,FinParameters!$B$8:$B$39,Financials!$E218,FinParameters!$C$8:$C$39,Financials!$F218)</f>
        <v>45595548.160892546</v>
      </c>
      <c r="AD218" s="73">
        <f t="shared" si="59"/>
        <v>45595548.160892546</v>
      </c>
      <c r="AE218" s="12"/>
      <c r="AF218" s="73">
        <f t="shared" si="60"/>
        <v>20966185.614278048</v>
      </c>
      <c r="AG218" s="73">
        <f t="shared" si="61"/>
        <v>4962186.8199057728</v>
      </c>
      <c r="AH218" s="73">
        <f t="shared" si="61"/>
        <v>-45892281.492325395</v>
      </c>
      <c r="AI218" s="12">
        <f t="shared" si="62"/>
        <v>-0.68053093205322046</v>
      </c>
      <c r="AL218" s="73">
        <f>Summary!G218</f>
        <v>-9436194.5767296143</v>
      </c>
      <c r="AM218" s="73">
        <f>IF(D218&lt;&gt;"avg",SUMIFS(Summary!$H:$H,Summary!$C:$C,Financials!C218,Summary!$E:$E,Financials!E218,Summary!$D:$D,1-Financials!D218,Summary!$F:$F,Financials!F218),SUMIFS(Summary!$H:$H,Summary!$C:$C,Financials!C218,Summary!$E:$E,Financials!E218,Summary!$D:$D,"avg",Summary!$F:$F,Financials!F218))</f>
        <v>7060266.2572589591</v>
      </c>
      <c r="AN218" s="20">
        <f>Summary!I218</f>
        <v>3781044.372806021</v>
      </c>
      <c r="AP218" s="12">
        <v>1</v>
      </c>
    </row>
    <row r="219" spans="1:42" x14ac:dyDescent="0.3">
      <c r="A219">
        <v>215</v>
      </c>
      <c r="B219" t="str">
        <f>Summary!B219</f>
        <v>MarinusPortland</v>
      </c>
      <c r="C219" t="str">
        <f>Summary!C219</f>
        <v>Wind</v>
      </c>
      <c r="D219" s="104">
        <f>Summary!D219</f>
        <v>0</v>
      </c>
      <c r="E219" t="str">
        <f>Summary!E219</f>
        <v>Cal-32</v>
      </c>
      <c r="F219" t="str">
        <f>Summary!F219</f>
        <v>2 Hour Battery</v>
      </c>
      <c r="G219" s="73">
        <f>SUMIFS(AL$5:AL219,$F$5:$F219,$F219,$D$5:$D219,$D219)</f>
        <v>-114367576.00145237</v>
      </c>
      <c r="H219" s="73">
        <f>SUMIFS(AM$5:AM219,$F$5:$F219,$F219,$D$5:$D219,$D219)</f>
        <v>131711442.6338141</v>
      </c>
      <c r="I219" s="20">
        <f>SUMIFS(AN$5:AN219,$F$5:$F219,$F219,$D$5:$D219,$D219)</f>
        <v>19366829.213661663</v>
      </c>
      <c r="J219" s="73">
        <f t="shared" si="48"/>
        <v>19366829.213661663</v>
      </c>
      <c r="K219" s="73">
        <f t="shared" si="49"/>
        <v>-95000746.787790716</v>
      </c>
      <c r="L219" s="73">
        <f t="shared" si="50"/>
        <v>36710695.846023388</v>
      </c>
      <c r="M219" s="73">
        <f>-SUMIFS(FinParameters!$E$8:$E$39,FinParameters!$B$8:$B$39,Financials!$E219,FinParameters!$C$8:$C$39,Financials!$F219)</f>
        <v>-12034213.209217733</v>
      </c>
      <c r="N219" s="73">
        <f>-SUMIFS(FinParameters!$F$8:$F$39,FinParameters!$B$8:$B$39,Financials!$E219,FinParameters!$C$8:$C$39,Financials!$F219)</f>
        <v>-73600000</v>
      </c>
      <c r="O219" s="73">
        <f>SUMIFS(FinParameters!$G$8:$G$39,FinParameters!$B$8:$B$39,Financials!$E219,FinParameters!$C$8:$C$39,Financials!$F219)</f>
        <v>6164003.5878098402</v>
      </c>
      <c r="P219" s="73">
        <f t="shared" si="51"/>
        <v>7332616.0044439305</v>
      </c>
      <c r="Q219" s="73">
        <f>P219/SUMIFS(FinParameters!$H$8:$H$39,FinParameters!$B$8:$B$39,Financials!$E219,FinParameters!$C$8:$C$39,Financials!$F219)</f>
        <v>2095960.9979534128</v>
      </c>
      <c r="R219" s="73">
        <f t="shared" si="63"/>
        <v>-60103380.407746233</v>
      </c>
      <c r="S219" s="12">
        <f t="shared" si="52"/>
        <v>-0.89126554963873228</v>
      </c>
      <c r="T219" s="114">
        <f t="shared" si="53"/>
        <v>-114367576.00145237</v>
      </c>
      <c r="U219" s="73">
        <f>T219/SUMIFS(FinParameters!$L$8:$L$39,FinParameters!$B$8:$B$39,Financials!$E219,FinParameters!$C$8:$C$39,Financials!$F219)</f>
        <v>-85038684.194246516</v>
      </c>
      <c r="V219" s="73">
        <f t="shared" si="54"/>
        <v>-85038684.194246516</v>
      </c>
      <c r="W219" s="12"/>
      <c r="X219" s="73">
        <f t="shared" si="55"/>
        <v>-107034959.99700844</v>
      </c>
      <c r="Y219" s="73">
        <f t="shared" si="56"/>
        <v>-82942723.196293101</v>
      </c>
      <c r="Z219" s="73">
        <f t="shared" si="56"/>
        <v>-145142064.60199276</v>
      </c>
      <c r="AA219" s="12">
        <f t="shared" si="57"/>
        <v>-2.1522936165254904</v>
      </c>
      <c r="AB219" s="114">
        <f t="shared" si="58"/>
        <v>131711442.6338141</v>
      </c>
      <c r="AC219" s="73">
        <f>AB219/SUMIFS(FinParameters!$L$8:$L$39,FinParameters!$B$8:$B$39,Financials!$E219,FinParameters!$C$8:$C$39,Financials!$F219)</f>
        <v>97934818.298180044</v>
      </c>
      <c r="AD219" s="73">
        <f t="shared" si="59"/>
        <v>97934818.298180044</v>
      </c>
      <c r="AE219" s="12"/>
      <c r="AF219" s="73">
        <f t="shared" si="60"/>
        <v>24676482.636805654</v>
      </c>
      <c r="AG219" s="73">
        <f t="shared" si="61"/>
        <v>14992095.101886943</v>
      </c>
      <c r="AH219" s="73">
        <f t="shared" si="61"/>
        <v>-47207246.303812712</v>
      </c>
      <c r="AI219" s="12">
        <f t="shared" si="62"/>
        <v>-0.70003038162685516</v>
      </c>
      <c r="AL219" s="73">
        <f>Summary!G219</f>
        <v>-13341907.085893514</v>
      </c>
      <c r="AM219" s="73">
        <f>IF(D219&lt;&gt;"avg",SUMIFS(Summary!$H:$H,Summary!$C:$C,Financials!C219,Summary!$E:$E,Financials!E219,Summary!$D:$D,1-Financials!D219,Summary!$F:$F,Financials!F219),SUMIFS(Summary!$H:$H,Summary!$C:$C,Financials!C219,Summary!$E:$E,Financials!E219,Summary!$D:$D,"avg",Summary!$F:$F,Financials!F219))</f>
        <v>14936568.197557278</v>
      </c>
      <c r="AN219" s="20">
        <f>Summary!I219</f>
        <v>2543055.6068644882</v>
      </c>
      <c r="AP219" s="12">
        <v>1</v>
      </c>
    </row>
    <row r="220" spans="1:42" x14ac:dyDescent="0.3">
      <c r="A220">
        <v>216</v>
      </c>
      <c r="B220" t="str">
        <f>Summary!B220</f>
        <v>MarinusPortland</v>
      </c>
      <c r="C220" t="str">
        <f>Summary!C220</f>
        <v>Wind</v>
      </c>
      <c r="D220" s="104" t="str">
        <f>Summary!D220</f>
        <v>avg</v>
      </c>
      <c r="E220" t="str">
        <f>Summary!E220</f>
        <v>Cal-32</v>
      </c>
      <c r="F220" t="str">
        <f>Summary!F220</f>
        <v>2 Hour Battery</v>
      </c>
      <c r="G220" s="73">
        <f>SUMIFS(AL$5:AL220,$F$5:$F220,$F220,$D$5:$D220,$D220)</f>
        <v>7816853.3920148062</v>
      </c>
      <c r="H220" s="73">
        <f>SUMIFS(AM$5:AM220,$F$5:$F220,$F220,$D$5:$D220,$D220)</f>
        <v>-1675307.5189032557</v>
      </c>
      <c r="I220" s="20">
        <f>SUMIFS(AN$5:AN220,$F$5:$F220,$F220,$D$5:$D220,$D220)</f>
        <v>55388480.032721192</v>
      </c>
      <c r="J220" s="73">
        <f t="shared" si="48"/>
        <v>55388480.032721192</v>
      </c>
      <c r="K220" s="73">
        <f t="shared" si="49"/>
        <v>63205333.424736001</v>
      </c>
      <c r="L220" s="73">
        <f t="shared" si="50"/>
        <v>61530025.905832745</v>
      </c>
      <c r="M220" s="73">
        <f>-SUMIFS(FinParameters!$E$8:$E$39,FinParameters!$B$8:$B$39,Financials!$E220,FinParameters!$C$8:$C$39,Financials!$F220)</f>
        <v>-12034213.209217733</v>
      </c>
      <c r="N220" s="73">
        <f>-SUMIFS(FinParameters!$F$8:$F$39,FinParameters!$B$8:$B$39,Financials!$E220,FinParameters!$C$8:$C$39,Financials!$F220)</f>
        <v>-73600000</v>
      </c>
      <c r="O220" s="73">
        <f>SUMIFS(FinParameters!$G$8:$G$39,FinParameters!$B$8:$B$39,Financials!$E220,FinParameters!$C$8:$C$39,Financials!$F220)</f>
        <v>6164003.5878098402</v>
      </c>
      <c r="P220" s="73">
        <f t="shared" si="51"/>
        <v>43354266.823503457</v>
      </c>
      <c r="Q220" s="73">
        <f>P220/SUMIFS(FinParameters!$H$8:$H$39,FinParameters!$B$8:$B$39,Financials!$E220,FinParameters!$C$8:$C$39,Financials!$F220)</f>
        <v>12392419.335999293</v>
      </c>
      <c r="R220" s="73">
        <f t="shared" si="63"/>
        <v>-24081729.588686705</v>
      </c>
      <c r="S220" s="12">
        <f t="shared" si="52"/>
        <v>-0.3571049716755359</v>
      </c>
      <c r="T220" s="114">
        <f t="shared" si="53"/>
        <v>7816853.3920148062</v>
      </c>
      <c r="U220" s="73">
        <f>T220/SUMIFS(FinParameters!$L$8:$L$39,FinParameters!$B$8:$B$39,Financials!$E220,FinParameters!$C$8:$C$39,Financials!$F220)</f>
        <v>5812267.3421689924</v>
      </c>
      <c r="V220" s="73">
        <f t="shared" si="54"/>
        <v>5812267.3421689924</v>
      </c>
      <c r="W220" s="12"/>
      <c r="X220" s="73">
        <f t="shared" si="55"/>
        <v>51171120.215518266</v>
      </c>
      <c r="Y220" s="73">
        <f t="shared" si="56"/>
        <v>18204686.678168286</v>
      </c>
      <c r="Z220" s="73">
        <f t="shared" si="56"/>
        <v>-18269462.24651771</v>
      </c>
      <c r="AA220" s="12">
        <f t="shared" si="57"/>
        <v>-0.27091558245612585</v>
      </c>
      <c r="AB220" s="114">
        <f t="shared" si="58"/>
        <v>-1675307.5189032557</v>
      </c>
      <c r="AC220" s="73">
        <f>AB220/SUMIFS(FinParameters!$L$8:$L$39,FinParameters!$B$8:$B$39,Financials!$E220,FinParameters!$C$8:$C$39,Financials!$F220)</f>
        <v>-1245684.7649411706</v>
      </c>
      <c r="AD220" s="73">
        <f t="shared" si="59"/>
        <v>-1245684.7649411706</v>
      </c>
      <c r="AE220" s="12"/>
      <c r="AF220" s="73">
        <f t="shared" si="60"/>
        <v>49495812.69661501</v>
      </c>
      <c r="AG220" s="73">
        <f t="shared" si="61"/>
        <v>16959001.913227115</v>
      </c>
      <c r="AH220" s="73">
        <f t="shared" si="61"/>
        <v>-19515147.011458881</v>
      </c>
      <c r="AI220" s="12">
        <f t="shared" si="62"/>
        <v>-0.28938768683977212</v>
      </c>
      <c r="AL220" s="73">
        <f>Summary!G220</f>
        <v>-3357649.7288134275</v>
      </c>
      <c r="AM220" s="73">
        <f>IF(D220&lt;&gt;"avg",SUMIFS(Summary!$H:$H,Summary!$C:$C,Financials!C220,Summary!$E:$E,Financials!E220,Summary!$D:$D,1-Financials!D220,Summary!$F:$F,Financials!F220),SUMIFS(Summary!$H:$H,Summary!$C:$C,Financials!C220,Summary!$E:$E,Financials!E220,Summary!$D:$D,"avg",Summary!$F:$F,Financials!F220))</f>
        <v>-257699.8018535398</v>
      </c>
      <c r="AN220" s="20">
        <f>Summary!I220</f>
        <v>5573827.2217541821</v>
      </c>
      <c r="AP220" s="12">
        <v>1</v>
      </c>
    </row>
    <row r="221" spans="1:42" x14ac:dyDescent="0.3">
      <c r="A221">
        <v>217</v>
      </c>
      <c r="B221" t="str">
        <f>Summary!B221</f>
        <v>MarinusPortland</v>
      </c>
      <c r="C221" t="str">
        <f>Summary!C221</f>
        <v>Wind</v>
      </c>
      <c r="D221" s="104">
        <f>Summary!D221</f>
        <v>1</v>
      </c>
      <c r="E221" t="str">
        <f>Summary!E221</f>
        <v>Cal-33</v>
      </c>
      <c r="F221" t="str">
        <f>Summary!F221</f>
        <v>2 Hour Battery</v>
      </c>
      <c r="G221" s="73">
        <f>SUMIFS(AL$5:AL221,$F$5:$F221,$F221,$D$5:$D221,$D221)</f>
        <v>232662493.21639121</v>
      </c>
      <c r="H221" s="73">
        <f>SUMIFS(AM$5:AM221,$F$5:$F221,$F221,$D$5:$D221,$D221)</f>
        <v>-188282407.25349849</v>
      </c>
      <c r="I221" s="20">
        <f>SUMIFS(AN$5:AN221,$F$5:$F221,$F221,$D$5:$D221,$D221)</f>
        <v>124828907.20068268</v>
      </c>
      <c r="J221" s="73">
        <f t="shared" si="48"/>
        <v>124828907.20068268</v>
      </c>
      <c r="K221" s="73">
        <f t="shared" si="49"/>
        <v>357491400.41707391</v>
      </c>
      <c r="L221" s="73">
        <f t="shared" si="50"/>
        <v>169208993.16357541</v>
      </c>
      <c r="M221" s="73">
        <f>-SUMIFS(FinParameters!$E$8:$E$39,FinParameters!$B$8:$B$39,Financials!$E221,FinParameters!$C$8:$C$39,Financials!$F221)</f>
        <v>-13123818.539448176</v>
      </c>
      <c r="N221" s="73">
        <f>-SUMIFS(FinParameters!$F$8:$F$39,FinParameters!$B$8:$B$39,Financials!$E221,FinParameters!$C$8:$C$39,Financials!$F221)</f>
        <v>-73600000</v>
      </c>
      <c r="O221" s="73">
        <f>SUMIFS(FinParameters!$G$8:$G$39,FinParameters!$B$8:$B$39,Financials!$E221,FinParameters!$C$8:$C$39,Financials!$F221)</f>
        <v>5130793.1350678215</v>
      </c>
      <c r="P221" s="73">
        <f t="shared" si="51"/>
        <v>111705088.66123451</v>
      </c>
      <c r="Q221" s="73">
        <f>P221/SUMIFS(FinParameters!$H$8:$H$39,FinParameters!$B$8:$B$39,Financials!$E221,FinParameters!$C$8:$C$39,Financials!$F221)</f>
        <v>28765652.743037041</v>
      </c>
      <c r="R221" s="73">
        <f t="shared" si="63"/>
        <v>43235881.796302333</v>
      </c>
      <c r="S221" s="12">
        <f t="shared" si="52"/>
        <v>0.6314646214844124</v>
      </c>
      <c r="T221" s="114">
        <f t="shared" si="53"/>
        <v>232662493.21639121</v>
      </c>
      <c r="U221" s="73">
        <f>T221/SUMIFS(FinParameters!$L$8:$L$39,FinParameters!$B$8:$B$39,Financials!$E221,FinParameters!$C$8:$C$39,Financials!$F221)</f>
        <v>168778113.22962135</v>
      </c>
      <c r="V221" s="73">
        <f t="shared" si="54"/>
        <v>168778113.22962135</v>
      </c>
      <c r="W221" s="12"/>
      <c r="X221" s="73">
        <f t="shared" si="55"/>
        <v>344367581.8776257</v>
      </c>
      <c r="Y221" s="73">
        <f t="shared" si="56"/>
        <v>197543765.9726584</v>
      </c>
      <c r="Z221" s="73">
        <f t="shared" si="56"/>
        <v>212013995.02592367</v>
      </c>
      <c r="AA221" s="12">
        <f t="shared" si="57"/>
        <v>3.0964867965267859</v>
      </c>
      <c r="AB221" s="114">
        <f t="shared" si="58"/>
        <v>-188282407.25349849</v>
      </c>
      <c r="AC221" s="73">
        <f>AB221/SUMIFS(FinParameters!$L$8:$L$39,FinParameters!$B$8:$B$39,Financials!$E221,FinParameters!$C$8:$C$39,Financials!$F221)</f>
        <v>-136583894.5988647</v>
      </c>
      <c r="AD221" s="73">
        <f t="shared" si="59"/>
        <v>-136583894.5988647</v>
      </c>
      <c r="AE221" s="12"/>
      <c r="AF221" s="73">
        <f t="shared" si="60"/>
        <v>156085174.62412721</v>
      </c>
      <c r="AG221" s="73">
        <f t="shared" si="61"/>
        <v>60959871.373793691</v>
      </c>
      <c r="AH221" s="73">
        <f t="shared" si="61"/>
        <v>75430100.427058965</v>
      </c>
      <c r="AI221" s="12">
        <f t="shared" si="62"/>
        <v>1.101664585889806</v>
      </c>
      <c r="AL221" s="73">
        <f>Summary!G221</f>
        <v>16245806.461181702</v>
      </c>
      <c r="AM221" s="73">
        <f>IF(D221&lt;&gt;"avg",SUMIFS(Summary!$H:$H,Summary!$C:$C,Financials!C221,Summary!$E:$E,Financials!E221,Summary!$D:$D,1-Financials!D221,Summary!$F:$F,Financials!F221),SUMIFS(Summary!$H:$H,Summary!$C:$C,Financials!C221,Summary!$E:$E,Financials!E221,Summary!$D:$D,"avg",Summary!$F:$F,Financials!F221))</f>
        <v>-17749414.236748271</v>
      </c>
      <c r="AN221" s="20">
        <f>Summary!I221</f>
        <v>10748156.612432642</v>
      </c>
      <c r="AP221" s="12">
        <v>1</v>
      </c>
    </row>
    <row r="222" spans="1:42" x14ac:dyDescent="0.3">
      <c r="A222">
        <v>218</v>
      </c>
      <c r="B222" t="str">
        <f>Summary!B222</f>
        <v>MarinusPortland</v>
      </c>
      <c r="C222" t="str">
        <f>Summary!C222</f>
        <v>Wind</v>
      </c>
      <c r="D222" s="104">
        <f>Summary!D222</f>
        <v>0.95</v>
      </c>
      <c r="E222" t="str">
        <f>Summary!E222</f>
        <v>Cal-33</v>
      </c>
      <c r="F222" t="str">
        <f>Summary!F222</f>
        <v>2 Hour Battery</v>
      </c>
      <c r="G222" s="73">
        <f>SUMIFS(AL$5:AL222,$F$5:$F222,$F222,$D$5:$D222,$D222)</f>
        <v>107355488.86789337</v>
      </c>
      <c r="H222" s="73">
        <f>SUMIFS(AM$5:AM222,$F$5:$F222,$F222,$D$5:$D222,$D222)</f>
        <v>-79977888.388049141</v>
      </c>
      <c r="I222" s="20">
        <f>SUMIFS(AN$5:AN222,$F$5:$F222,$F222,$D$5:$D222,$D222)</f>
        <v>86209827.775852278</v>
      </c>
      <c r="J222" s="73">
        <f t="shared" si="48"/>
        <v>86209827.775852278</v>
      </c>
      <c r="K222" s="73">
        <f t="shared" si="49"/>
        <v>193565316.64374566</v>
      </c>
      <c r="L222" s="73">
        <f t="shared" si="50"/>
        <v>113587428.25569651</v>
      </c>
      <c r="M222" s="73">
        <f>-SUMIFS(FinParameters!$E$8:$E$39,FinParameters!$B$8:$B$39,Financials!$E222,FinParameters!$C$8:$C$39,Financials!$F222)</f>
        <v>-13123818.539448176</v>
      </c>
      <c r="N222" s="73">
        <f>-SUMIFS(FinParameters!$F$8:$F$39,FinParameters!$B$8:$B$39,Financials!$E222,FinParameters!$C$8:$C$39,Financials!$F222)</f>
        <v>-73600000</v>
      </c>
      <c r="O222" s="73">
        <f>SUMIFS(FinParameters!$G$8:$G$39,FinParameters!$B$8:$B$39,Financials!$E222,FinParameters!$C$8:$C$39,Financials!$F222)</f>
        <v>5130793.1350678215</v>
      </c>
      <c r="P222" s="73">
        <f t="shared" si="51"/>
        <v>73086009.236404106</v>
      </c>
      <c r="Q222" s="73">
        <f>P222/SUMIFS(FinParameters!$H$8:$H$39,FinParameters!$B$8:$B$39,Financials!$E222,FinParameters!$C$8:$C$39,Financials!$F222)</f>
        <v>18820689.256553013</v>
      </c>
      <c r="R222" s="73">
        <f t="shared" si="63"/>
        <v>4616802.3714719275</v>
      </c>
      <c r="S222" s="12">
        <f t="shared" si="52"/>
        <v>6.7428886398222782E-2</v>
      </c>
      <c r="T222" s="114">
        <f t="shared" si="53"/>
        <v>107355488.86789337</v>
      </c>
      <c r="U222" s="73">
        <f>T222/SUMIFS(FinParameters!$L$8:$L$39,FinParameters!$B$8:$B$39,Financials!$E222,FinParameters!$C$8:$C$39,Financials!$F222)</f>
        <v>77877859.063061699</v>
      </c>
      <c r="V222" s="73">
        <f t="shared" si="54"/>
        <v>77877859.063061699</v>
      </c>
      <c r="W222" s="12"/>
      <c r="X222" s="73">
        <f t="shared" si="55"/>
        <v>180441498.10429749</v>
      </c>
      <c r="Y222" s="73">
        <f t="shared" si="56"/>
        <v>96698548.319614708</v>
      </c>
      <c r="Z222" s="73">
        <f t="shared" si="56"/>
        <v>82494661.434533626</v>
      </c>
      <c r="AA222" s="12">
        <f t="shared" si="57"/>
        <v>1.2048432457713316</v>
      </c>
      <c r="AB222" s="114">
        <f t="shared" si="58"/>
        <v>-79977888.388049141</v>
      </c>
      <c r="AC222" s="73">
        <f>AB222/SUMIFS(FinParameters!$L$8:$L$39,FinParameters!$B$8:$B$39,Financials!$E222,FinParameters!$C$8:$C$39,Financials!$F222)</f>
        <v>-58017589.838469066</v>
      </c>
      <c r="AD222" s="73">
        <f t="shared" si="59"/>
        <v>-58017589.838469066</v>
      </c>
      <c r="AE222" s="12"/>
      <c r="AF222" s="73">
        <f t="shared" si="60"/>
        <v>100463609.71624835</v>
      </c>
      <c r="AG222" s="73">
        <f t="shared" si="61"/>
        <v>38680958.481145643</v>
      </c>
      <c r="AH222" s="73">
        <f t="shared" si="61"/>
        <v>24477071.59606456</v>
      </c>
      <c r="AI222" s="12">
        <f t="shared" si="62"/>
        <v>0.35749021665096814</v>
      </c>
      <c r="AL222" s="73">
        <f>Summary!G222</f>
        <v>5773284.0838598032</v>
      </c>
      <c r="AM222" s="73">
        <f>IF(D222&lt;&gt;"avg",SUMIFS(Summary!$H:$H,Summary!$C:$C,Financials!C222,Summary!$E:$E,Financials!E222,Summary!$D:$D,1-Financials!D222,Summary!$F:$F,Financials!F222),SUMIFS(Summary!$H:$H,Summary!$C:$C,Financials!C222,Summary!$E:$E,Financials!E222,Summary!$D:$D,"avg",Summary!$F:$F,Financials!F222))</f>
        <v>-8756814.1166702956</v>
      </c>
      <c r="AN222" s="20">
        <f>Summary!I222</f>
        <v>7874760.7173458422</v>
      </c>
      <c r="AP222" s="12">
        <v>1</v>
      </c>
    </row>
    <row r="223" spans="1:42" x14ac:dyDescent="0.3">
      <c r="A223">
        <v>219</v>
      </c>
      <c r="B223" t="str">
        <f>Summary!B223</f>
        <v>MarinusPortland</v>
      </c>
      <c r="C223" t="str">
        <f>Summary!C223</f>
        <v>Wind</v>
      </c>
      <c r="D223" s="104">
        <f>Summary!D223</f>
        <v>0.75</v>
      </c>
      <c r="E223" t="str">
        <f>Summary!E223</f>
        <v>Cal-33</v>
      </c>
      <c r="F223" t="str">
        <f>Summary!F223</f>
        <v>2 Hour Battery</v>
      </c>
      <c r="G223" s="73">
        <f>SUMIFS(AL$5:AL223,$F$5:$F223,$F223,$D$5:$D223,$D223)</f>
        <v>41725023.19894357</v>
      </c>
      <c r="H223" s="73">
        <f>SUMIFS(AM$5:AM223,$F$5:$F223,$F223,$D$5:$D223,$D223)</f>
        <v>-31755215.881860621</v>
      </c>
      <c r="I223" s="20">
        <f>SUMIFS(AN$5:AN223,$F$5:$F223,$F223,$D$5:$D223,$D223)</f>
        <v>70910226.329375058</v>
      </c>
      <c r="J223" s="73">
        <f t="shared" si="48"/>
        <v>70910226.329375058</v>
      </c>
      <c r="K223" s="73">
        <f t="shared" si="49"/>
        <v>112635249.52831863</v>
      </c>
      <c r="L223" s="73">
        <f t="shared" si="50"/>
        <v>80880033.646458</v>
      </c>
      <c r="M223" s="73">
        <f>-SUMIFS(FinParameters!$E$8:$E$39,FinParameters!$B$8:$B$39,Financials!$E223,FinParameters!$C$8:$C$39,Financials!$F223)</f>
        <v>-13123818.539448176</v>
      </c>
      <c r="N223" s="73">
        <f>-SUMIFS(FinParameters!$F$8:$F$39,FinParameters!$B$8:$B$39,Financials!$E223,FinParameters!$C$8:$C$39,Financials!$F223)</f>
        <v>-73600000</v>
      </c>
      <c r="O223" s="73">
        <f>SUMIFS(FinParameters!$G$8:$G$39,FinParameters!$B$8:$B$39,Financials!$E223,FinParameters!$C$8:$C$39,Financials!$F223)</f>
        <v>5130793.1350678215</v>
      </c>
      <c r="P223" s="73">
        <f t="shared" si="51"/>
        <v>57786407.789926887</v>
      </c>
      <c r="Q223" s="73">
        <f>P223/SUMIFS(FinParameters!$H$8:$H$39,FinParameters!$B$8:$B$39,Financials!$E223,FinParameters!$C$8:$C$39,Financials!$F223)</f>
        <v>14880823.780496489</v>
      </c>
      <c r="R223" s="73">
        <f t="shared" si="63"/>
        <v>-10682799.075005293</v>
      </c>
      <c r="S223" s="12">
        <f t="shared" si="52"/>
        <v>-0.15602340912286358</v>
      </c>
      <c r="T223" s="114">
        <f t="shared" si="53"/>
        <v>41725023.19894357</v>
      </c>
      <c r="U223" s="73">
        <f>T223/SUMIFS(FinParameters!$L$8:$L$39,FinParameters!$B$8:$B$39,Financials!$E223,FinParameters!$C$8:$C$39,Financials!$F223)</f>
        <v>30268182.003147829</v>
      </c>
      <c r="V223" s="73">
        <f t="shared" si="54"/>
        <v>30268182.003147829</v>
      </c>
      <c r="W223" s="12"/>
      <c r="X223" s="73">
        <f t="shared" si="55"/>
        <v>99511430.988870457</v>
      </c>
      <c r="Y223" s="73">
        <f t="shared" si="56"/>
        <v>45149005.783644319</v>
      </c>
      <c r="Z223" s="73">
        <f t="shared" si="56"/>
        <v>19585382.928142536</v>
      </c>
      <c r="AA223" s="12">
        <f t="shared" si="57"/>
        <v>0.28604658685149115</v>
      </c>
      <c r="AB223" s="114">
        <f t="shared" si="58"/>
        <v>-31755215.881860621</v>
      </c>
      <c r="AC223" s="73">
        <f>AB223/SUMIFS(FinParameters!$L$8:$L$39,FinParameters!$B$8:$B$39,Financials!$E223,FinParameters!$C$8:$C$39,Financials!$F223)</f>
        <v>-23035880.633991919</v>
      </c>
      <c r="AD223" s="73">
        <f t="shared" si="59"/>
        <v>-23035880.633991919</v>
      </c>
      <c r="AE223" s="12"/>
      <c r="AF223" s="73">
        <f t="shared" si="60"/>
        <v>67756215.107009828</v>
      </c>
      <c r="AG223" s="73">
        <f t="shared" si="61"/>
        <v>22113125.149652399</v>
      </c>
      <c r="AH223" s="73">
        <f t="shared" si="61"/>
        <v>-3450497.705849383</v>
      </c>
      <c r="AI223" s="12">
        <f t="shared" si="62"/>
        <v>-5.039488353729743E-2</v>
      </c>
      <c r="AL223" s="73">
        <f>Summary!G223</f>
        <v>1189308.975918836</v>
      </c>
      <c r="AM223" s="73">
        <f>IF(D223&lt;&gt;"avg",SUMIFS(Summary!$H:$H,Summary!$C:$C,Financials!C223,Summary!$E:$E,Financials!E223,Summary!$D:$D,1-Financials!D223,Summary!$F:$F,Financials!F223),SUMIFS(Summary!$H:$H,Summary!$C:$C,Financials!C223,Summary!$E:$E,Financials!E223,Summary!$D:$D,"avg",Summary!$F:$F,Financials!F223))</f>
        <v>-3725528.8503632131</v>
      </c>
      <c r="AN223" s="20">
        <f>Summary!I223</f>
        <v>6752682.140080275</v>
      </c>
      <c r="AP223" s="12">
        <v>1</v>
      </c>
    </row>
    <row r="224" spans="1:42" x14ac:dyDescent="0.3">
      <c r="A224">
        <v>220</v>
      </c>
      <c r="B224" t="str">
        <f>Summary!B224</f>
        <v>MarinusPortland</v>
      </c>
      <c r="C224" t="str">
        <f>Summary!C224</f>
        <v>Wind</v>
      </c>
      <c r="D224" s="104">
        <f>Summary!D224</f>
        <v>0.5</v>
      </c>
      <c r="E224" t="str">
        <f>Summary!E224</f>
        <v>Cal-33</v>
      </c>
      <c r="F224" t="str">
        <f>Summary!F224</f>
        <v>2 Hour Battery</v>
      </c>
      <c r="G224" s="73">
        <f>SUMIFS(AL$5:AL224,$F$5:$F224,$F224,$D$5:$D224,$D224)</f>
        <v>-2172815.4158605766</v>
      </c>
      <c r="H224" s="73">
        <f>SUMIFS(AM$5:AM224,$F$5:$F224,$F224,$D$5:$D224,$D224)</f>
        <v>249053.33337505889</v>
      </c>
      <c r="I224" s="20">
        <f>SUMIFS(AN$5:AN224,$F$5:$F224,$F224,$D$5:$D224,$D224)</f>
        <v>60678013.477848187</v>
      </c>
      <c r="J224" s="73">
        <f t="shared" si="48"/>
        <v>60678013.477848187</v>
      </c>
      <c r="K224" s="73">
        <f t="shared" si="49"/>
        <v>58505198.061987609</v>
      </c>
      <c r="L224" s="73">
        <f t="shared" si="50"/>
        <v>58754251.395362668</v>
      </c>
      <c r="M224" s="73">
        <f>-SUMIFS(FinParameters!$E$8:$E$39,FinParameters!$B$8:$B$39,Financials!$E224,FinParameters!$C$8:$C$39,Financials!$F224)</f>
        <v>-13123818.539448176</v>
      </c>
      <c r="N224" s="73">
        <f>-SUMIFS(FinParameters!$F$8:$F$39,FinParameters!$B$8:$B$39,Financials!$E224,FinParameters!$C$8:$C$39,Financials!$F224)</f>
        <v>-73600000</v>
      </c>
      <c r="O224" s="73">
        <f>SUMIFS(FinParameters!$G$8:$G$39,FinParameters!$B$8:$B$39,Financials!$E224,FinParameters!$C$8:$C$39,Financials!$F224)</f>
        <v>5130793.1350678215</v>
      </c>
      <c r="P224" s="73">
        <f t="shared" si="51"/>
        <v>47554194.938400015</v>
      </c>
      <c r="Q224" s="73">
        <f>P224/SUMIFS(FinParameters!$H$8:$H$39,FinParameters!$B$8:$B$39,Financials!$E224,FinParameters!$C$8:$C$39,Financials!$F224)</f>
        <v>12245883.105837613</v>
      </c>
      <c r="R224" s="73">
        <f t="shared" si="63"/>
        <v>-20915011.926532164</v>
      </c>
      <c r="S224" s="12">
        <f t="shared" si="52"/>
        <v>-0.30546595884761429</v>
      </c>
      <c r="T224" s="114">
        <f t="shared" si="53"/>
        <v>-2172815.4158605766</v>
      </c>
      <c r="U224" s="73">
        <f>T224/SUMIFS(FinParameters!$L$8:$L$39,FinParameters!$B$8:$B$39,Financials!$E224,FinParameters!$C$8:$C$39,Financials!$F224)</f>
        <v>-1576204.5752002941</v>
      </c>
      <c r="V224" s="73">
        <f t="shared" si="54"/>
        <v>-1576204.5752002941</v>
      </c>
      <c r="W224" s="12"/>
      <c r="X224" s="73">
        <f t="shared" si="55"/>
        <v>45381379.522539437</v>
      </c>
      <c r="Y224" s="73">
        <f t="shared" si="56"/>
        <v>10669678.53063732</v>
      </c>
      <c r="Z224" s="73">
        <f t="shared" si="56"/>
        <v>-22491216.501732457</v>
      </c>
      <c r="AA224" s="12">
        <f t="shared" si="57"/>
        <v>-0.32848659319364432</v>
      </c>
      <c r="AB224" s="114">
        <f t="shared" si="58"/>
        <v>249053.33337505889</v>
      </c>
      <c r="AC224" s="73">
        <f>AB224/SUMIFS(FinParameters!$L$8:$L$39,FinParameters!$B$8:$B$39,Financials!$E224,FinParameters!$C$8:$C$39,Financials!$F224)</f>
        <v>180668.36265480609</v>
      </c>
      <c r="AD224" s="73">
        <f t="shared" si="59"/>
        <v>180668.36265480609</v>
      </c>
      <c r="AE224" s="12"/>
      <c r="AF224" s="73">
        <f t="shared" si="60"/>
        <v>45630432.855914496</v>
      </c>
      <c r="AG224" s="73">
        <f t="shared" si="61"/>
        <v>10850346.893292125</v>
      </c>
      <c r="AH224" s="73">
        <f t="shared" si="61"/>
        <v>-22310548.139077652</v>
      </c>
      <c r="AI224" s="12">
        <f t="shared" si="62"/>
        <v>-0.32584791266954821</v>
      </c>
      <c r="AL224" s="73">
        <f>Summary!G224</f>
        <v>-2114340.8327575498</v>
      </c>
      <c r="AM224" s="73">
        <f>IF(D224&lt;&gt;"avg",SUMIFS(Summary!$H:$H,Summary!$C:$C,Financials!C224,Summary!$E:$E,Financials!E224,Summary!$D:$D,1-Financials!D224,Summary!$F:$F,Financials!F224),SUMIFS(Summary!$H:$H,Summary!$C:$C,Financials!C224,Summary!$E:$E,Financials!E224,Summary!$D:$D,"avg",Summary!$F:$F,Financials!F224))</f>
        <v>-92470.14897681307</v>
      </c>
      <c r="AN224" s="20">
        <f>Summary!I224</f>
        <v>5901243.8879995337</v>
      </c>
      <c r="AP224" s="12">
        <v>1</v>
      </c>
    </row>
    <row r="225" spans="1:42" x14ac:dyDescent="0.3">
      <c r="A225">
        <v>221</v>
      </c>
      <c r="B225" t="str">
        <f>Summary!B225</f>
        <v>MarinusPortland</v>
      </c>
      <c r="C225" t="str">
        <f>Summary!C225</f>
        <v>Wind</v>
      </c>
      <c r="D225" s="104">
        <f>Summary!D225</f>
        <v>0.25</v>
      </c>
      <c r="E225" t="str">
        <f>Summary!E225</f>
        <v>Cal-33</v>
      </c>
      <c r="F225" t="str">
        <f>Summary!F225</f>
        <v>2 Hour Battery</v>
      </c>
      <c r="G225" s="73">
        <f>SUMIFS(AL$5:AL225,$F$5:$F225,$F225,$D$5:$D225,$D225)</f>
        <v>-34874347.543294348</v>
      </c>
      <c r="H225" s="73">
        <f>SUMIFS(AM$5:AM225,$F$5:$F225,$F225,$D$5:$D225,$D225)</f>
        <v>29915691.659174334</v>
      </c>
      <c r="I225" s="20">
        <f>SUMIFS(AN$5:AN225,$F$5:$F225,$F225,$D$5:$D225,$D225)</f>
        <v>51028051.818063065</v>
      </c>
      <c r="J225" s="73">
        <f t="shared" si="48"/>
        <v>51028051.818063065</v>
      </c>
      <c r="K225" s="73">
        <f t="shared" si="49"/>
        <v>16153704.274768718</v>
      </c>
      <c r="L225" s="73">
        <f t="shared" si="50"/>
        <v>46069395.933943048</v>
      </c>
      <c r="M225" s="73">
        <f>-SUMIFS(FinParameters!$E$8:$E$39,FinParameters!$B$8:$B$39,Financials!$E225,FinParameters!$C$8:$C$39,Financials!$F225)</f>
        <v>-13123818.539448176</v>
      </c>
      <c r="N225" s="73">
        <f>-SUMIFS(FinParameters!$F$8:$F$39,FinParameters!$B$8:$B$39,Financials!$E225,FinParameters!$C$8:$C$39,Financials!$F225)</f>
        <v>-73600000</v>
      </c>
      <c r="O225" s="73">
        <f>SUMIFS(FinParameters!$G$8:$G$39,FinParameters!$B$8:$B$39,Financials!$E225,FinParameters!$C$8:$C$39,Financials!$F225)</f>
        <v>5130793.1350678215</v>
      </c>
      <c r="P225" s="73">
        <f t="shared" si="51"/>
        <v>37904233.278614894</v>
      </c>
      <c r="Q225" s="73">
        <f>P225/SUMIFS(FinParameters!$H$8:$H$39,FinParameters!$B$8:$B$39,Financials!$E225,FinParameters!$C$8:$C$39,Financials!$F225)</f>
        <v>9760880.413338678</v>
      </c>
      <c r="R225" s="73">
        <f t="shared" si="63"/>
        <v>-30564973.586317286</v>
      </c>
      <c r="S225" s="12">
        <f t="shared" si="52"/>
        <v>-0.44640466840242787</v>
      </c>
      <c r="T225" s="114">
        <f t="shared" si="53"/>
        <v>-34874347.543294348</v>
      </c>
      <c r="U225" s="73">
        <f>T225/SUMIFS(FinParameters!$L$8:$L$39,FinParameters!$B$8:$B$39,Financials!$E225,FinParameters!$C$8:$C$39,Financials!$F225)</f>
        <v>-25298562.295543332</v>
      </c>
      <c r="V225" s="73">
        <f t="shared" si="54"/>
        <v>-25298562.295543332</v>
      </c>
      <c r="W225" s="12"/>
      <c r="X225" s="73">
        <f t="shared" si="55"/>
        <v>3029885.735320542</v>
      </c>
      <c r="Y225" s="73">
        <f t="shared" si="56"/>
        <v>-15537681.882204654</v>
      </c>
      <c r="Z225" s="73">
        <f t="shared" si="56"/>
        <v>-55863535.881860614</v>
      </c>
      <c r="AA225" s="12">
        <f t="shared" si="57"/>
        <v>-0.81589284350936742</v>
      </c>
      <c r="AB225" s="114">
        <f t="shared" si="58"/>
        <v>29915691.659174334</v>
      </c>
      <c r="AC225" s="73">
        <f>AB225/SUMIFS(FinParameters!$L$8:$L$39,FinParameters!$B$8:$B$39,Financials!$E225,FinParameters!$C$8:$C$39,Financials!$F225)</f>
        <v>21701452.281346273</v>
      </c>
      <c r="AD225" s="73">
        <f t="shared" si="59"/>
        <v>21701452.281346273</v>
      </c>
      <c r="AE225" s="12"/>
      <c r="AF225" s="73">
        <f t="shared" si="60"/>
        <v>32945577.394494876</v>
      </c>
      <c r="AG225" s="73">
        <f t="shared" si="61"/>
        <v>6163770.399141619</v>
      </c>
      <c r="AH225" s="73">
        <f t="shared" si="61"/>
        <v>-34162083.600514337</v>
      </c>
      <c r="AI225" s="12">
        <f t="shared" si="62"/>
        <v>-0.49894084019266044</v>
      </c>
      <c r="AL225" s="73">
        <f>Summary!G225</f>
        <v>-5455232.3146873917</v>
      </c>
      <c r="AM225" s="73">
        <f>IF(D225&lt;&gt;"avg",SUMIFS(Summary!$H:$H,Summary!$C:$C,Financials!C225,Summary!$E:$E,Financials!E225,Summary!$D:$D,1-Financials!D225,Summary!$F:$F,Financials!F225),SUMIFS(Summary!$H:$H,Summary!$C:$C,Financials!C225,Summary!$E:$E,Financials!E225,Summary!$D:$D,"avg",Summary!$F:$F,Financials!F225))</f>
        <v>3487628.5885356781</v>
      </c>
      <c r="AN225" s="20">
        <f>Summary!I225</f>
        <v>4992942.0546347303</v>
      </c>
      <c r="AP225" s="12">
        <v>1</v>
      </c>
    </row>
    <row r="226" spans="1:42" x14ac:dyDescent="0.3">
      <c r="A226">
        <v>222</v>
      </c>
      <c r="B226" t="str">
        <f>Summary!B226</f>
        <v>MarinusPortland</v>
      </c>
      <c r="C226" t="str">
        <f>Summary!C226</f>
        <v>Wind</v>
      </c>
      <c r="D226" s="104">
        <f>Summary!D226</f>
        <v>0.05</v>
      </c>
      <c r="E226" t="str">
        <f>Summary!E226</f>
        <v>Cal-33</v>
      </c>
      <c r="F226" t="str">
        <f>Summary!F226</f>
        <v>2 Hour Battery</v>
      </c>
      <c r="G226" s="73">
        <f>SUMIFS(AL$5:AL226,$F$5:$F226,$F226,$D$5:$D226,$D226)</f>
        <v>-72791908.732105762</v>
      </c>
      <c r="H226" s="73">
        <f>SUMIFS(AM$5:AM226,$F$5:$F226,$F226,$D$5:$D226,$D226)</f>
        <v>69648380.994375125</v>
      </c>
      <c r="I226" s="20">
        <f>SUMIFS(AN$5:AN226,$F$5:$F226,$F226,$D$5:$D226,$D226)</f>
        <v>39128914.305438891</v>
      </c>
      <c r="J226" s="73">
        <f t="shared" si="48"/>
        <v>39128914.305438891</v>
      </c>
      <c r="K226" s="73">
        <f t="shared" si="49"/>
        <v>-33662994.426666871</v>
      </c>
      <c r="L226" s="73">
        <f t="shared" si="50"/>
        <v>35985386.567708254</v>
      </c>
      <c r="M226" s="73">
        <f>-SUMIFS(FinParameters!$E$8:$E$39,FinParameters!$B$8:$B$39,Financials!$E226,FinParameters!$C$8:$C$39,Financials!$F226)</f>
        <v>-13123818.539448176</v>
      </c>
      <c r="N226" s="73">
        <f>-SUMIFS(FinParameters!$F$8:$F$39,FinParameters!$B$8:$B$39,Financials!$E226,FinParameters!$C$8:$C$39,Financials!$F226)</f>
        <v>-73600000</v>
      </c>
      <c r="O226" s="73">
        <f>SUMIFS(FinParameters!$G$8:$G$39,FinParameters!$B$8:$B$39,Financials!$E226,FinParameters!$C$8:$C$39,Financials!$F226)</f>
        <v>5130793.1350678215</v>
      </c>
      <c r="P226" s="73">
        <f t="shared" si="51"/>
        <v>26005095.765990715</v>
      </c>
      <c r="Q226" s="73">
        <f>P226/SUMIFS(FinParameters!$H$8:$H$39,FinParameters!$B$8:$B$39,Financials!$E226,FinParameters!$C$8:$C$39,Financials!$F226)</f>
        <v>6696682.8755896408</v>
      </c>
      <c r="R226" s="73">
        <f t="shared" si="63"/>
        <v>-42464111.09894146</v>
      </c>
      <c r="S226" s="12">
        <f t="shared" si="52"/>
        <v>-0.62019282891226646</v>
      </c>
      <c r="T226" s="114">
        <f t="shared" si="53"/>
        <v>-72791908.732105762</v>
      </c>
      <c r="U226" s="73">
        <f>T226/SUMIFS(FinParameters!$L$8:$L$39,FinParameters!$B$8:$B$39,Financials!$E226,FinParameters!$C$8:$C$39,Financials!$F226)</f>
        <v>-52804733.777012914</v>
      </c>
      <c r="V226" s="73">
        <f t="shared" si="54"/>
        <v>-52804733.777012914</v>
      </c>
      <c r="W226" s="12"/>
      <c r="X226" s="73">
        <f t="shared" si="55"/>
        <v>-46786812.966115043</v>
      </c>
      <c r="Y226" s="73">
        <f t="shared" si="56"/>
        <v>-46108050.901423275</v>
      </c>
      <c r="Z226" s="73">
        <f t="shared" si="56"/>
        <v>-95268844.875954375</v>
      </c>
      <c r="AA226" s="12">
        <f t="shared" si="57"/>
        <v>-1.3914115445194115</v>
      </c>
      <c r="AB226" s="114">
        <f t="shared" si="58"/>
        <v>69648380.994375125</v>
      </c>
      <c r="AC226" s="73">
        <f>AB226/SUMIFS(FinParameters!$L$8:$L$39,FinParameters!$B$8:$B$39,Financials!$E226,FinParameters!$C$8:$C$39,Financials!$F226)</f>
        <v>50524354.704629712</v>
      </c>
      <c r="AD226" s="73">
        <f t="shared" si="59"/>
        <v>50524354.704629712</v>
      </c>
      <c r="AE226" s="12"/>
      <c r="AF226" s="73">
        <f t="shared" si="60"/>
        <v>22861568.028260082</v>
      </c>
      <c r="AG226" s="73">
        <f t="shared" si="61"/>
        <v>4416303.8032064363</v>
      </c>
      <c r="AH226" s="73">
        <f t="shared" si="61"/>
        <v>-44744490.171324663</v>
      </c>
      <c r="AI226" s="12">
        <f t="shared" si="62"/>
        <v>-0.65349800618533838</v>
      </c>
      <c r="AL226" s="73">
        <f>Summary!G226</f>
        <v>-9218898.6650088038</v>
      </c>
      <c r="AM226" s="73">
        <f>IF(D226&lt;&gt;"avg",SUMIFS(Summary!$H:$H,Summary!$C:$C,Financials!C226,Summary!$E:$E,Financials!E226,Summary!$D:$D,1-Financials!D226,Summary!$F:$F,Financials!F226),SUMIFS(Summary!$H:$H,Summary!$C:$C,Financials!C226,Summary!$E:$E,Financials!E226,Summary!$D:$D,"avg",Summary!$F:$F,Financials!F226))</f>
        <v>8327437.8374069324</v>
      </c>
      <c r="AN226" s="20">
        <f>Summary!I226</f>
        <v>3876448.5718143336</v>
      </c>
      <c r="AP226" s="12">
        <v>1</v>
      </c>
    </row>
    <row r="227" spans="1:42" x14ac:dyDescent="0.3">
      <c r="A227">
        <v>223</v>
      </c>
      <c r="B227" t="str">
        <f>Summary!B227</f>
        <v>MarinusPortland</v>
      </c>
      <c r="C227" t="str">
        <f>Summary!C227</f>
        <v>Wind</v>
      </c>
      <c r="D227" s="104">
        <f>Summary!D227</f>
        <v>0</v>
      </c>
      <c r="E227" t="str">
        <f>Summary!E227</f>
        <v>Cal-33</v>
      </c>
      <c r="F227" t="str">
        <f>Summary!F227</f>
        <v>2 Hour Battery</v>
      </c>
      <c r="G227" s="73">
        <f>SUMIFS(AL$5:AL227,$F$5:$F227,$F227,$D$5:$D227,$D227)</f>
        <v>-128779713.39167421</v>
      </c>
      <c r="H227" s="73">
        <f>SUMIFS(AM$5:AM227,$F$5:$F227,$F227,$D$5:$D227,$D227)</f>
        <v>147836714.74972722</v>
      </c>
      <c r="I227" s="20">
        <f>SUMIFS(AN$5:AN227,$F$5:$F227,$F227,$D$5:$D227,$D227)</f>
        <v>21827888.031657569</v>
      </c>
      <c r="J227" s="73">
        <f t="shared" si="48"/>
        <v>21827888.031657569</v>
      </c>
      <c r="K227" s="73">
        <f t="shared" si="49"/>
        <v>-106951825.36001664</v>
      </c>
      <c r="L227" s="73">
        <f t="shared" si="50"/>
        <v>40884889.389710583</v>
      </c>
      <c r="M227" s="73">
        <f>-SUMIFS(FinParameters!$E$8:$E$39,FinParameters!$B$8:$B$39,Financials!$E227,FinParameters!$C$8:$C$39,Financials!$F227)</f>
        <v>-13123818.539448176</v>
      </c>
      <c r="N227" s="73">
        <f>-SUMIFS(FinParameters!$F$8:$F$39,FinParameters!$B$8:$B$39,Financials!$E227,FinParameters!$C$8:$C$39,Financials!$F227)</f>
        <v>-73600000</v>
      </c>
      <c r="O227" s="73">
        <f>SUMIFS(FinParameters!$G$8:$G$39,FinParameters!$B$8:$B$39,Financials!$E227,FinParameters!$C$8:$C$39,Financials!$F227)</f>
        <v>5130793.1350678215</v>
      </c>
      <c r="P227" s="73">
        <f t="shared" si="51"/>
        <v>8704069.4922093935</v>
      </c>
      <c r="Q227" s="73">
        <f>P227/SUMIFS(FinParameters!$H$8:$H$39,FinParameters!$B$8:$B$39,Financials!$E227,FinParameters!$C$8:$C$39,Financials!$F227)</f>
        <v>2241421.9751749588</v>
      </c>
      <c r="R227" s="73">
        <f t="shared" si="63"/>
        <v>-59765137.37272279</v>
      </c>
      <c r="S227" s="12">
        <f t="shared" si="52"/>
        <v>-0.87287614548566728</v>
      </c>
      <c r="T227" s="114">
        <f t="shared" si="53"/>
        <v>-128779713.39167421</v>
      </c>
      <c r="U227" s="73">
        <f>T227/SUMIFS(FinParameters!$L$8:$L$39,FinParameters!$B$8:$B$39,Financials!$E227,FinParameters!$C$8:$C$39,Financials!$F227)</f>
        <v>-93419428.065197572</v>
      </c>
      <c r="V227" s="73">
        <f t="shared" si="54"/>
        <v>-93419428.065197572</v>
      </c>
      <c r="W227" s="12"/>
      <c r="X227" s="73">
        <f t="shared" si="55"/>
        <v>-120075643.89946482</v>
      </c>
      <c r="Y227" s="73">
        <f t="shared" si="56"/>
        <v>-91178006.090022609</v>
      </c>
      <c r="Z227" s="73">
        <f t="shared" si="56"/>
        <v>-153184565.43792036</v>
      </c>
      <c r="AA227" s="12">
        <f t="shared" si="57"/>
        <v>-2.2372767620940088</v>
      </c>
      <c r="AB227" s="114">
        <f t="shared" si="58"/>
        <v>147836714.74972722</v>
      </c>
      <c r="AC227" s="73">
        <f>AB227/SUMIFS(FinParameters!$L$8:$L$39,FinParameters!$B$8:$B$39,Financials!$E227,FinParameters!$C$8:$C$39,Financials!$F227)</f>
        <v>107243765.1491944</v>
      </c>
      <c r="AD227" s="73">
        <f t="shared" si="59"/>
        <v>107243765.1491944</v>
      </c>
      <c r="AE227" s="12"/>
      <c r="AF227" s="73">
        <f t="shared" si="60"/>
        <v>27761070.850262403</v>
      </c>
      <c r="AG227" s="73">
        <f t="shared" si="61"/>
        <v>16065759.059171796</v>
      </c>
      <c r="AH227" s="73">
        <f t="shared" si="61"/>
        <v>-45940800.288725957</v>
      </c>
      <c r="AI227" s="12">
        <f t="shared" si="62"/>
        <v>-0.67097024183955345</v>
      </c>
      <c r="AL227" s="73">
        <f>Summary!G227</f>
        <v>-14412137.39022184</v>
      </c>
      <c r="AM227" s="73">
        <f>IF(D227&lt;&gt;"avg",SUMIFS(Summary!$H:$H,Summary!$C:$C,Financials!C227,Summary!$E:$E,Financials!E227,Summary!$D:$D,1-Financials!D227,Summary!$F:$F,Financials!F227),SUMIFS(Summary!$H:$H,Summary!$C:$C,Financials!C227,Summary!$E:$E,Financials!E227,Summary!$D:$D,"avg",Summary!$F:$F,Financials!F227))</f>
        <v>16125272.115913125</v>
      </c>
      <c r="AN227" s="20">
        <f>Summary!I227</f>
        <v>2461058.8179959073</v>
      </c>
      <c r="AP227" s="12">
        <v>1</v>
      </c>
    </row>
    <row r="228" spans="1:42" x14ac:dyDescent="0.3">
      <c r="A228">
        <v>224</v>
      </c>
      <c r="B228" t="str">
        <f>Summary!B228</f>
        <v>MarinusPortland</v>
      </c>
      <c r="C228" t="str">
        <f>Summary!C228</f>
        <v>Wind</v>
      </c>
      <c r="D228" s="104" t="str">
        <f>Summary!D228</f>
        <v>avg</v>
      </c>
      <c r="E228" t="str">
        <f>Summary!E228</f>
        <v>Cal-33</v>
      </c>
      <c r="F228" t="str">
        <f>Summary!F228</f>
        <v>2 Hour Battery</v>
      </c>
      <c r="G228" s="73">
        <f>SUMIFS(AL$5:AL228,$F$5:$F228,$F228,$D$5:$D228,$D228)</f>
        <v>5797429.9790791832</v>
      </c>
      <c r="H228" s="73">
        <f>SUMIFS(AM$5:AM228,$F$5:$F228,$F228,$D$5:$D228,$D228)</f>
        <v>-1814251.4610134161</v>
      </c>
      <c r="I228" s="20">
        <f>SUMIFS(AN$5:AN228,$F$5:$F228,$F228,$D$5:$D228,$D228)</f>
        <v>61265990.828821316</v>
      </c>
      <c r="J228" s="73">
        <f t="shared" si="48"/>
        <v>61265990.828821316</v>
      </c>
      <c r="K228" s="73">
        <f t="shared" si="49"/>
        <v>67063420.807900503</v>
      </c>
      <c r="L228" s="73">
        <f t="shared" si="50"/>
        <v>65249169.346887082</v>
      </c>
      <c r="M228" s="73">
        <f>-SUMIFS(FinParameters!$E$8:$E$39,FinParameters!$B$8:$B$39,Financials!$E228,FinParameters!$C$8:$C$39,Financials!$F228)</f>
        <v>-13123818.539448176</v>
      </c>
      <c r="N228" s="73">
        <f>-SUMIFS(FinParameters!$F$8:$F$39,FinParameters!$B$8:$B$39,Financials!$E228,FinParameters!$C$8:$C$39,Financials!$F228)</f>
        <v>-73600000</v>
      </c>
      <c r="O228" s="73">
        <f>SUMIFS(FinParameters!$G$8:$G$39,FinParameters!$B$8:$B$39,Financials!$E228,FinParameters!$C$8:$C$39,Financials!$F228)</f>
        <v>5130793.1350678215</v>
      </c>
      <c r="P228" s="73">
        <f t="shared" si="51"/>
        <v>48142172.289373145</v>
      </c>
      <c r="Q228" s="73">
        <f>P228/SUMIFS(FinParameters!$H$8:$H$39,FinParameters!$B$8:$B$39,Financials!$E228,FinParameters!$C$8:$C$39,Financials!$F228)</f>
        <v>12397295.655628942</v>
      </c>
      <c r="R228" s="73">
        <f t="shared" si="63"/>
        <v>-20327034.575559035</v>
      </c>
      <c r="S228" s="12">
        <f t="shared" si="52"/>
        <v>-0.29687848751713691</v>
      </c>
      <c r="T228" s="114">
        <f t="shared" si="53"/>
        <v>5797429.9790791832</v>
      </c>
      <c r="U228" s="73">
        <f>T228/SUMIFS(FinParameters!$L$8:$L$39,FinParameters!$B$8:$B$39,Financials!$E228,FinParameters!$C$8:$C$39,Financials!$F228)</f>
        <v>4205573.8332511485</v>
      </c>
      <c r="V228" s="73">
        <f t="shared" si="54"/>
        <v>4205573.8332511485</v>
      </c>
      <c r="W228" s="12"/>
      <c r="X228" s="73">
        <f t="shared" si="55"/>
        <v>53939602.268452331</v>
      </c>
      <c r="Y228" s="73">
        <f t="shared" si="56"/>
        <v>16602869.48888009</v>
      </c>
      <c r="Z228" s="73">
        <f t="shared" si="56"/>
        <v>-16121460.742307886</v>
      </c>
      <c r="AA228" s="12">
        <f t="shared" si="57"/>
        <v>-0.23545563736571926</v>
      </c>
      <c r="AB228" s="114">
        <f t="shared" si="58"/>
        <v>-1814251.4610134161</v>
      </c>
      <c r="AC228" s="73">
        <f>AB228/SUMIFS(FinParameters!$L$8:$L$39,FinParameters!$B$8:$B$39,Financials!$E228,FinParameters!$C$8:$C$39,Financials!$F228)</f>
        <v>-1316094.9763790974</v>
      </c>
      <c r="AD228" s="73">
        <f t="shared" si="59"/>
        <v>-1316094.9763790974</v>
      </c>
      <c r="AE228" s="12"/>
      <c r="AF228" s="73">
        <f t="shared" si="60"/>
        <v>52125350.807438917</v>
      </c>
      <c r="AG228" s="73">
        <f t="shared" si="61"/>
        <v>15286774.512500994</v>
      </c>
      <c r="AH228" s="73">
        <f t="shared" si="61"/>
        <v>-17437555.718686983</v>
      </c>
      <c r="AI228" s="12">
        <f t="shared" si="62"/>
        <v>-0.25467734354051591</v>
      </c>
      <c r="AL228" s="73">
        <f>Summary!G228</f>
        <v>-2019423.4129356227</v>
      </c>
      <c r="AM228" s="73">
        <f>IF(D228&lt;&gt;"avg",SUMIFS(Summary!$H:$H,Summary!$C:$C,Financials!C228,Summary!$E:$E,Financials!E228,Summary!$D:$D,1-Financials!D228,Summary!$F:$F,Financials!F228),SUMIFS(Summary!$H:$H,Summary!$C:$C,Financials!C228,Summary!$E:$E,Financials!E228,Summary!$D:$D,"avg",Summary!$F:$F,Financials!F228))</f>
        <v>-138943.94211016045</v>
      </c>
      <c r="AN228" s="20">
        <f>Summary!I228</f>
        <v>5877510.7961001229</v>
      </c>
      <c r="AP228" s="12">
        <v>1</v>
      </c>
    </row>
    <row r="229" spans="1:42" x14ac:dyDescent="0.3">
      <c r="A229">
        <v>225</v>
      </c>
      <c r="B229" t="str">
        <f>Summary!B229</f>
        <v>MarinusPortland</v>
      </c>
      <c r="C229" t="str">
        <f>Summary!C229</f>
        <v>Wind</v>
      </c>
      <c r="D229" s="104">
        <f>Summary!D229</f>
        <v>1</v>
      </c>
      <c r="E229" t="str">
        <f>Summary!E229</f>
        <v>Cal-34</v>
      </c>
      <c r="F229" t="str">
        <f>Summary!F229</f>
        <v>2 Hour Battery</v>
      </c>
      <c r="G229" s="73">
        <f>SUMIFS(AL$5:AL229,$F$5:$F229,$F229,$D$5:$D229,$D229)</f>
        <v>253861614.05288985</v>
      </c>
      <c r="H229" s="73">
        <f>SUMIFS(AM$5:AM229,$F$5:$F229,$F229,$D$5:$D229,$D229)</f>
        <v>-210206369.52859896</v>
      </c>
      <c r="I229" s="20">
        <f>SUMIFS(AN$5:AN229,$F$5:$F229,$F229,$D$5:$D229,$D229)</f>
        <v>136461141.98933682</v>
      </c>
      <c r="J229" s="73">
        <f t="shared" si="48"/>
        <v>136461141.98933682</v>
      </c>
      <c r="K229" s="73">
        <f t="shared" si="49"/>
        <v>390322756.04222667</v>
      </c>
      <c r="L229" s="73">
        <f t="shared" si="50"/>
        <v>180116386.51362771</v>
      </c>
      <c r="M229" s="73">
        <f>-SUMIFS(FinParameters!$E$8:$E$39,FinParameters!$B$8:$B$39,Financials!$E229,FinParameters!$C$8:$C$39,Financials!$F229)</f>
        <v>-14240664.00293438</v>
      </c>
      <c r="N229" s="73">
        <f>-SUMIFS(FinParameters!$F$8:$F$39,FinParameters!$B$8:$B$39,Financials!$E229,FinParameters!$C$8:$C$39,Financials!$F229)</f>
        <v>-73600000</v>
      </c>
      <c r="O229" s="73">
        <f>SUMIFS(FinParameters!$G$8:$G$39,FinParameters!$B$8:$B$39,Financials!$E229,FinParameters!$C$8:$C$39,Financials!$F229)</f>
        <v>4279073.1590893008</v>
      </c>
      <c r="P229" s="73">
        <f t="shared" si="51"/>
        <v>122220477.98640244</v>
      </c>
      <c r="Q229" s="73">
        <f>P229/SUMIFS(FinParameters!$H$8:$H$39,FinParameters!$B$8:$B$39,Financials!$E229,FinParameters!$C$8:$C$39,Financials!$F229)</f>
        <v>28354518.375209846</v>
      </c>
      <c r="R229" s="73">
        <f t="shared" si="63"/>
        <v>52899551.145491734</v>
      </c>
      <c r="S229" s="12">
        <f t="shared" si="52"/>
        <v>0.76311084626572434</v>
      </c>
      <c r="T229" s="114">
        <f t="shared" si="53"/>
        <v>253861614.05288985</v>
      </c>
      <c r="U229" s="73">
        <f>T229/SUMIFS(FinParameters!$L$8:$L$39,FinParameters!$B$8:$B$39,Financials!$E229,FinParameters!$C$8:$C$39,Financials!$F229)</f>
        <v>179664768.22474918</v>
      </c>
      <c r="V229" s="73">
        <f t="shared" si="54"/>
        <v>179664768.22474918</v>
      </c>
      <c r="W229" s="12"/>
      <c r="X229" s="73">
        <f t="shared" si="55"/>
        <v>376082092.03929228</v>
      </c>
      <c r="Y229" s="73">
        <f t="shared" si="56"/>
        <v>208019286.59995902</v>
      </c>
      <c r="Z229" s="73">
        <f t="shared" si="56"/>
        <v>232564319.37024093</v>
      </c>
      <c r="AA229" s="12">
        <f t="shared" si="57"/>
        <v>3.3548933917742985</v>
      </c>
      <c r="AB229" s="114">
        <f t="shared" si="58"/>
        <v>-210206369.52859896</v>
      </c>
      <c r="AC229" s="73">
        <f>AB229/SUMIFS(FinParameters!$L$8:$L$39,FinParameters!$B$8:$B$39,Financials!$E229,FinParameters!$C$8:$C$39,Financials!$F229)</f>
        <v>-148768764.4373574</v>
      </c>
      <c r="AD229" s="73">
        <f t="shared" si="59"/>
        <v>-148768764.4373574</v>
      </c>
      <c r="AE229" s="12"/>
      <c r="AF229" s="73">
        <f t="shared" si="60"/>
        <v>165875722.51069331</v>
      </c>
      <c r="AG229" s="73">
        <f t="shared" si="61"/>
        <v>59250522.16260162</v>
      </c>
      <c r="AH229" s="73">
        <f t="shared" si="61"/>
        <v>83795554.932883531</v>
      </c>
      <c r="AI229" s="12">
        <f t="shared" si="62"/>
        <v>1.2088060381130166</v>
      </c>
      <c r="AL229" s="73">
        <f>Summary!G229</f>
        <v>21199120.836498644</v>
      </c>
      <c r="AM229" s="73">
        <f>IF(D229&lt;&gt;"avg",SUMIFS(Summary!$H:$H,Summary!$C:$C,Financials!C229,Summary!$E:$E,Financials!E229,Summary!$D:$D,1-Financials!D229,Summary!$F:$F,Financials!F229),SUMIFS(Summary!$H:$H,Summary!$C:$C,Financials!C229,Summary!$E:$E,Financials!E229,Summary!$D:$D,"avg",Summary!$F:$F,Financials!F229))</f>
        <v>-21923962.275100458</v>
      </c>
      <c r="AN229" s="20">
        <f>Summary!I229</f>
        <v>11632234.788654134</v>
      </c>
      <c r="AP229" s="12">
        <v>1</v>
      </c>
    </row>
    <row r="230" spans="1:42" x14ac:dyDescent="0.3">
      <c r="A230">
        <v>226</v>
      </c>
      <c r="B230" t="str">
        <f>Summary!B230</f>
        <v>MarinusPortland</v>
      </c>
      <c r="C230" t="str">
        <f>Summary!C230</f>
        <v>Wind</v>
      </c>
      <c r="D230" s="104">
        <f>Summary!D230</f>
        <v>0.95</v>
      </c>
      <c r="E230" t="str">
        <f>Summary!E230</f>
        <v>Cal-34</v>
      </c>
      <c r="F230" t="str">
        <f>Summary!F230</f>
        <v>2 Hour Battery</v>
      </c>
      <c r="G230" s="73">
        <f>SUMIFS(AL$5:AL230,$F$5:$F230,$F230,$D$5:$D230,$D230)</f>
        <v>116857904.80858035</v>
      </c>
      <c r="H230" s="73">
        <f>SUMIFS(AM$5:AM230,$F$5:$F230,$F230,$D$5:$D230,$D230)</f>
        <v>-89080339.473899335</v>
      </c>
      <c r="I230" s="20">
        <f>SUMIFS(AN$5:AN230,$F$5:$F230,$F230,$D$5:$D230,$D230)</f>
        <v>94804748.174791157</v>
      </c>
      <c r="J230" s="73">
        <f t="shared" si="48"/>
        <v>94804748.174791157</v>
      </c>
      <c r="K230" s="73">
        <f t="shared" si="49"/>
        <v>211662652.9833715</v>
      </c>
      <c r="L230" s="73">
        <f t="shared" si="50"/>
        <v>122582313.50947218</v>
      </c>
      <c r="M230" s="73">
        <f>-SUMIFS(FinParameters!$E$8:$E$39,FinParameters!$B$8:$B$39,Financials!$E230,FinParameters!$C$8:$C$39,Financials!$F230)</f>
        <v>-14240664.00293438</v>
      </c>
      <c r="N230" s="73">
        <f>-SUMIFS(FinParameters!$F$8:$F$39,FinParameters!$B$8:$B$39,Financials!$E230,FinParameters!$C$8:$C$39,Financials!$F230)</f>
        <v>-73600000</v>
      </c>
      <c r="O230" s="73">
        <f>SUMIFS(FinParameters!$G$8:$G$39,FinParameters!$B$8:$B$39,Financials!$E230,FinParameters!$C$8:$C$39,Financials!$F230)</f>
        <v>4279073.1590893008</v>
      </c>
      <c r="P230" s="73">
        <f t="shared" si="51"/>
        <v>80564084.171856776</v>
      </c>
      <c r="Q230" s="73">
        <f>P230/SUMIFS(FinParameters!$H$8:$H$39,FinParameters!$B$8:$B$39,Financials!$E230,FinParameters!$C$8:$C$39,Financials!$F230)</f>
        <v>18690450.591160428</v>
      </c>
      <c r="R230" s="73">
        <f t="shared" si="63"/>
        <v>11243157.330946077</v>
      </c>
      <c r="S230" s="12">
        <f t="shared" si="52"/>
        <v>0.16218994527797878</v>
      </c>
      <c r="T230" s="114">
        <f t="shared" si="53"/>
        <v>116857904.80858035</v>
      </c>
      <c r="U230" s="73">
        <f>T230/SUMIFS(FinParameters!$L$8:$L$39,FinParameters!$B$8:$B$39,Financials!$E230,FinParameters!$C$8:$C$39,Financials!$F230)</f>
        <v>82703517.272561014</v>
      </c>
      <c r="V230" s="73">
        <f t="shared" si="54"/>
        <v>82703517.272561014</v>
      </c>
      <c r="W230" s="12"/>
      <c r="X230" s="73">
        <f t="shared" si="55"/>
        <v>197421988.98043713</v>
      </c>
      <c r="Y230" s="73">
        <f t="shared" si="56"/>
        <v>101393967.86372145</v>
      </c>
      <c r="Z230" s="73">
        <f t="shared" si="56"/>
        <v>93946674.603507087</v>
      </c>
      <c r="AA230" s="12">
        <f t="shared" si="57"/>
        <v>1.3552426213098923</v>
      </c>
      <c r="AB230" s="114">
        <f t="shared" si="58"/>
        <v>-89080339.473899335</v>
      </c>
      <c r="AC230" s="73">
        <f>AB230/SUMIFS(FinParameters!$L$8:$L$39,FinParameters!$B$8:$B$39,Financials!$E230,FinParameters!$C$8:$C$39,Financials!$F230)</f>
        <v>-63044578.853208117</v>
      </c>
      <c r="AD230" s="73">
        <f t="shared" si="59"/>
        <v>-63044578.853208117</v>
      </c>
      <c r="AE230" s="12"/>
      <c r="AF230" s="73">
        <f t="shared" si="60"/>
        <v>108341649.5065378</v>
      </c>
      <c r="AG230" s="73">
        <f t="shared" si="61"/>
        <v>38349389.010513328</v>
      </c>
      <c r="AH230" s="73">
        <f t="shared" si="61"/>
        <v>30902095.750298969</v>
      </c>
      <c r="AI230" s="12">
        <f t="shared" si="62"/>
        <v>0.4457830724222468</v>
      </c>
      <c r="AL230" s="73">
        <f>Summary!G230</f>
        <v>9502415.9406869914</v>
      </c>
      <c r="AM230" s="73">
        <f>IF(D230&lt;&gt;"avg",SUMIFS(Summary!$H:$H,Summary!$C:$C,Financials!C230,Summary!$E:$E,Financials!E230,Summary!$D:$D,1-Financials!D230,Summary!$F:$F,Financials!F230),SUMIFS(Summary!$H:$H,Summary!$C:$C,Financials!C230,Summary!$E:$E,Financials!E230,Summary!$D:$D,"avg",Summary!$F:$F,Financials!F230))</f>
        <v>-9102451.0858501978</v>
      </c>
      <c r="AN230" s="20">
        <f>Summary!I230</f>
        <v>8594920.3989388831</v>
      </c>
      <c r="AP230" s="12">
        <v>1</v>
      </c>
    </row>
    <row r="231" spans="1:42" x14ac:dyDescent="0.3">
      <c r="A231">
        <v>227</v>
      </c>
      <c r="B231" t="str">
        <f>Summary!B231</f>
        <v>MarinusPortland</v>
      </c>
      <c r="C231" t="str">
        <f>Summary!C231</f>
        <v>Wind</v>
      </c>
      <c r="D231" s="104">
        <f>Summary!D231</f>
        <v>0.75</v>
      </c>
      <c r="E231" t="str">
        <f>Summary!E231</f>
        <v>Cal-34</v>
      </c>
      <c r="F231" t="str">
        <f>Summary!F231</f>
        <v>2 Hour Battery</v>
      </c>
      <c r="G231" s="73">
        <f>SUMIFS(AL$5:AL231,$F$5:$F231,$F231,$D$5:$D231,$D231)</f>
        <v>46976288.508804843</v>
      </c>
      <c r="H231" s="73">
        <f>SUMIFS(AM$5:AM231,$F$5:$F231,$F231,$D$5:$D231,$D231)</f>
        <v>-35787136.703876838</v>
      </c>
      <c r="I231" s="20">
        <f>SUMIFS(AN$5:AN231,$F$5:$F231,$F231,$D$5:$D231,$D231)</f>
        <v>78460504.919964001</v>
      </c>
      <c r="J231" s="73">
        <f t="shared" si="48"/>
        <v>78460504.919964001</v>
      </c>
      <c r="K231" s="73">
        <f t="shared" si="49"/>
        <v>125436793.42876884</v>
      </c>
      <c r="L231" s="73">
        <f t="shared" si="50"/>
        <v>89649656.724892005</v>
      </c>
      <c r="M231" s="73">
        <f>-SUMIFS(FinParameters!$E$8:$E$39,FinParameters!$B$8:$B$39,Financials!$E231,FinParameters!$C$8:$C$39,Financials!$F231)</f>
        <v>-14240664.00293438</v>
      </c>
      <c r="N231" s="73">
        <f>-SUMIFS(FinParameters!$F$8:$F$39,FinParameters!$B$8:$B$39,Financials!$E231,FinParameters!$C$8:$C$39,Financials!$F231)</f>
        <v>-73600000</v>
      </c>
      <c r="O231" s="73">
        <f>SUMIFS(FinParameters!$G$8:$G$39,FinParameters!$B$8:$B$39,Financials!$E231,FinParameters!$C$8:$C$39,Financials!$F231)</f>
        <v>4279073.1590893008</v>
      </c>
      <c r="P231" s="73">
        <f t="shared" si="51"/>
        <v>64219840.917029619</v>
      </c>
      <c r="Q231" s="73">
        <f>P231/SUMIFS(FinParameters!$H$8:$H$39,FinParameters!$B$8:$B$39,Financials!$E231,FinParameters!$C$8:$C$39,Financials!$F231)</f>
        <v>14898670.741064807</v>
      </c>
      <c r="R231" s="73">
        <f t="shared" si="63"/>
        <v>-5101085.92388108</v>
      </c>
      <c r="S231" s="12">
        <f t="shared" si="52"/>
        <v>-7.3586522228531487E-2</v>
      </c>
      <c r="T231" s="114">
        <f t="shared" si="53"/>
        <v>46976288.508804843</v>
      </c>
      <c r="U231" s="73">
        <f>T231/SUMIFS(FinParameters!$L$8:$L$39,FinParameters!$B$8:$B$39,Financials!$E231,FinParameters!$C$8:$C$39,Financials!$F231)</f>
        <v>33246396.933547322</v>
      </c>
      <c r="V231" s="73">
        <f t="shared" si="54"/>
        <v>33246396.933547322</v>
      </c>
      <c r="W231" s="12"/>
      <c r="X231" s="73">
        <f t="shared" si="55"/>
        <v>111196129.42583446</v>
      </c>
      <c r="Y231" s="73">
        <f t="shared" si="56"/>
        <v>48145067.674612127</v>
      </c>
      <c r="Z231" s="73">
        <f t="shared" si="56"/>
        <v>28145311.009666242</v>
      </c>
      <c r="AA231" s="12">
        <f t="shared" si="57"/>
        <v>0.40601463789223169</v>
      </c>
      <c r="AB231" s="114">
        <f t="shared" si="58"/>
        <v>-35787136.703876838</v>
      </c>
      <c r="AC231" s="73">
        <f>AB231/SUMIFS(FinParameters!$L$8:$L$39,FinParameters!$B$8:$B$39,Financials!$E231,FinParameters!$C$8:$C$39,Financials!$F231)</f>
        <v>-25327529.903713118</v>
      </c>
      <c r="AD231" s="73">
        <f t="shared" si="59"/>
        <v>-25327529.903713118</v>
      </c>
      <c r="AE231" s="12"/>
      <c r="AF231" s="73">
        <f t="shared" si="60"/>
        <v>75408992.721957624</v>
      </c>
      <c r="AG231" s="73">
        <f t="shared" si="61"/>
        <v>22817537.770899009</v>
      </c>
      <c r="AH231" s="73">
        <f t="shared" si="61"/>
        <v>2817781.1059531234</v>
      </c>
      <c r="AI231" s="12">
        <f t="shared" si="62"/>
        <v>4.0648347250460751E-2</v>
      </c>
      <c r="AL231" s="73">
        <f>Summary!G231</f>
        <v>5251265.3098612754</v>
      </c>
      <c r="AM231" s="73">
        <f>IF(D231&lt;&gt;"avg",SUMIFS(Summary!$H:$H,Summary!$C:$C,Financials!C231,Summary!$E:$E,Financials!E231,Summary!$D:$D,1-Financials!D231,Summary!$F:$F,Financials!F231),SUMIFS(Summary!$H:$H,Summary!$C:$C,Financials!C231,Summary!$E:$E,Financials!E231,Summary!$D:$D,"avg",Summary!$F:$F,Financials!F231))</f>
        <v>-4031920.8220162168</v>
      </c>
      <c r="AN231" s="20">
        <f>Summary!I231</f>
        <v>7550278.5905889394</v>
      </c>
      <c r="AP231" s="12">
        <v>1</v>
      </c>
    </row>
    <row r="232" spans="1:42" x14ac:dyDescent="0.3">
      <c r="A232">
        <v>228</v>
      </c>
      <c r="B232" t="str">
        <f>Summary!B232</f>
        <v>MarinusPortland</v>
      </c>
      <c r="C232" t="str">
        <f>Summary!C232</f>
        <v>Wind</v>
      </c>
      <c r="D232" s="104">
        <f>Summary!D232</f>
        <v>0.5</v>
      </c>
      <c r="E232" t="str">
        <f>Summary!E232</f>
        <v>Cal-34</v>
      </c>
      <c r="F232" t="str">
        <f>Summary!F232</f>
        <v>2 Hour Battery</v>
      </c>
      <c r="G232" s="73">
        <f>SUMIFS(AL$5:AL232,$F$5:$F232,$F232,$D$5:$D232,$D232)</f>
        <v>-545216.92692330596</v>
      </c>
      <c r="H232" s="73">
        <f>SUMIFS(AM$5:AM232,$F$5:$F232,$F232,$D$5:$D232,$D232)</f>
        <v>37472.015410564898</v>
      </c>
      <c r="I232" s="20">
        <f>SUMIFS(AN$5:AN232,$F$5:$F232,$F232,$D$5:$D232,$D232)</f>
        <v>67315248.74012883</v>
      </c>
      <c r="J232" s="73">
        <f t="shared" si="48"/>
        <v>67315248.74012883</v>
      </c>
      <c r="K232" s="73">
        <f t="shared" si="49"/>
        <v>66770031.813205525</v>
      </c>
      <c r="L232" s="73">
        <f t="shared" si="50"/>
        <v>66807503.82861609</v>
      </c>
      <c r="M232" s="73">
        <f>-SUMIFS(FinParameters!$E$8:$E$39,FinParameters!$B$8:$B$39,Financials!$E232,FinParameters!$C$8:$C$39,Financials!$F232)</f>
        <v>-14240664.00293438</v>
      </c>
      <c r="N232" s="73">
        <f>-SUMIFS(FinParameters!$F$8:$F$39,FinParameters!$B$8:$B$39,Financials!$E232,FinParameters!$C$8:$C$39,Financials!$F232)</f>
        <v>-73600000</v>
      </c>
      <c r="O232" s="73">
        <f>SUMIFS(FinParameters!$G$8:$G$39,FinParameters!$B$8:$B$39,Financials!$E232,FinParameters!$C$8:$C$39,Financials!$F232)</f>
        <v>4279073.1590893008</v>
      </c>
      <c r="P232" s="73">
        <f t="shared" si="51"/>
        <v>53074584.737194449</v>
      </c>
      <c r="Q232" s="73">
        <f>P232/SUMIFS(FinParameters!$H$8:$H$39,FinParameters!$B$8:$B$39,Financials!$E232,FinParameters!$C$8:$C$39,Financials!$F232)</f>
        <v>12313028.986475075</v>
      </c>
      <c r="R232" s="73">
        <f t="shared" si="63"/>
        <v>-16246342.103716251</v>
      </c>
      <c r="S232" s="12">
        <f t="shared" si="52"/>
        <v>-0.23436417895855724</v>
      </c>
      <c r="T232" s="114">
        <f t="shared" si="53"/>
        <v>-545216.92692330596</v>
      </c>
      <c r="U232" s="73">
        <f>T232/SUMIFS(FinParameters!$L$8:$L$39,FinParameters!$B$8:$B$39,Financials!$E232,FinParameters!$C$8:$C$39,Financials!$F232)</f>
        <v>-385864.84677229478</v>
      </c>
      <c r="V232" s="73">
        <f t="shared" si="54"/>
        <v>-385864.84677229478</v>
      </c>
      <c r="W232" s="12"/>
      <c r="X232" s="73">
        <f t="shared" si="55"/>
        <v>52529367.810271144</v>
      </c>
      <c r="Y232" s="73">
        <f t="shared" si="56"/>
        <v>11927164.13970278</v>
      </c>
      <c r="Z232" s="73">
        <f t="shared" si="56"/>
        <v>-16632206.950488545</v>
      </c>
      <c r="AA232" s="12">
        <f t="shared" si="57"/>
        <v>-0.23993053336777975</v>
      </c>
      <c r="AB232" s="114">
        <f t="shared" si="58"/>
        <v>37472.015410564898</v>
      </c>
      <c r="AC232" s="73">
        <f>AB232/SUMIFS(FinParameters!$L$8:$L$39,FinParameters!$B$8:$B$39,Financials!$E232,FinParameters!$C$8:$C$39,Financials!$F232)</f>
        <v>26519.964385993131</v>
      </c>
      <c r="AD232" s="73">
        <f t="shared" si="59"/>
        <v>26519.964385993131</v>
      </c>
      <c r="AE232" s="12"/>
      <c r="AF232" s="73">
        <f t="shared" si="60"/>
        <v>52566839.825681709</v>
      </c>
      <c r="AG232" s="73">
        <f t="shared" si="61"/>
        <v>11953684.104088774</v>
      </c>
      <c r="AH232" s="73">
        <f t="shared" si="61"/>
        <v>-16605686.986102551</v>
      </c>
      <c r="AI232" s="12">
        <f t="shared" si="62"/>
        <v>-0.23954796542481419</v>
      </c>
      <c r="AL232" s="73">
        <f>Summary!G232</f>
        <v>1627598.4889372706</v>
      </c>
      <c r="AM232" s="73">
        <f>IF(D232&lt;&gt;"avg",SUMIFS(Summary!$H:$H,Summary!$C:$C,Financials!C232,Summary!$E:$E,Financials!E232,Summary!$D:$D,1-Financials!D232,Summary!$F:$F,Financials!F232),SUMIFS(Summary!$H:$H,Summary!$C:$C,Financials!C232,Summary!$E:$E,Financials!E232,Summary!$D:$D,"avg",Summary!$F:$F,Financials!F232))</f>
        <v>-211581.317964494</v>
      </c>
      <c r="AN232" s="20">
        <f>Summary!I232</f>
        <v>6637235.2622806411</v>
      </c>
      <c r="AP232" s="12">
        <v>1</v>
      </c>
    </row>
    <row r="233" spans="1:42" x14ac:dyDescent="0.3">
      <c r="A233">
        <v>229</v>
      </c>
      <c r="B233" t="str">
        <f>Summary!B233</f>
        <v>MarinusPortland</v>
      </c>
      <c r="C233" t="str">
        <f>Summary!C233</f>
        <v>Wind</v>
      </c>
      <c r="D233" s="104">
        <f>Summary!D233</f>
        <v>0.25</v>
      </c>
      <c r="E233" t="str">
        <f>Summary!E233</f>
        <v>Cal-34</v>
      </c>
      <c r="F233" t="str">
        <f>Summary!F233</f>
        <v>2 Hour Battery</v>
      </c>
      <c r="G233" s="73">
        <f>SUMIFS(AL$5:AL233,$F$5:$F233,$F233,$D$5:$D233,$D233)</f>
        <v>-37379329.23251871</v>
      </c>
      <c r="H233" s="73">
        <f>SUMIFS(AM$5:AM233,$F$5:$F233,$F233,$D$5:$D233,$D233)</f>
        <v>33872702.317239709</v>
      </c>
      <c r="I233" s="20">
        <f>SUMIFS(AN$5:AN233,$F$5:$F233,$F233,$D$5:$D233,$D233)</f>
        <v>56605711.48660671</v>
      </c>
      <c r="J233" s="73">
        <f t="shared" si="48"/>
        <v>56605711.48660671</v>
      </c>
      <c r="K233" s="73">
        <f t="shared" si="49"/>
        <v>19226382.254087999</v>
      </c>
      <c r="L233" s="73">
        <f t="shared" si="50"/>
        <v>53099084.571327709</v>
      </c>
      <c r="M233" s="73">
        <f>-SUMIFS(FinParameters!$E$8:$E$39,FinParameters!$B$8:$B$39,Financials!$E233,FinParameters!$C$8:$C$39,Financials!$F233)</f>
        <v>-14240664.00293438</v>
      </c>
      <c r="N233" s="73">
        <f>-SUMIFS(FinParameters!$F$8:$F$39,FinParameters!$B$8:$B$39,Financials!$E233,FinParameters!$C$8:$C$39,Financials!$F233)</f>
        <v>-73600000</v>
      </c>
      <c r="O233" s="73">
        <f>SUMIFS(FinParameters!$G$8:$G$39,FinParameters!$B$8:$B$39,Financials!$E233,FinParameters!$C$8:$C$39,Financials!$F233)</f>
        <v>4279073.1590893008</v>
      </c>
      <c r="P233" s="73">
        <f t="shared" si="51"/>
        <v>42365047.483672328</v>
      </c>
      <c r="Q233" s="73">
        <f>P233/SUMIFS(FinParameters!$H$8:$H$39,FinParameters!$B$8:$B$39,Financials!$E233,FinParameters!$C$8:$C$39,Financials!$F233)</f>
        <v>9828471.7678494751</v>
      </c>
      <c r="R233" s="73">
        <f t="shared" si="63"/>
        <v>-26955879.357238371</v>
      </c>
      <c r="S233" s="12">
        <f t="shared" si="52"/>
        <v>-0.38885630336566684</v>
      </c>
      <c r="T233" s="114">
        <f t="shared" si="53"/>
        <v>-37379329.23251871</v>
      </c>
      <c r="U233" s="73">
        <f>T233/SUMIFS(FinParameters!$L$8:$L$39,FinParameters!$B$8:$B$39,Financials!$E233,FinParameters!$C$8:$C$39,Financials!$F233)</f>
        <v>-26454367.857118793</v>
      </c>
      <c r="V233" s="73">
        <f t="shared" si="54"/>
        <v>-26454367.857118793</v>
      </c>
      <c r="W233" s="12"/>
      <c r="X233" s="73">
        <f t="shared" si="55"/>
        <v>4985718.25115362</v>
      </c>
      <c r="Y233" s="73">
        <f t="shared" si="56"/>
        <v>-16625896.089269318</v>
      </c>
      <c r="Z233" s="73">
        <f t="shared" si="56"/>
        <v>-53410247.214357167</v>
      </c>
      <c r="AA233" s="12">
        <f t="shared" si="57"/>
        <v>-0.77047797322346778</v>
      </c>
      <c r="AB233" s="114">
        <f t="shared" si="58"/>
        <v>33872702.317239709</v>
      </c>
      <c r="AC233" s="73">
        <f>AB233/SUMIFS(FinParameters!$L$8:$L$39,FinParameters!$B$8:$B$39,Financials!$E233,FinParameters!$C$8:$C$39,Financials!$F233)</f>
        <v>23972632.623791985</v>
      </c>
      <c r="AD233" s="73">
        <f t="shared" si="59"/>
        <v>23972632.623791985</v>
      </c>
      <c r="AE233" s="12"/>
      <c r="AF233" s="73">
        <f t="shared" si="60"/>
        <v>38858420.568393327</v>
      </c>
      <c r="AG233" s="73">
        <f t="shared" si="61"/>
        <v>7346736.5345226675</v>
      </c>
      <c r="AH233" s="73">
        <f t="shared" si="61"/>
        <v>-29437614.590565182</v>
      </c>
      <c r="AI233" s="12">
        <f t="shared" si="62"/>
        <v>-0.4246569677021711</v>
      </c>
      <c r="AL233" s="73">
        <f>Summary!G233</f>
        <v>-2504981.68922436</v>
      </c>
      <c r="AM233" s="73">
        <f>IF(D233&lt;&gt;"avg",SUMIFS(Summary!$H:$H,Summary!$C:$C,Financials!C233,Summary!$E:$E,Financials!E233,Summary!$D:$D,1-Financials!D233,Summary!$F:$F,Financials!F233),SUMIFS(Summary!$H:$H,Summary!$C:$C,Financials!C233,Summary!$E:$E,Financials!E233,Summary!$D:$D,"avg",Summary!$F:$F,Financials!F233))</f>
        <v>3957010.6580653782</v>
      </c>
      <c r="AN233" s="20">
        <f>Summary!I233</f>
        <v>5577659.6685436461</v>
      </c>
      <c r="AP233" s="12">
        <v>1</v>
      </c>
    </row>
    <row r="234" spans="1:42" x14ac:dyDescent="0.3">
      <c r="A234">
        <v>230</v>
      </c>
      <c r="B234" t="str">
        <f>Summary!B234</f>
        <v>MarinusPortland</v>
      </c>
      <c r="C234" t="str">
        <f>Summary!C234</f>
        <v>Wind</v>
      </c>
      <c r="D234" s="104">
        <f>Summary!D234</f>
        <v>0.05</v>
      </c>
      <c r="E234" t="str">
        <f>Summary!E234</f>
        <v>Cal-34</v>
      </c>
      <c r="F234" t="str">
        <f>Summary!F234</f>
        <v>2 Hour Battery</v>
      </c>
      <c r="G234" s="73">
        <f>SUMIFS(AL$5:AL234,$F$5:$F234,$F234,$D$5:$D234,$D234)</f>
        <v>-80191313.39671424</v>
      </c>
      <c r="H234" s="73">
        <f>SUMIFS(AM$5:AM234,$F$5:$F234,$F234,$D$5:$D234,$D234)</f>
        <v>79352522.858948275</v>
      </c>
      <c r="I234" s="20">
        <f>SUMIFS(AN$5:AN234,$F$5:$F234,$F234,$D$5:$D234,$D234)</f>
        <v>43374151.145039506</v>
      </c>
      <c r="J234" s="73">
        <f t="shared" si="48"/>
        <v>43374151.145039506</v>
      </c>
      <c r="K234" s="73">
        <f t="shared" si="49"/>
        <v>-36817162.251674734</v>
      </c>
      <c r="L234" s="73">
        <f t="shared" si="50"/>
        <v>42535360.607273541</v>
      </c>
      <c r="M234" s="73">
        <f>-SUMIFS(FinParameters!$E$8:$E$39,FinParameters!$B$8:$B$39,Financials!$E234,FinParameters!$C$8:$C$39,Financials!$F234)</f>
        <v>-14240664.00293438</v>
      </c>
      <c r="N234" s="73">
        <f>-SUMIFS(FinParameters!$F$8:$F$39,FinParameters!$B$8:$B$39,Financials!$E234,FinParameters!$C$8:$C$39,Financials!$F234)</f>
        <v>-73600000</v>
      </c>
      <c r="O234" s="73">
        <f>SUMIFS(FinParameters!$G$8:$G$39,FinParameters!$B$8:$B$39,Financials!$E234,FinParameters!$C$8:$C$39,Financials!$F234)</f>
        <v>4279073.1590893008</v>
      </c>
      <c r="P234" s="73">
        <f t="shared" si="51"/>
        <v>29133487.142105125</v>
      </c>
      <c r="Q234" s="73">
        <f>P234/SUMIFS(FinParameters!$H$8:$H$39,FinParameters!$B$8:$B$39,Financials!$E234,FinParameters!$C$8:$C$39,Financials!$F234)</f>
        <v>6758818.2448170669</v>
      </c>
      <c r="R234" s="73">
        <f t="shared" si="63"/>
        <v>-40187439.698805571</v>
      </c>
      <c r="S234" s="12">
        <f t="shared" si="52"/>
        <v>-0.57973027093296736</v>
      </c>
      <c r="T234" s="114">
        <f t="shared" si="53"/>
        <v>-80191313.39671424</v>
      </c>
      <c r="U234" s="73">
        <f>T234/SUMIFS(FinParameters!$L$8:$L$39,FinParameters!$B$8:$B$39,Financials!$E234,FinParameters!$C$8:$C$39,Financials!$F234)</f>
        <v>-56753573.354564741</v>
      </c>
      <c r="V234" s="73">
        <f t="shared" si="54"/>
        <v>-56753573.354564741</v>
      </c>
      <c r="W234" s="12"/>
      <c r="X234" s="73">
        <f t="shared" si="55"/>
        <v>-51057826.254609115</v>
      </c>
      <c r="Y234" s="73">
        <f t="shared" si="56"/>
        <v>-49994755.109747678</v>
      </c>
      <c r="Z234" s="73">
        <f t="shared" si="56"/>
        <v>-96941013.053370312</v>
      </c>
      <c r="AA234" s="12">
        <f t="shared" si="57"/>
        <v>-1.3984379244646687</v>
      </c>
      <c r="AB234" s="114">
        <f t="shared" si="58"/>
        <v>79352522.858948275</v>
      </c>
      <c r="AC234" s="73">
        <f>AB234/SUMIFS(FinParameters!$L$8:$L$39,FinParameters!$B$8:$B$39,Financials!$E234,FinParameters!$C$8:$C$39,Financials!$F234)</f>
        <v>56159938.47944165</v>
      </c>
      <c r="AD234" s="73">
        <f t="shared" si="59"/>
        <v>56159938.47944165</v>
      </c>
      <c r="AE234" s="12"/>
      <c r="AF234" s="73">
        <f t="shared" si="60"/>
        <v>28294696.60433916</v>
      </c>
      <c r="AG234" s="73">
        <f t="shared" si="61"/>
        <v>6165183.3696939722</v>
      </c>
      <c r="AH234" s="73">
        <f t="shared" si="61"/>
        <v>-40781074.573928662</v>
      </c>
      <c r="AI234" s="12">
        <f t="shared" si="62"/>
        <v>-0.58829384476523106</v>
      </c>
      <c r="AL234" s="73">
        <f>Summary!G234</f>
        <v>-7399404.664608473</v>
      </c>
      <c r="AM234" s="73">
        <f>IF(D234&lt;&gt;"avg",SUMIFS(Summary!$H:$H,Summary!$C:$C,Financials!C234,Summary!$E:$E,Financials!E234,Summary!$D:$D,1-Financials!D234,Summary!$F:$F,Financials!F234),SUMIFS(Summary!$H:$H,Summary!$C:$C,Financials!C234,Summary!$E:$E,Financials!E234,Summary!$D:$D,"avg",Summary!$F:$F,Financials!F234))</f>
        <v>9704141.8645731453</v>
      </c>
      <c r="AN234" s="20">
        <f>Summary!I234</f>
        <v>4245236.8396006124</v>
      </c>
      <c r="AP234" s="12">
        <v>1</v>
      </c>
    </row>
    <row r="235" spans="1:42" x14ac:dyDescent="0.3">
      <c r="A235">
        <v>231</v>
      </c>
      <c r="B235" t="str">
        <f>Summary!B235</f>
        <v>MarinusPortland</v>
      </c>
      <c r="C235" t="str">
        <f>Summary!C235</f>
        <v>Wind</v>
      </c>
      <c r="D235" s="104">
        <f>Summary!D235</f>
        <v>0</v>
      </c>
      <c r="E235" t="str">
        <f>Summary!E235</f>
        <v>Cal-34</v>
      </c>
      <c r="F235" t="str">
        <f>Summary!F235</f>
        <v>2 Hour Battery</v>
      </c>
      <c r="G235" s="73">
        <f>SUMIFS(AL$5:AL235,$F$5:$F235,$F235,$D$5:$D235,$D235)</f>
        <v>-141428742.42530137</v>
      </c>
      <c r="H235" s="73">
        <f>SUMIFS(AM$5:AM235,$F$5:$F235,$F235,$D$5:$D235,$D235)</f>
        <v>166878591.55395263</v>
      </c>
      <c r="I235" s="20">
        <f>SUMIFS(AN$5:AN235,$F$5:$F235,$F235,$D$5:$D235,$D235)</f>
        <v>24606344.486870676</v>
      </c>
      <c r="J235" s="73">
        <f t="shared" si="48"/>
        <v>24606344.486870676</v>
      </c>
      <c r="K235" s="73">
        <f t="shared" si="49"/>
        <v>-116822397.9384307</v>
      </c>
      <c r="L235" s="73">
        <f t="shared" si="50"/>
        <v>50056193.615521938</v>
      </c>
      <c r="M235" s="73">
        <f>-SUMIFS(FinParameters!$E$8:$E$39,FinParameters!$B$8:$B$39,Financials!$E235,FinParameters!$C$8:$C$39,Financials!$F235)</f>
        <v>-14240664.00293438</v>
      </c>
      <c r="N235" s="73">
        <f>-SUMIFS(FinParameters!$F$8:$F$39,FinParameters!$B$8:$B$39,Financials!$E235,FinParameters!$C$8:$C$39,Financials!$F235)</f>
        <v>-73600000</v>
      </c>
      <c r="O235" s="73">
        <f>SUMIFS(FinParameters!$G$8:$G$39,FinParameters!$B$8:$B$39,Financials!$E235,FinParameters!$C$8:$C$39,Financials!$F235)</f>
        <v>4279073.1590893008</v>
      </c>
      <c r="P235" s="73">
        <f t="shared" si="51"/>
        <v>10365680.483936297</v>
      </c>
      <c r="Q235" s="73">
        <f>P235/SUMIFS(FinParameters!$H$8:$H$39,FinParameters!$B$8:$B$39,Financials!$E235,FinParameters!$C$8:$C$39,Financials!$F235)</f>
        <v>2404784.2276154817</v>
      </c>
      <c r="R235" s="73">
        <f t="shared" si="63"/>
        <v>-58955246.356974408</v>
      </c>
      <c r="S235" s="12">
        <f t="shared" si="52"/>
        <v>-0.85046823583699049</v>
      </c>
      <c r="T235" s="114">
        <f t="shared" si="53"/>
        <v>-141428742.42530137</v>
      </c>
      <c r="U235" s="73">
        <f>T235/SUMIFS(FinParameters!$L$8:$L$39,FinParameters!$B$8:$B$39,Financials!$E235,FinParameters!$C$8:$C$39,Financials!$F235)</f>
        <v>-100092967.27651633</v>
      </c>
      <c r="V235" s="73">
        <f t="shared" si="54"/>
        <v>-100092967.27651633</v>
      </c>
      <c r="W235" s="12"/>
      <c r="X235" s="73">
        <f t="shared" si="55"/>
        <v>-131063061.94136508</v>
      </c>
      <c r="Y235" s="73">
        <f t="shared" si="56"/>
        <v>-97688183.048900858</v>
      </c>
      <c r="Z235" s="73">
        <f t="shared" si="56"/>
        <v>-159048213.63349074</v>
      </c>
      <c r="AA235" s="12">
        <f t="shared" si="57"/>
        <v>-2.2943751747362131</v>
      </c>
      <c r="AB235" s="114">
        <f t="shared" si="58"/>
        <v>166878591.55395263</v>
      </c>
      <c r="AC235" s="73">
        <f>AB235/SUMIFS(FinParameters!$L$8:$L$39,FinParameters!$B$8:$B$39,Financials!$E235,FinParameters!$C$8:$C$39,Financials!$F235)</f>
        <v>118104517.63285077</v>
      </c>
      <c r="AD235" s="73">
        <f t="shared" si="59"/>
        <v>118104517.63285077</v>
      </c>
      <c r="AE235" s="12"/>
      <c r="AF235" s="73">
        <f t="shared" si="60"/>
        <v>35815529.612587556</v>
      </c>
      <c r="AG235" s="73">
        <f t="shared" si="61"/>
        <v>20416334.583949909</v>
      </c>
      <c r="AH235" s="73">
        <f t="shared" si="61"/>
        <v>-40943696.000639975</v>
      </c>
      <c r="AI235" s="12">
        <f t="shared" si="62"/>
        <v>-0.59063976589067313</v>
      </c>
      <c r="AL235" s="73">
        <f>Summary!G235</f>
        <v>-12649029.033627152</v>
      </c>
      <c r="AM235" s="73">
        <f>IF(D235&lt;&gt;"avg",SUMIFS(Summary!$H:$H,Summary!$C:$C,Financials!C235,Summary!$E:$E,Financials!E235,Summary!$D:$D,1-Financials!D235,Summary!$F:$F,Financials!F235),SUMIFS(Summary!$H:$H,Summary!$C:$C,Financials!C235,Summary!$E:$E,Financials!E235,Summary!$D:$D,"avg",Summary!$F:$F,Financials!F235))</f>
        <v>19041876.804225415</v>
      </c>
      <c r="AN235" s="20">
        <f>Summary!I235</f>
        <v>2778456.455213109</v>
      </c>
      <c r="AP235" s="12">
        <v>1</v>
      </c>
    </row>
    <row r="236" spans="1:42" x14ac:dyDescent="0.3">
      <c r="A236">
        <v>232</v>
      </c>
      <c r="B236" t="str">
        <f>Summary!B236</f>
        <v>MarinusPortland</v>
      </c>
      <c r="C236" t="str">
        <f>Summary!C236</f>
        <v>Wind</v>
      </c>
      <c r="D236" s="104" t="str">
        <f>Summary!D236</f>
        <v>avg</v>
      </c>
      <c r="E236" t="str">
        <f>Summary!E236</f>
        <v>Cal-34</v>
      </c>
      <c r="F236" t="str">
        <f>Summary!F236</f>
        <v>2 Hour Battery</v>
      </c>
      <c r="G236" s="73">
        <f>SUMIFS(AL$5:AL236,$F$5:$F236,$F236,$D$5:$D236,$D236)</f>
        <v>7179126.1757186195</v>
      </c>
      <c r="H236" s="73">
        <f>SUMIFS(AM$5:AM236,$F$5:$F236,$F236,$D$5:$D236,$D236)</f>
        <v>-1800979.5220825917</v>
      </c>
      <c r="I236" s="20">
        <f>SUMIFS(AN$5:AN236,$F$5:$F236,$F236,$D$5:$D236,$D236)</f>
        <v>67801800.479846686</v>
      </c>
      <c r="J236" s="73">
        <f t="shared" si="48"/>
        <v>67801800.479846686</v>
      </c>
      <c r="K236" s="73">
        <f t="shared" si="49"/>
        <v>74980926.655565307</v>
      </c>
      <c r="L236" s="73">
        <f t="shared" si="50"/>
        <v>73179947.13348271</v>
      </c>
      <c r="M236" s="73">
        <f>-SUMIFS(FinParameters!$E$8:$E$39,FinParameters!$B$8:$B$39,Financials!$E236,FinParameters!$C$8:$C$39,Financials!$F236)</f>
        <v>-14240664.00293438</v>
      </c>
      <c r="N236" s="73">
        <f>-SUMIFS(FinParameters!$F$8:$F$39,FinParameters!$B$8:$B$39,Financials!$E236,FinParameters!$C$8:$C$39,Financials!$F236)</f>
        <v>-73600000</v>
      </c>
      <c r="O236" s="73">
        <f>SUMIFS(FinParameters!$G$8:$G$39,FinParameters!$B$8:$B$39,Financials!$E236,FinParameters!$C$8:$C$39,Financials!$F236)</f>
        <v>4279073.1590893008</v>
      </c>
      <c r="P236" s="73">
        <f t="shared" si="51"/>
        <v>53561136.476912305</v>
      </c>
      <c r="Q236" s="73">
        <f>P236/SUMIFS(FinParameters!$H$8:$H$39,FinParameters!$B$8:$B$39,Financials!$E236,FinParameters!$C$8:$C$39,Financials!$F236)</f>
        <v>12425906.472078225</v>
      </c>
      <c r="R236" s="73">
        <f t="shared" si="63"/>
        <v>-15759790.363998394</v>
      </c>
      <c r="S236" s="12">
        <f t="shared" si="52"/>
        <v>-0.22734534984170951</v>
      </c>
      <c r="T236" s="114">
        <f t="shared" si="53"/>
        <v>7179126.1757186195</v>
      </c>
      <c r="U236" s="73">
        <f>T236/SUMIFS(FinParameters!$L$8:$L$39,FinParameters!$B$8:$B$39,Financials!$E236,FinParameters!$C$8:$C$39,Financials!$F236)</f>
        <v>5080862.8363482701</v>
      </c>
      <c r="V236" s="73">
        <f t="shared" si="54"/>
        <v>5080862.8363482701</v>
      </c>
      <c r="W236" s="12"/>
      <c r="X236" s="73">
        <f t="shared" si="55"/>
        <v>60740262.652630925</v>
      </c>
      <c r="Y236" s="73">
        <f t="shared" si="56"/>
        <v>17506769.308426496</v>
      </c>
      <c r="Z236" s="73">
        <f t="shared" si="56"/>
        <v>-10678927.527650125</v>
      </c>
      <c r="AA236" s="12">
        <f t="shared" si="57"/>
        <v>-0.15405055896263362</v>
      </c>
      <c r="AB236" s="114">
        <f t="shared" si="58"/>
        <v>-1800979.5220825917</v>
      </c>
      <c r="AC236" s="73">
        <f>AB236/SUMIFS(FinParameters!$L$8:$L$39,FinParameters!$B$8:$B$39,Financials!$E236,FinParameters!$C$8:$C$39,Financials!$F236)</f>
        <v>-1274602.1867846269</v>
      </c>
      <c r="AD236" s="73">
        <f t="shared" si="59"/>
        <v>-1274602.1867846269</v>
      </c>
      <c r="AE236" s="12"/>
      <c r="AF236" s="73">
        <f t="shared" si="60"/>
        <v>58939283.130548336</v>
      </c>
      <c r="AG236" s="73">
        <f t="shared" si="61"/>
        <v>16232167.121641869</v>
      </c>
      <c r="AH236" s="73">
        <f t="shared" si="61"/>
        <v>-11953529.714434752</v>
      </c>
      <c r="AI236" s="12">
        <f t="shared" si="62"/>
        <v>-0.17243753451057742</v>
      </c>
      <c r="AL236" s="73">
        <f>Summary!G236</f>
        <v>1381696.1966394363</v>
      </c>
      <c r="AM236" s="73">
        <f>IF(D236&lt;&gt;"avg",SUMIFS(Summary!$H:$H,Summary!$C:$C,Financials!C236,Summary!$E:$E,Financials!E236,Summary!$D:$D,1-Financials!D236,Summary!$F:$F,Financials!F236),SUMIFS(Summary!$H:$H,Summary!$C:$C,Financials!C236,Summary!$E:$E,Financials!E236,Summary!$D:$D,"avg",Summary!$F:$F,Financials!F236))</f>
        <v>13271.938930824306</v>
      </c>
      <c r="AN236" s="20">
        <f>Summary!I236</f>
        <v>6535809.651025367</v>
      </c>
      <c r="AP236" s="12">
        <v>1</v>
      </c>
    </row>
    <row r="237" spans="1:42" x14ac:dyDescent="0.3">
      <c r="A237">
        <v>233</v>
      </c>
      <c r="B237" t="str">
        <f>Summary!B237</f>
        <v>MarinusPortland</v>
      </c>
      <c r="C237" t="str">
        <f>Summary!C237</f>
        <v>Wind</v>
      </c>
      <c r="D237" s="104">
        <f>Summary!D237</f>
        <v>1</v>
      </c>
      <c r="E237" t="str">
        <f>Summary!E237</f>
        <v>Cal-35</v>
      </c>
      <c r="F237" t="str">
        <f>Summary!F237</f>
        <v>2 Hour Battery</v>
      </c>
      <c r="G237" s="73">
        <f>SUMIFS(AL$5:AL237,$F$5:$F237,$F237,$D$5:$D237,$D237)</f>
        <v>273996905.25165427</v>
      </c>
      <c r="H237" s="73">
        <f>SUMIFS(AM$5:AM237,$F$5:$F237,$F237,$D$5:$D237,$D237)</f>
        <v>-230179787.63289768</v>
      </c>
      <c r="I237" s="20">
        <f>SUMIFS(AN$5:AN237,$F$5:$F237,$F237,$D$5:$D237,$D237)</f>
        <v>147826174.44963333</v>
      </c>
      <c r="J237" s="73">
        <f t="shared" si="48"/>
        <v>147826174.44963333</v>
      </c>
      <c r="K237" s="73">
        <f t="shared" si="49"/>
        <v>421823079.70128763</v>
      </c>
      <c r="L237" s="73">
        <f t="shared" si="50"/>
        <v>191643292.06838992</v>
      </c>
      <c r="M237" s="73">
        <f>-SUMIFS(FinParameters!$E$8:$E$39,FinParameters!$B$8:$B$39,Financials!$E237,FinParameters!$C$8:$C$39,Financials!$F237)</f>
        <v>-15385430.603007738</v>
      </c>
      <c r="N237" s="73">
        <f>-SUMIFS(FinParameters!$F$8:$F$39,FinParameters!$B$8:$B$39,Financials!$E237,FinParameters!$C$8:$C$39,Financials!$F237)</f>
        <v>-73600000</v>
      </c>
      <c r="O237" s="73">
        <f>SUMIFS(FinParameters!$G$8:$G$39,FinParameters!$B$8:$B$39,Financials!$E237,FinParameters!$C$8:$C$39,Financials!$F237)</f>
        <v>3574251.663083659</v>
      </c>
      <c r="P237" s="73">
        <f t="shared" si="51"/>
        <v>132440743.8466256</v>
      </c>
      <c r="Q237" s="73">
        <f>P237/SUMIFS(FinParameters!$H$8:$H$39,FinParameters!$B$8:$B$39,Financials!$E237,FinParameters!$C$8:$C$39,Financials!$F237)</f>
        <v>27680691.137546193</v>
      </c>
      <c r="R237" s="73">
        <f t="shared" si="63"/>
        <v>62414995.509709254</v>
      </c>
      <c r="S237" s="12">
        <f t="shared" si="52"/>
        <v>0.89131493760567448</v>
      </c>
      <c r="T237" s="114">
        <f t="shared" si="53"/>
        <v>273996905.25165427</v>
      </c>
      <c r="U237" s="73">
        <f>T237/SUMIFS(FinParameters!$L$8:$L$39,FinParameters!$B$8:$B$39,Financials!$E237,FinParameters!$C$8:$C$39,Financials!$F237)</f>
        <v>189185425.75674242</v>
      </c>
      <c r="V237" s="73">
        <f t="shared" si="54"/>
        <v>189185425.75674242</v>
      </c>
      <c r="W237" s="12"/>
      <c r="X237" s="73">
        <f t="shared" si="55"/>
        <v>406437649.09827989</v>
      </c>
      <c r="Y237" s="73">
        <f t="shared" si="56"/>
        <v>216866116.8942886</v>
      </c>
      <c r="Z237" s="73">
        <f t="shared" si="56"/>
        <v>251600421.26645166</v>
      </c>
      <c r="AA237" s="12">
        <f t="shared" si="57"/>
        <v>3.5929701180188935</v>
      </c>
      <c r="AB237" s="114">
        <f t="shared" si="58"/>
        <v>-230179787.63289768</v>
      </c>
      <c r="AC237" s="73">
        <f>AB237/SUMIFS(FinParameters!$L$8:$L$39,FinParameters!$B$8:$B$39,Financials!$E237,FinParameters!$C$8:$C$39,Financials!$F237)</f>
        <v>-158931215.24102828</v>
      </c>
      <c r="AD237" s="73">
        <f t="shared" si="59"/>
        <v>-158931215.24102828</v>
      </c>
      <c r="AE237" s="12"/>
      <c r="AF237" s="73">
        <f t="shared" si="60"/>
        <v>176257861.46538222</v>
      </c>
      <c r="AG237" s="73">
        <f t="shared" si="61"/>
        <v>57934901.65326032</v>
      </c>
      <c r="AH237" s="73">
        <f t="shared" si="61"/>
        <v>92669206.025423378</v>
      </c>
      <c r="AI237" s="12">
        <f t="shared" si="62"/>
        <v>1.3233590247341891</v>
      </c>
      <c r="AL237" s="73">
        <f>Summary!G237</f>
        <v>20135291.198764388</v>
      </c>
      <c r="AM237" s="73">
        <f>IF(D237&lt;&gt;"avg",SUMIFS(Summary!$H:$H,Summary!$C:$C,Financials!C237,Summary!$E:$E,Financials!E237,Summary!$D:$D,1-Financials!D237,Summary!$F:$F,Financials!F237),SUMIFS(Summary!$H:$H,Summary!$C:$C,Financials!C237,Summary!$E:$E,Financials!E237,Summary!$D:$D,"avg",Summary!$F:$F,Financials!F237))</f>
        <v>-19973418.104298703</v>
      </c>
      <c r="AN237" s="20">
        <f>Summary!I237</f>
        <v>11365032.460296525</v>
      </c>
      <c r="AP237" s="12">
        <v>1</v>
      </c>
    </row>
    <row r="238" spans="1:42" x14ac:dyDescent="0.3">
      <c r="A238">
        <v>234</v>
      </c>
      <c r="B238" t="str">
        <f>Summary!B238</f>
        <v>MarinusPortland</v>
      </c>
      <c r="C238" t="str">
        <f>Summary!C238</f>
        <v>Wind</v>
      </c>
      <c r="D238" s="104">
        <f>Summary!D238</f>
        <v>0.95</v>
      </c>
      <c r="E238" t="str">
        <f>Summary!E238</f>
        <v>Cal-35</v>
      </c>
      <c r="F238" t="str">
        <f>Summary!F238</f>
        <v>2 Hour Battery</v>
      </c>
      <c r="G238" s="73">
        <f>SUMIFS(AL$5:AL238,$F$5:$F238,$F238,$D$5:$D238,$D238)</f>
        <v>125943013.68609267</v>
      </c>
      <c r="H238" s="73">
        <f>SUMIFS(AM$5:AM238,$F$5:$F238,$F238,$D$5:$D238,$D238)</f>
        <v>-98414100.757730737</v>
      </c>
      <c r="I238" s="20">
        <f>SUMIFS(AN$5:AN238,$F$5:$F238,$F238,$D$5:$D238,$D238)</f>
        <v>103335570.16645098</v>
      </c>
      <c r="J238" s="73">
        <f t="shared" si="48"/>
        <v>103335570.16645098</v>
      </c>
      <c r="K238" s="73">
        <f t="shared" si="49"/>
        <v>229278583.85254365</v>
      </c>
      <c r="L238" s="73">
        <f t="shared" si="50"/>
        <v>130864483.09481291</v>
      </c>
      <c r="M238" s="73">
        <f>-SUMIFS(FinParameters!$E$8:$E$39,FinParameters!$B$8:$B$39,Financials!$E238,FinParameters!$C$8:$C$39,Financials!$F238)</f>
        <v>-15385430.603007738</v>
      </c>
      <c r="N238" s="73">
        <f>-SUMIFS(FinParameters!$F$8:$F$39,FinParameters!$B$8:$B$39,Financials!$E238,FinParameters!$C$8:$C$39,Financials!$F238)</f>
        <v>-73600000</v>
      </c>
      <c r="O238" s="73">
        <f>SUMIFS(FinParameters!$G$8:$G$39,FinParameters!$B$8:$B$39,Financials!$E238,FinParameters!$C$8:$C$39,Financials!$F238)</f>
        <v>3574251.663083659</v>
      </c>
      <c r="P238" s="73">
        <f t="shared" si="51"/>
        <v>87950139.563443244</v>
      </c>
      <c r="Q238" s="73">
        <f>P238/SUMIFS(FinParameters!$H$8:$H$39,FinParameters!$B$8:$B$39,Financials!$E238,FinParameters!$C$8:$C$39,Financials!$F238)</f>
        <v>18381961.457261797</v>
      </c>
      <c r="R238" s="73">
        <f t="shared" si="63"/>
        <v>17924391.226526901</v>
      </c>
      <c r="S238" s="12">
        <f t="shared" si="52"/>
        <v>0.2559685780191438</v>
      </c>
      <c r="T238" s="114">
        <f t="shared" si="53"/>
        <v>125943013.68609267</v>
      </c>
      <c r="U238" s="73">
        <f>T238/SUMIFS(FinParameters!$L$8:$L$39,FinParameters!$B$8:$B$39,Financials!$E238,FinParameters!$C$8:$C$39,Financials!$F238)</f>
        <v>86959313.074748039</v>
      </c>
      <c r="V238" s="73">
        <f t="shared" si="54"/>
        <v>86959313.074748039</v>
      </c>
      <c r="W238" s="12"/>
      <c r="X238" s="73">
        <f t="shared" si="55"/>
        <v>213893153.24953592</v>
      </c>
      <c r="Y238" s="73">
        <f t="shared" si="56"/>
        <v>105341274.53200984</v>
      </c>
      <c r="Z238" s="73">
        <f t="shared" si="56"/>
        <v>104883704.30127494</v>
      </c>
      <c r="AA238" s="12">
        <f t="shared" si="57"/>
        <v>1.4977876965576402</v>
      </c>
      <c r="AB238" s="114">
        <f t="shared" si="58"/>
        <v>-98414100.757730737</v>
      </c>
      <c r="AC238" s="73">
        <f>AB238/SUMIFS(FinParameters!$L$8:$L$39,FinParameters!$B$8:$B$39,Financials!$E238,FinParameters!$C$8:$C$39,Financials!$F238)</f>
        <v>-67951546.880494654</v>
      </c>
      <c r="AD238" s="73">
        <f t="shared" si="59"/>
        <v>-67951546.880494654</v>
      </c>
      <c r="AE238" s="12"/>
      <c r="AF238" s="73">
        <f t="shared" si="60"/>
        <v>115479052.49180518</v>
      </c>
      <c r="AG238" s="73">
        <f t="shared" si="61"/>
        <v>37389727.651515186</v>
      </c>
      <c r="AH238" s="73">
        <f t="shared" si="61"/>
        <v>36932157.420780286</v>
      </c>
      <c r="AI238" s="12">
        <f t="shared" si="62"/>
        <v>0.52740825050648266</v>
      </c>
      <c r="AL238" s="73">
        <f>Summary!G238</f>
        <v>9085108.8775123283</v>
      </c>
      <c r="AM238" s="73">
        <f>IF(D238&lt;&gt;"avg",SUMIFS(Summary!$H:$H,Summary!$C:$C,Financials!C238,Summary!$E:$E,Financials!E238,Summary!$D:$D,1-Financials!D238,Summary!$F:$F,Financials!F238),SUMIFS(Summary!$H:$H,Summary!$C:$C,Financials!C238,Summary!$E:$E,Financials!E238,Summary!$D:$D,"avg",Summary!$F:$F,Financials!F238))</f>
        <v>-9333761.2838313971</v>
      </c>
      <c r="AN238" s="20">
        <f>Summary!I238</f>
        <v>8530821.9916598238</v>
      </c>
      <c r="AP238" s="12">
        <v>1</v>
      </c>
    </row>
    <row r="239" spans="1:42" x14ac:dyDescent="0.3">
      <c r="A239">
        <v>235</v>
      </c>
      <c r="B239" t="str">
        <f>Summary!B239</f>
        <v>MarinusPortland</v>
      </c>
      <c r="C239" t="str">
        <f>Summary!C239</f>
        <v>Wind</v>
      </c>
      <c r="D239" s="104">
        <f>Summary!D239</f>
        <v>0.75</v>
      </c>
      <c r="E239" t="str">
        <f>Summary!E239</f>
        <v>Cal-35</v>
      </c>
      <c r="F239" t="str">
        <f>Summary!F239</f>
        <v>2 Hour Battery</v>
      </c>
      <c r="G239" s="73">
        <f>SUMIFS(AL$5:AL239,$F$5:$F239,$F239,$D$5:$D239,$D239)</f>
        <v>51641328.880341239</v>
      </c>
      <c r="H239" s="73">
        <f>SUMIFS(AM$5:AM239,$F$5:$F239,$F239,$D$5:$D239,$D239)</f>
        <v>-39998440.034301504</v>
      </c>
      <c r="I239" s="20">
        <f>SUMIFS(AN$5:AN239,$F$5:$F239,$F239,$D$5:$D239,$D239)</f>
        <v>85924007.671895877</v>
      </c>
      <c r="J239" s="73">
        <f t="shared" si="48"/>
        <v>85924007.671895877</v>
      </c>
      <c r="K239" s="73">
        <f t="shared" si="49"/>
        <v>137565336.55223712</v>
      </c>
      <c r="L239" s="73">
        <f t="shared" si="50"/>
        <v>97566896.517935604</v>
      </c>
      <c r="M239" s="73">
        <f>-SUMIFS(FinParameters!$E$8:$E$39,FinParameters!$B$8:$B$39,Financials!$E239,FinParameters!$C$8:$C$39,Financials!$F239)</f>
        <v>-15385430.603007738</v>
      </c>
      <c r="N239" s="73">
        <f>-SUMIFS(FinParameters!$F$8:$F$39,FinParameters!$B$8:$B$39,Financials!$E239,FinParameters!$C$8:$C$39,Financials!$F239)</f>
        <v>-73600000</v>
      </c>
      <c r="O239" s="73">
        <f>SUMIFS(FinParameters!$G$8:$G$39,FinParameters!$B$8:$B$39,Financials!$E239,FinParameters!$C$8:$C$39,Financials!$F239)</f>
        <v>3574251.663083659</v>
      </c>
      <c r="P239" s="73">
        <f t="shared" si="51"/>
        <v>70538577.068888143</v>
      </c>
      <c r="Q239" s="73">
        <f>P239/SUMIFS(FinParameters!$H$8:$H$39,FinParameters!$B$8:$B$39,Financials!$E239,FinParameters!$C$8:$C$39,Financials!$F239)</f>
        <v>14742869.213926116</v>
      </c>
      <c r="R239" s="73">
        <f t="shared" si="63"/>
        <v>512828.73197180172</v>
      </c>
      <c r="S239" s="12">
        <f t="shared" si="52"/>
        <v>7.3234309400653334E-3</v>
      </c>
      <c r="T239" s="114">
        <f t="shared" si="53"/>
        <v>51641328.880341239</v>
      </c>
      <c r="U239" s="73">
        <f>T239/SUMIFS(FinParameters!$L$8:$L$39,FinParameters!$B$8:$B$39,Financials!$E239,FinParameters!$C$8:$C$39,Financials!$F239)</f>
        <v>35656558.901270032</v>
      </c>
      <c r="V239" s="73">
        <f t="shared" si="54"/>
        <v>35656558.901270032</v>
      </c>
      <c r="W239" s="12"/>
      <c r="X239" s="73">
        <f t="shared" si="55"/>
        <v>122179905.94922939</v>
      </c>
      <c r="Y239" s="73">
        <f t="shared" si="56"/>
        <v>50399428.115196146</v>
      </c>
      <c r="Z239" s="73">
        <f t="shared" si="56"/>
        <v>36169387.633241832</v>
      </c>
      <c r="AA239" s="12">
        <f t="shared" si="57"/>
        <v>0.51651554595631455</v>
      </c>
      <c r="AB239" s="114">
        <f t="shared" si="58"/>
        <v>-39998440.034301504</v>
      </c>
      <c r="AC239" s="73">
        <f>AB239/SUMIFS(FinParameters!$L$8:$L$39,FinParameters!$B$8:$B$39,Financials!$E239,FinParameters!$C$8:$C$39,Financials!$F239)</f>
        <v>-27617545.170974787</v>
      </c>
      <c r="AD239" s="73">
        <f t="shared" si="59"/>
        <v>-27617545.170974787</v>
      </c>
      <c r="AE239" s="12"/>
      <c r="AF239" s="73">
        <f t="shared" si="60"/>
        <v>82181465.914927885</v>
      </c>
      <c r="AG239" s="73">
        <f t="shared" si="61"/>
        <v>22781882.944221359</v>
      </c>
      <c r="AH239" s="73">
        <f t="shared" si="61"/>
        <v>8551842.4622670449</v>
      </c>
      <c r="AI239" s="12">
        <f t="shared" si="62"/>
        <v>0.12212425665372953</v>
      </c>
      <c r="AL239" s="73">
        <f>Summary!G239</f>
        <v>4665040.3715363936</v>
      </c>
      <c r="AM239" s="73">
        <f>IF(D239&lt;&gt;"avg",SUMIFS(Summary!$H:$H,Summary!$C:$C,Financials!C239,Summary!$E:$E,Financials!E239,Summary!$D:$D,1-Financials!D239,Summary!$F:$F,Financials!F239),SUMIFS(Summary!$H:$H,Summary!$C:$C,Financials!C239,Summary!$E:$E,Financials!E239,Summary!$D:$D,"avg",Summary!$F:$F,Financials!F239))</f>
        <v>-4211303.3304246683</v>
      </c>
      <c r="AN239" s="20">
        <f>Summary!I239</f>
        <v>7463502.7519318806</v>
      </c>
      <c r="AP239" s="12">
        <v>1</v>
      </c>
    </row>
    <row r="240" spans="1:42" x14ac:dyDescent="0.3">
      <c r="A240">
        <v>236</v>
      </c>
      <c r="B240" t="str">
        <f>Summary!B240</f>
        <v>MarinusPortland</v>
      </c>
      <c r="C240" t="str">
        <f>Summary!C240</f>
        <v>Wind</v>
      </c>
      <c r="D240" s="104">
        <f>Summary!D240</f>
        <v>0.5</v>
      </c>
      <c r="E240" t="str">
        <f>Summary!E240</f>
        <v>Cal-35</v>
      </c>
      <c r="F240" t="str">
        <f>Summary!F240</f>
        <v>2 Hour Battery</v>
      </c>
      <c r="G240" s="73">
        <f>SUMIFS(AL$5:AL240,$F$5:$F240,$F240,$D$5:$D240,$D240)</f>
        <v>590808.02317578578</v>
      </c>
      <c r="H240" s="73">
        <f>SUMIFS(AM$5:AM240,$F$5:$F240,$F240,$D$5:$D240,$D240)</f>
        <v>-170593.66541829865</v>
      </c>
      <c r="I240" s="20">
        <f>SUMIFS(AN$5:AN240,$F$5:$F240,$F240,$D$5:$D240,$D240)</f>
        <v>73898697.653188646</v>
      </c>
      <c r="J240" s="73">
        <f t="shared" si="48"/>
        <v>73898697.653188646</v>
      </c>
      <c r="K240" s="73">
        <f t="shared" si="49"/>
        <v>74489505.676364437</v>
      </c>
      <c r="L240" s="73">
        <f t="shared" si="50"/>
        <v>74318912.01094614</v>
      </c>
      <c r="M240" s="73">
        <f>-SUMIFS(FinParameters!$E$8:$E$39,FinParameters!$B$8:$B$39,Financials!$E240,FinParameters!$C$8:$C$39,Financials!$F240)</f>
        <v>-15385430.603007738</v>
      </c>
      <c r="N240" s="73">
        <f>-SUMIFS(FinParameters!$F$8:$F$39,FinParameters!$B$8:$B$39,Financials!$E240,FinParameters!$C$8:$C$39,Financials!$F240)</f>
        <v>-73600000</v>
      </c>
      <c r="O240" s="73">
        <f>SUMIFS(FinParameters!$G$8:$G$39,FinParameters!$B$8:$B$39,Financials!$E240,FinParameters!$C$8:$C$39,Financials!$F240)</f>
        <v>3574251.663083659</v>
      </c>
      <c r="P240" s="73">
        <f t="shared" si="51"/>
        <v>58513267.050180912</v>
      </c>
      <c r="Q240" s="73">
        <f>P240/SUMIFS(FinParameters!$H$8:$H$39,FinParameters!$B$8:$B$39,Financials!$E240,FinParameters!$C$8:$C$39,Financials!$F240)</f>
        <v>12229527.150198679</v>
      </c>
      <c r="R240" s="73">
        <f t="shared" si="63"/>
        <v>-11512481.286735428</v>
      </c>
      <c r="S240" s="12">
        <f t="shared" si="52"/>
        <v>-0.16440354526945128</v>
      </c>
      <c r="T240" s="114">
        <f t="shared" si="53"/>
        <v>590808.02317578578</v>
      </c>
      <c r="U240" s="73">
        <f>T240/SUMIFS(FinParameters!$L$8:$L$39,FinParameters!$B$8:$B$39,Financials!$E240,FinParameters!$C$8:$C$39,Financials!$F240)</f>
        <v>407932.5907070096</v>
      </c>
      <c r="V240" s="73">
        <f t="shared" si="54"/>
        <v>407932.5907070096</v>
      </c>
      <c r="W240" s="12"/>
      <c r="X240" s="73">
        <f t="shared" si="55"/>
        <v>59104075.073356703</v>
      </c>
      <c r="Y240" s="73">
        <f t="shared" si="56"/>
        <v>12637459.740905689</v>
      </c>
      <c r="Z240" s="73">
        <f t="shared" si="56"/>
        <v>-11104548.696028419</v>
      </c>
      <c r="AA240" s="12">
        <f t="shared" si="57"/>
        <v>-0.15857807963152171</v>
      </c>
      <c r="AB240" s="114">
        <f t="shared" si="58"/>
        <v>-170593.66541829865</v>
      </c>
      <c r="AC240" s="73">
        <f>AB240/SUMIFS(FinParameters!$L$8:$L$39,FinParameters!$B$8:$B$39,Financials!$E240,FinParameters!$C$8:$C$39,Financials!$F240)</f>
        <v>-117789.05018624928</v>
      </c>
      <c r="AD240" s="73">
        <f t="shared" si="59"/>
        <v>-117789.05018624928</v>
      </c>
      <c r="AE240" s="12"/>
      <c r="AF240" s="73">
        <f t="shared" si="60"/>
        <v>58933481.407938406</v>
      </c>
      <c r="AG240" s="73">
        <f t="shared" si="61"/>
        <v>12519670.690719441</v>
      </c>
      <c r="AH240" s="73">
        <f t="shared" si="61"/>
        <v>-11222337.746214667</v>
      </c>
      <c r="AI240" s="12">
        <f t="shared" si="62"/>
        <v>-0.16026016162255632</v>
      </c>
      <c r="AL240" s="73">
        <f>Summary!G240</f>
        <v>1136024.9500990917</v>
      </c>
      <c r="AM240" s="73">
        <f>IF(D240&lt;&gt;"avg",SUMIFS(Summary!$H:$H,Summary!$C:$C,Financials!C240,Summary!$E:$E,Financials!E240,Summary!$D:$D,1-Financials!D240,Summary!$F:$F,Financials!F240),SUMIFS(Summary!$H:$H,Summary!$C:$C,Financials!C240,Summary!$E:$E,Financials!E240,Summary!$D:$D,"avg",Summary!$F:$F,Financials!F240))</f>
        <v>-208065.68082886355</v>
      </c>
      <c r="AN240" s="20">
        <f>Summary!I240</f>
        <v>6583448.913059812</v>
      </c>
      <c r="AP240" s="12">
        <v>1</v>
      </c>
    </row>
    <row r="241" spans="1:42" x14ac:dyDescent="0.3">
      <c r="A241">
        <v>237</v>
      </c>
      <c r="B241" t="str">
        <f>Summary!B241</f>
        <v>MarinusPortland</v>
      </c>
      <c r="C241" t="str">
        <f>Summary!C241</f>
        <v>Wind</v>
      </c>
      <c r="D241" s="104">
        <f>Summary!D241</f>
        <v>0.25</v>
      </c>
      <c r="E241" t="str">
        <f>Summary!E241</f>
        <v>Cal-35</v>
      </c>
      <c r="F241" t="str">
        <f>Summary!F241</f>
        <v>2 Hour Battery</v>
      </c>
      <c r="G241" s="73">
        <f>SUMIFS(AL$5:AL241,$F$5:$F241,$F241,$D$5:$D241,$D241)</f>
        <v>-40935589.998996615</v>
      </c>
      <c r="H241" s="73">
        <f>SUMIFS(AM$5:AM241,$F$5:$F241,$F241,$D$5:$D241,$D241)</f>
        <v>38137682.891082242</v>
      </c>
      <c r="I241" s="20">
        <f>SUMIFS(AN$5:AN241,$F$5:$F241,$F241,$D$5:$D241,$D241)</f>
        <v>62046257.19271674</v>
      </c>
      <c r="J241" s="73">
        <f t="shared" si="48"/>
        <v>62046257.19271674</v>
      </c>
      <c r="K241" s="73">
        <f t="shared" si="49"/>
        <v>21110667.193720125</v>
      </c>
      <c r="L241" s="73">
        <f t="shared" si="50"/>
        <v>59248350.084802367</v>
      </c>
      <c r="M241" s="73">
        <f>-SUMIFS(FinParameters!$E$8:$E$39,FinParameters!$B$8:$B$39,Financials!$E241,FinParameters!$C$8:$C$39,Financials!$F241)</f>
        <v>-15385430.603007738</v>
      </c>
      <c r="N241" s="73">
        <f>-SUMIFS(FinParameters!$F$8:$F$39,FinParameters!$B$8:$B$39,Financials!$E241,FinParameters!$C$8:$C$39,Financials!$F241)</f>
        <v>-73600000</v>
      </c>
      <c r="O241" s="73">
        <f>SUMIFS(FinParameters!$G$8:$G$39,FinParameters!$B$8:$B$39,Financials!$E241,FinParameters!$C$8:$C$39,Financials!$F241)</f>
        <v>3574251.663083659</v>
      </c>
      <c r="P241" s="73">
        <f t="shared" si="51"/>
        <v>46660826.589708999</v>
      </c>
      <c r="Q241" s="73">
        <f>P241/SUMIFS(FinParameters!$H$8:$H$39,FinParameters!$B$8:$B$39,Financials!$E241,FinParameters!$C$8:$C$39,Financials!$F241)</f>
        <v>9752315.5755459461</v>
      </c>
      <c r="R241" s="73">
        <f t="shared" si="63"/>
        <v>-23364921.747207344</v>
      </c>
      <c r="S241" s="12">
        <f t="shared" si="52"/>
        <v>-0.33366186441580331</v>
      </c>
      <c r="T241" s="114">
        <f t="shared" si="53"/>
        <v>-40935589.998996615</v>
      </c>
      <c r="U241" s="73">
        <f>T241/SUMIFS(FinParameters!$L$8:$L$39,FinParameters!$B$8:$B$39,Financials!$E241,FinParameters!$C$8:$C$39,Financials!$F241)</f>
        <v>-28264614.943189632</v>
      </c>
      <c r="V241" s="73">
        <f t="shared" si="54"/>
        <v>-28264614.943189632</v>
      </c>
      <c r="W241" s="12"/>
      <c r="X241" s="73">
        <f t="shared" si="55"/>
        <v>5725236.5907123871</v>
      </c>
      <c r="Y241" s="73">
        <f t="shared" si="56"/>
        <v>-18512299.367643684</v>
      </c>
      <c r="Z241" s="73">
        <f t="shared" si="56"/>
        <v>-51629536.690396979</v>
      </c>
      <c r="AA241" s="12">
        <f t="shared" si="57"/>
        <v>-0.73729360865935645</v>
      </c>
      <c r="AB241" s="114">
        <f t="shared" si="58"/>
        <v>38137682.891082242</v>
      </c>
      <c r="AC241" s="73">
        <f>AB241/SUMIFS(FinParameters!$L$8:$L$39,FinParameters!$B$8:$B$39,Financials!$E241,FinParameters!$C$8:$C$39,Financials!$F241)</f>
        <v>26332756.453939777</v>
      </c>
      <c r="AD241" s="73">
        <f t="shared" si="59"/>
        <v>26332756.453939777</v>
      </c>
      <c r="AE241" s="12"/>
      <c r="AF241" s="73">
        <f t="shared" si="60"/>
        <v>43862919.481794626</v>
      </c>
      <c r="AG241" s="73">
        <f t="shared" si="61"/>
        <v>7820457.0862960927</v>
      </c>
      <c r="AH241" s="73">
        <f t="shared" si="61"/>
        <v>-25296780.236457203</v>
      </c>
      <c r="AI241" s="12">
        <f t="shared" si="62"/>
        <v>-0.36124969510852317</v>
      </c>
      <c r="AL241" s="73">
        <f>Summary!G241</f>
        <v>-3556260.7664779043</v>
      </c>
      <c r="AM241" s="73">
        <f>IF(D241&lt;&gt;"avg",SUMIFS(Summary!$H:$H,Summary!$C:$C,Financials!C241,Summary!$E:$E,Financials!E241,Summary!$D:$D,1-Financials!D241,Summary!$F:$F,Financials!F241),SUMIFS(Summary!$H:$H,Summary!$C:$C,Financials!C241,Summary!$E:$E,Financials!E241,Summary!$D:$D,"avg",Summary!$F:$F,Financials!F241))</f>
        <v>4264980.5738425311</v>
      </c>
      <c r="AN241" s="20">
        <f>Summary!I241</f>
        <v>5440545.7061100286</v>
      </c>
      <c r="AP241" s="12">
        <v>1</v>
      </c>
    </row>
    <row r="242" spans="1:42" x14ac:dyDescent="0.3">
      <c r="A242">
        <v>238</v>
      </c>
      <c r="B242" t="str">
        <f>Summary!B242</f>
        <v>MarinusPortland</v>
      </c>
      <c r="C242" t="str">
        <f>Summary!C242</f>
        <v>Wind</v>
      </c>
      <c r="D242" s="104">
        <f>Summary!D242</f>
        <v>0.05</v>
      </c>
      <c r="E242" t="str">
        <f>Summary!E242</f>
        <v>Cal-35</v>
      </c>
      <c r="F242" t="str">
        <f>Summary!F242</f>
        <v>2 Hour Battery</v>
      </c>
      <c r="G242" s="73">
        <f>SUMIFS(AL$5:AL242,$F$5:$F242,$F242,$D$5:$D242,$D242)</f>
        <v>-90263996.388272628</v>
      </c>
      <c r="H242" s="73">
        <f>SUMIFS(AM$5:AM242,$F$5:$F242,$F242,$D$5:$D242,$D242)</f>
        <v>90636738.309178621</v>
      </c>
      <c r="I242" s="20">
        <f>SUMIFS(AN$5:AN242,$F$5:$F242,$F242,$D$5:$D242,$D242)</f>
        <v>47234535.66722849</v>
      </c>
      <c r="J242" s="73">
        <f t="shared" si="48"/>
        <v>47234535.66722849</v>
      </c>
      <c r="K242" s="73">
        <f t="shared" si="49"/>
        <v>-43029460.721044138</v>
      </c>
      <c r="L242" s="73">
        <f t="shared" si="50"/>
        <v>47607277.588134483</v>
      </c>
      <c r="M242" s="73">
        <f>-SUMIFS(FinParameters!$E$8:$E$39,FinParameters!$B$8:$B$39,Financials!$E242,FinParameters!$C$8:$C$39,Financials!$F242)</f>
        <v>-15385430.603007738</v>
      </c>
      <c r="N242" s="73">
        <f>-SUMIFS(FinParameters!$F$8:$F$39,FinParameters!$B$8:$B$39,Financials!$E242,FinParameters!$C$8:$C$39,Financials!$F242)</f>
        <v>-73600000</v>
      </c>
      <c r="O242" s="73">
        <f>SUMIFS(FinParameters!$G$8:$G$39,FinParameters!$B$8:$B$39,Financials!$E242,FinParameters!$C$8:$C$39,Financials!$F242)</f>
        <v>3574251.663083659</v>
      </c>
      <c r="P242" s="73">
        <f t="shared" si="51"/>
        <v>31849105.064220753</v>
      </c>
      <c r="Q242" s="73">
        <f>P242/SUMIFS(FinParameters!$H$8:$H$39,FinParameters!$B$8:$B$39,Financials!$E242,FinParameters!$C$8:$C$39,Financials!$F242)</f>
        <v>6656601.3953448134</v>
      </c>
      <c r="R242" s="73">
        <f t="shared" si="63"/>
        <v>-38176643.272695586</v>
      </c>
      <c r="S242" s="12">
        <f t="shared" si="52"/>
        <v>-0.54518008274635643</v>
      </c>
      <c r="T242" s="114">
        <f t="shared" si="53"/>
        <v>-90263996.388272628</v>
      </c>
      <c r="U242" s="73">
        <f>T242/SUMIFS(FinParameters!$L$8:$L$39,FinParameters!$B$8:$B$39,Financials!$E242,FinParameters!$C$8:$C$39,Financials!$F242)</f>
        <v>-62324180.528740898</v>
      </c>
      <c r="V242" s="73">
        <f t="shared" si="54"/>
        <v>-62324180.528740898</v>
      </c>
      <c r="W242" s="12"/>
      <c r="X242" s="73">
        <f t="shared" si="55"/>
        <v>-58414891.324051872</v>
      </c>
      <c r="Y242" s="73">
        <f t="shared" si="56"/>
        <v>-55667579.133396082</v>
      </c>
      <c r="Z242" s="73">
        <f t="shared" si="56"/>
        <v>-100500823.80143648</v>
      </c>
      <c r="AA242" s="12">
        <f t="shared" si="57"/>
        <v>-1.4351981405167535</v>
      </c>
      <c r="AB242" s="114">
        <f t="shared" si="58"/>
        <v>90636738.309178621</v>
      </c>
      <c r="AC242" s="73">
        <f>AB242/SUMIFS(FinParameters!$L$8:$L$39,FinParameters!$B$8:$B$39,Financials!$E242,FinParameters!$C$8:$C$39,Financials!$F242)</f>
        <v>62581545.986716487</v>
      </c>
      <c r="AD242" s="73">
        <f t="shared" si="59"/>
        <v>62581545.986716487</v>
      </c>
      <c r="AE242" s="12"/>
      <c r="AF242" s="73">
        <f t="shared" si="60"/>
        <v>32221846.985126749</v>
      </c>
      <c r="AG242" s="73">
        <f t="shared" si="61"/>
        <v>6913966.8533204049</v>
      </c>
      <c r="AH242" s="73">
        <f t="shared" si="61"/>
        <v>-37919277.814719997</v>
      </c>
      <c r="AI242" s="12">
        <f t="shared" si="62"/>
        <v>-0.54150478524382473</v>
      </c>
      <c r="AL242" s="73">
        <f>Summary!G242</f>
        <v>-10072682.991558393</v>
      </c>
      <c r="AM242" s="73">
        <f>IF(D242&lt;&gt;"avg",SUMIFS(Summary!$H:$H,Summary!$C:$C,Financials!C242,Summary!$E:$E,Financials!E242,Summary!$D:$D,1-Financials!D242,Summary!$F:$F,Financials!F242),SUMIFS(Summary!$H:$H,Summary!$C:$C,Financials!C242,Summary!$E:$E,Financials!E242,Summary!$D:$D,"avg",Summary!$F:$F,Financials!F242))</f>
        <v>11284215.450230345</v>
      </c>
      <c r="AN242" s="20">
        <f>Summary!I242</f>
        <v>3860384.5221889811</v>
      </c>
      <c r="AP242" s="12">
        <v>1</v>
      </c>
    </row>
    <row r="243" spans="1:42" x14ac:dyDescent="0.3">
      <c r="A243">
        <v>239</v>
      </c>
      <c r="B243" t="str">
        <f>Summary!B243</f>
        <v>MarinusPortland</v>
      </c>
      <c r="C243" t="str">
        <f>Summary!C243</f>
        <v>Wind</v>
      </c>
      <c r="D243" s="104">
        <f>Summary!D243</f>
        <v>0</v>
      </c>
      <c r="E243" t="str">
        <f>Summary!E243</f>
        <v>Cal-35</v>
      </c>
      <c r="F243" t="str">
        <f>Summary!F243</f>
        <v>2 Hour Battery</v>
      </c>
      <c r="G243" s="73">
        <f>SUMIFS(AL$5:AL243,$F$5:$F243,$F243,$D$5:$D243,$D243)</f>
        <v>-156230732.47248039</v>
      </c>
      <c r="H243" s="73">
        <f>SUMIFS(AM$5:AM243,$F$5:$F243,$F243,$D$5:$D243,$D243)</f>
        <v>190120710.66428614</v>
      </c>
      <c r="I243" s="20">
        <f>SUMIFS(AN$5:AN243,$F$5:$F243,$F243,$D$5:$D243,$D243)</f>
        <v>27098196.641782291</v>
      </c>
      <c r="J243" s="73">
        <f t="shared" si="48"/>
        <v>27098196.641782291</v>
      </c>
      <c r="K243" s="73">
        <f t="shared" si="49"/>
        <v>-129132535.8306981</v>
      </c>
      <c r="L243" s="73">
        <f t="shared" si="50"/>
        <v>60988174.833588041</v>
      </c>
      <c r="M243" s="73">
        <f>-SUMIFS(FinParameters!$E$8:$E$39,FinParameters!$B$8:$B$39,Financials!$E243,FinParameters!$C$8:$C$39,Financials!$F243)</f>
        <v>-15385430.603007738</v>
      </c>
      <c r="N243" s="73">
        <f>-SUMIFS(FinParameters!$F$8:$F$39,FinParameters!$B$8:$B$39,Financials!$E243,FinParameters!$C$8:$C$39,Financials!$F243)</f>
        <v>-73600000</v>
      </c>
      <c r="O243" s="73">
        <f>SUMIFS(FinParameters!$G$8:$G$39,FinParameters!$B$8:$B$39,Financials!$E243,FinParameters!$C$8:$C$39,Financials!$F243)</f>
        <v>3574251.663083659</v>
      </c>
      <c r="P243" s="73">
        <f t="shared" si="51"/>
        <v>11712766.038774554</v>
      </c>
      <c r="Q243" s="73">
        <f>P243/SUMIFS(FinParameters!$H$8:$H$39,FinParameters!$B$8:$B$39,Financials!$E243,FinParameters!$C$8:$C$39,Financials!$F243)</f>
        <v>2448019.0134021165</v>
      </c>
      <c r="R243" s="73">
        <f t="shared" si="63"/>
        <v>-58312982.298141792</v>
      </c>
      <c r="S243" s="12">
        <f t="shared" si="52"/>
        <v>-0.83273629604898081</v>
      </c>
      <c r="T243" s="114">
        <f t="shared" si="53"/>
        <v>-156230732.47248039</v>
      </c>
      <c r="U243" s="73">
        <f>T243/SUMIFS(FinParameters!$L$8:$L$39,FinParameters!$B$8:$B$39,Financials!$E243,FinParameters!$C$8:$C$39,Financials!$F243)</f>
        <v>-107871939.69197385</v>
      </c>
      <c r="V243" s="73">
        <f t="shared" si="54"/>
        <v>-107871939.69197385</v>
      </c>
      <c r="W243" s="12"/>
      <c r="X243" s="73">
        <f t="shared" si="55"/>
        <v>-144517966.43370584</v>
      </c>
      <c r="Y243" s="73">
        <f t="shared" si="56"/>
        <v>-105423920.67857173</v>
      </c>
      <c r="Z243" s="73">
        <f t="shared" si="56"/>
        <v>-166184921.99011564</v>
      </c>
      <c r="AA243" s="12">
        <f t="shared" si="57"/>
        <v>-2.3731973729226952</v>
      </c>
      <c r="AB243" s="114">
        <f t="shared" si="58"/>
        <v>190120710.66428614</v>
      </c>
      <c r="AC243" s="73">
        <f>AB243/SUMIFS(FinParameters!$L$8:$L$39,FinParameters!$B$8:$B$39,Financials!$E243,FinParameters!$C$8:$C$39,Financials!$F243)</f>
        <v>131271802.35544011</v>
      </c>
      <c r="AD243" s="73">
        <f t="shared" si="59"/>
        <v>131271802.35544011</v>
      </c>
      <c r="AE243" s="12"/>
      <c r="AF243" s="73">
        <f t="shared" si="60"/>
        <v>45602744.2305803</v>
      </c>
      <c r="AG243" s="73">
        <f t="shared" si="61"/>
        <v>25847881.676868379</v>
      </c>
      <c r="AH243" s="73">
        <f t="shared" si="61"/>
        <v>-34913119.634675533</v>
      </c>
      <c r="AI243" s="12">
        <f t="shared" si="62"/>
        <v>-0.49857545922533114</v>
      </c>
      <c r="AL243" s="73">
        <f>Summary!G243</f>
        <v>-14801990.047179017</v>
      </c>
      <c r="AM243" s="73">
        <f>IF(D243&lt;&gt;"avg",SUMIFS(Summary!$H:$H,Summary!$C:$C,Financials!C243,Summary!$E:$E,Financials!E243,Summary!$D:$D,1-Financials!D243,Summary!$F:$F,Financials!F243),SUMIFS(Summary!$H:$H,Summary!$C:$C,Financials!C243,Summary!$E:$E,Financials!E243,Summary!$D:$D,"avg",Summary!$F:$F,Financials!F243))</f>
        <v>23242119.11033351</v>
      </c>
      <c r="AN243" s="20">
        <f>Summary!I243</f>
        <v>2491852.1549116168</v>
      </c>
      <c r="AP243" s="12">
        <v>1</v>
      </c>
    </row>
    <row r="244" spans="1:42" x14ac:dyDescent="0.3">
      <c r="A244">
        <v>240</v>
      </c>
      <c r="B244" t="str">
        <f>Summary!B244</f>
        <v>MarinusPortland</v>
      </c>
      <c r="C244" t="str">
        <f>Summary!C244</f>
        <v>Wind</v>
      </c>
      <c r="D244" s="104" t="str">
        <f>Summary!D244</f>
        <v>avg</v>
      </c>
      <c r="E244" t="str">
        <f>Summary!E244</f>
        <v>Cal-35</v>
      </c>
      <c r="F244" t="str">
        <f>Summary!F244</f>
        <v>2 Hour Battery</v>
      </c>
      <c r="G244" s="73">
        <f>SUMIFS(AL$5:AL244,$F$5:$F244,$F244,$D$5:$D244,$D244)</f>
        <v>7635900.8813338084</v>
      </c>
      <c r="H244" s="73">
        <f>SUMIFS(AM$5:AM244,$F$5:$F244,$F244,$D$5:$D244,$D244)</f>
        <v>-1572003.8843727938</v>
      </c>
      <c r="I244" s="20">
        <f>SUMIFS(AN$5:AN244,$F$5:$F244,$F244,$D$5:$D244,$D244)</f>
        <v>74203651.950409487</v>
      </c>
      <c r="J244" s="73">
        <f t="shared" si="48"/>
        <v>74203651.950409487</v>
      </c>
      <c r="K244" s="73">
        <f t="shared" si="49"/>
        <v>81839552.8317433</v>
      </c>
      <c r="L244" s="73">
        <f t="shared" si="50"/>
        <v>80267548.947370499</v>
      </c>
      <c r="M244" s="73">
        <f>-SUMIFS(FinParameters!$E$8:$E$39,FinParameters!$B$8:$B$39,Financials!$E244,FinParameters!$C$8:$C$39,Financials!$F244)</f>
        <v>-15385430.603007738</v>
      </c>
      <c r="N244" s="73">
        <f>-SUMIFS(FinParameters!$F$8:$F$39,FinParameters!$B$8:$B$39,Financials!$E244,FinParameters!$C$8:$C$39,Financials!$F244)</f>
        <v>-73600000</v>
      </c>
      <c r="O244" s="73">
        <f>SUMIFS(FinParameters!$G$8:$G$39,FinParameters!$B$8:$B$39,Financials!$E244,FinParameters!$C$8:$C$39,Financials!$F244)</f>
        <v>3574251.663083659</v>
      </c>
      <c r="P244" s="73">
        <f t="shared" si="51"/>
        <v>58818221.347401753</v>
      </c>
      <c r="Q244" s="73">
        <f>P244/SUMIFS(FinParameters!$H$8:$H$39,FinParameters!$B$8:$B$39,Financials!$E244,FinParameters!$C$8:$C$39,Financials!$F244)</f>
        <v>12293263.923847528</v>
      </c>
      <c r="R244" s="73">
        <f t="shared" si="63"/>
        <v>-11207526.989514587</v>
      </c>
      <c r="S244" s="12">
        <f t="shared" si="52"/>
        <v>-0.16004865718237782</v>
      </c>
      <c r="T244" s="114">
        <f t="shared" si="53"/>
        <v>7635900.8813338084</v>
      </c>
      <c r="U244" s="73">
        <f>T244/SUMIFS(FinParameters!$L$8:$L$39,FinParameters!$B$8:$B$39,Financials!$E244,FinParameters!$C$8:$C$39,Financials!$F244)</f>
        <v>5272326.5539974533</v>
      </c>
      <c r="V244" s="73">
        <f t="shared" si="54"/>
        <v>5272326.5539974533</v>
      </c>
      <c r="W244" s="12"/>
      <c r="X244" s="73">
        <f t="shared" si="55"/>
        <v>66454122.228735566</v>
      </c>
      <c r="Y244" s="73">
        <f t="shared" si="56"/>
        <v>17565590.477844983</v>
      </c>
      <c r="Z244" s="73">
        <f t="shared" si="56"/>
        <v>-5935200.4355171341</v>
      </c>
      <c r="AA244" s="12">
        <f t="shared" si="57"/>
        <v>-8.4757401048554032E-2</v>
      </c>
      <c r="AB244" s="114">
        <f t="shared" si="58"/>
        <v>-1572003.8843727938</v>
      </c>
      <c r="AC244" s="73">
        <f>AB244/SUMIFS(FinParameters!$L$8:$L$39,FinParameters!$B$8:$B$39,Financials!$E244,FinParameters!$C$8:$C$39,Financials!$F244)</f>
        <v>-1085414.5373765104</v>
      </c>
      <c r="AD244" s="73">
        <f t="shared" si="59"/>
        <v>-1085414.5373765104</v>
      </c>
      <c r="AE244" s="12"/>
      <c r="AF244" s="73">
        <f t="shared" si="60"/>
        <v>64882118.344362773</v>
      </c>
      <c r="AG244" s="73">
        <f t="shared" si="61"/>
        <v>16480175.940468473</v>
      </c>
      <c r="AH244" s="73">
        <f t="shared" si="61"/>
        <v>-7020614.9728936441</v>
      </c>
      <c r="AI244" s="12">
        <f t="shared" si="62"/>
        <v>-0.10025762151252156</v>
      </c>
      <c r="AL244" s="73">
        <f>Summary!G244</f>
        <v>456774.70561518898</v>
      </c>
      <c r="AM244" s="73">
        <f>IF(D244&lt;&gt;"avg",SUMIFS(Summary!$H:$H,Summary!$C:$C,Financials!C244,Summary!$E:$E,Financials!E244,Summary!$D:$D,1-Financials!D244,Summary!$F:$F,Financials!F244),SUMIFS(Summary!$H:$H,Summary!$C:$C,Financials!C244,Summary!$E:$E,Financials!E244,Summary!$D:$D,"avg",Summary!$F:$F,Financials!F244))</f>
        <v>228975.63770979791</v>
      </c>
      <c r="AN244" s="20">
        <f>Summary!I244</f>
        <v>6401851.4705628017</v>
      </c>
      <c r="AP244" s="12">
        <v>1</v>
      </c>
    </row>
    <row r="245" spans="1:42" x14ac:dyDescent="0.3">
      <c r="A245">
        <v>241</v>
      </c>
      <c r="B245" t="str">
        <f>Summary!B245</f>
        <v>MarinusPortland</v>
      </c>
      <c r="C245" t="str">
        <f>Summary!C245</f>
        <v>Wind</v>
      </c>
      <c r="D245" s="104">
        <f>Summary!D245</f>
        <v>1</v>
      </c>
      <c r="E245" t="str">
        <f>Summary!E245</f>
        <v>Cal-36</v>
      </c>
      <c r="F245" t="str">
        <f>Summary!F245</f>
        <v>2 Hour Battery</v>
      </c>
      <c r="G245" s="73">
        <f>SUMIFS(AL$5:AL245,$F$5:$F245,$F245,$D$5:$D245,$D245)</f>
        <v>294913826.93010664</v>
      </c>
      <c r="H245" s="73">
        <f>SUMIFS(AM$5:AM245,$F$5:$F245,$F245,$D$5:$D245,$D245)</f>
        <v>-248586088.33999142</v>
      </c>
      <c r="I245" s="20">
        <f>SUMIFS(AN$5:AN245,$F$5:$F245,$F245,$D$5:$D245,$D245)</f>
        <v>159397693.8417064</v>
      </c>
      <c r="J245" s="73">
        <f t="shared" si="48"/>
        <v>159397693.8417064</v>
      </c>
      <c r="K245" s="73">
        <f t="shared" si="49"/>
        <v>454311520.77181304</v>
      </c>
      <c r="L245" s="73">
        <f t="shared" si="50"/>
        <v>205725432.43182161</v>
      </c>
      <c r="M245" s="73">
        <f>-SUMIFS(FinParameters!$E$8:$E$39,FinParameters!$B$8:$B$39,Financials!$E245,FinParameters!$C$8:$C$39,Financials!$F245)</f>
        <v>-16558816.368082929</v>
      </c>
      <c r="N245" s="73">
        <f>-SUMIFS(FinParameters!$F$8:$F$39,FinParameters!$B$8:$B$39,Financials!$E245,FinParameters!$C$8:$C$39,Financials!$F245)</f>
        <v>-73600000</v>
      </c>
      <c r="O245" s="73">
        <f>SUMIFS(FinParameters!$G$8:$G$39,FinParameters!$B$8:$B$39,Financials!$E245,FinParameters!$C$8:$C$39,Financials!$F245)</f>
        <v>2989175.056035989</v>
      </c>
      <c r="P245" s="73">
        <f t="shared" si="51"/>
        <v>142838877.47362345</v>
      </c>
      <c r="Q245" s="73">
        <f>P245/SUMIFS(FinParameters!$H$8:$H$39,FinParameters!$B$8:$B$39,Financials!$E245,FinParameters!$C$8:$C$39,Financials!$F245)</f>
        <v>26895447.083459087</v>
      </c>
      <c r="R245" s="73">
        <f t="shared" si="63"/>
        <v>72228052.52965945</v>
      </c>
      <c r="S245" s="12">
        <f t="shared" si="52"/>
        <v>1.0229033945854458</v>
      </c>
      <c r="T245" s="114">
        <f t="shared" si="53"/>
        <v>294913826.93010664</v>
      </c>
      <c r="U245" s="73">
        <f>T245/SUMIFS(FinParameters!$L$8:$L$39,FinParameters!$B$8:$B$39,Financials!$E245,FinParameters!$C$8:$C$39,Financials!$F245)</f>
        <v>198661307.05445123</v>
      </c>
      <c r="V245" s="73">
        <f t="shared" si="54"/>
        <v>198661307.05445123</v>
      </c>
      <c r="W245" s="12"/>
      <c r="X245" s="73">
        <f t="shared" si="55"/>
        <v>437752704.40373009</v>
      </c>
      <c r="Y245" s="73">
        <f t="shared" si="56"/>
        <v>225556754.13791031</v>
      </c>
      <c r="Z245" s="73">
        <f t="shared" si="56"/>
        <v>270889359.58411068</v>
      </c>
      <c r="AA245" s="12">
        <f t="shared" si="57"/>
        <v>3.8363715450015712</v>
      </c>
      <c r="AB245" s="114">
        <f t="shared" si="58"/>
        <v>-248586088.33999142</v>
      </c>
      <c r="AC245" s="73">
        <f>AB245/SUMIFS(FinParameters!$L$8:$L$39,FinParameters!$B$8:$B$39,Financials!$E245,FinParameters!$C$8:$C$39,Financials!$F245)</f>
        <v>-167453787.22741228</v>
      </c>
      <c r="AD245" s="73">
        <f t="shared" si="59"/>
        <v>-167453787.22741228</v>
      </c>
      <c r="AE245" s="12"/>
      <c r="AF245" s="73">
        <f t="shared" si="60"/>
        <v>189166616.06373867</v>
      </c>
      <c r="AG245" s="73">
        <f t="shared" si="61"/>
        <v>58102966.910498023</v>
      </c>
      <c r="AH245" s="73">
        <f t="shared" si="61"/>
        <v>103435572.35669839</v>
      </c>
      <c r="AI245" s="12">
        <f t="shared" si="62"/>
        <v>1.4648684877819196</v>
      </c>
      <c r="AL245" s="73">
        <f>Summary!G245</f>
        <v>20916921.678452354</v>
      </c>
      <c r="AM245" s="73">
        <f>IF(D245&lt;&gt;"avg",SUMIFS(Summary!$H:$H,Summary!$C:$C,Financials!C245,Summary!$E:$E,Financials!E245,Summary!$D:$D,1-Financials!D245,Summary!$F:$F,Financials!F245),SUMIFS(Summary!$H:$H,Summary!$C:$C,Financials!C245,Summary!$E:$E,Financials!E245,Summary!$D:$D,"avg",Summary!$F:$F,Financials!F245))</f>
        <v>-18406300.707093742</v>
      </c>
      <c r="AN245" s="20">
        <f>Summary!I245</f>
        <v>11571519.392073058</v>
      </c>
      <c r="AP245" s="12">
        <v>1</v>
      </c>
    </row>
    <row r="246" spans="1:42" x14ac:dyDescent="0.3">
      <c r="A246">
        <v>242</v>
      </c>
      <c r="B246" t="str">
        <f>Summary!B246</f>
        <v>MarinusPortland</v>
      </c>
      <c r="C246" t="str">
        <f>Summary!C246</f>
        <v>Wind</v>
      </c>
      <c r="D246" s="104">
        <f>Summary!D246</f>
        <v>0.95</v>
      </c>
      <c r="E246" t="str">
        <f>Summary!E246</f>
        <v>Cal-36</v>
      </c>
      <c r="F246" t="str">
        <f>Summary!F246</f>
        <v>2 Hour Battery</v>
      </c>
      <c r="G246" s="73">
        <f>SUMIFS(AL$5:AL246,$F$5:$F246,$F246,$D$5:$D246,$D246)</f>
        <v>136574259.15664053</v>
      </c>
      <c r="H246" s="73">
        <f>SUMIFS(AM$5:AM246,$F$5:$F246,$F246,$D$5:$D246,$D246)</f>
        <v>-106829032.54632066</v>
      </c>
      <c r="I246" s="20">
        <f>SUMIFS(AN$5:AN246,$F$5:$F246,$F246,$D$5:$D246,$D246)</f>
        <v>112158556.15139452</v>
      </c>
      <c r="J246" s="73">
        <f t="shared" si="48"/>
        <v>112158556.15139452</v>
      </c>
      <c r="K246" s="73">
        <f t="shared" si="49"/>
        <v>248732815.30803505</v>
      </c>
      <c r="L246" s="73">
        <f t="shared" si="50"/>
        <v>141903782.7617144</v>
      </c>
      <c r="M246" s="73">
        <f>-SUMIFS(FinParameters!$E$8:$E$39,FinParameters!$B$8:$B$39,Financials!$E246,FinParameters!$C$8:$C$39,Financials!$F246)</f>
        <v>-16558816.368082929</v>
      </c>
      <c r="N246" s="73">
        <f>-SUMIFS(FinParameters!$F$8:$F$39,FinParameters!$B$8:$B$39,Financials!$E246,FinParameters!$C$8:$C$39,Financials!$F246)</f>
        <v>-73600000</v>
      </c>
      <c r="O246" s="73">
        <f>SUMIFS(FinParameters!$G$8:$G$39,FinParameters!$B$8:$B$39,Financials!$E246,FinParameters!$C$8:$C$39,Financials!$F246)</f>
        <v>2989175.056035989</v>
      </c>
      <c r="P246" s="73">
        <f t="shared" si="51"/>
        <v>95599739.783311591</v>
      </c>
      <c r="Q246" s="73">
        <f>P246/SUMIFS(FinParameters!$H$8:$H$39,FinParameters!$B$8:$B$39,Financials!$E246,FinParameters!$C$8:$C$39,Financials!$F246)</f>
        <v>18000685.723740101</v>
      </c>
      <c r="R246" s="73">
        <f t="shared" si="63"/>
        <v>24988914.839347579</v>
      </c>
      <c r="S246" s="12">
        <f t="shared" si="52"/>
        <v>0.35389637295950749</v>
      </c>
      <c r="T246" s="114">
        <f t="shared" si="53"/>
        <v>136574259.15664053</v>
      </c>
      <c r="U246" s="73">
        <f>T246/SUMIFS(FinParameters!$L$8:$L$39,FinParameters!$B$8:$B$39,Financials!$E246,FinParameters!$C$8:$C$39,Financials!$F246)</f>
        <v>91999826.242401779</v>
      </c>
      <c r="V246" s="73">
        <f t="shared" si="54"/>
        <v>91999826.242401779</v>
      </c>
      <c r="W246" s="12"/>
      <c r="X246" s="73">
        <f t="shared" si="55"/>
        <v>232173998.93995211</v>
      </c>
      <c r="Y246" s="73">
        <f t="shared" si="56"/>
        <v>110000511.96614188</v>
      </c>
      <c r="Z246" s="73">
        <f t="shared" si="56"/>
        <v>116988741.08174935</v>
      </c>
      <c r="AA246" s="12">
        <f t="shared" si="57"/>
        <v>1.6568102861649097</v>
      </c>
      <c r="AB246" s="114">
        <f t="shared" si="58"/>
        <v>-106829032.54632066</v>
      </c>
      <c r="AC246" s="73">
        <f>AB246/SUMIFS(FinParameters!$L$8:$L$39,FinParameters!$B$8:$B$39,Financials!$E246,FinParameters!$C$8:$C$39,Financials!$F246)</f>
        <v>-71962699.945039496</v>
      </c>
      <c r="AD246" s="73">
        <f t="shared" si="59"/>
        <v>-71962699.945039496</v>
      </c>
      <c r="AE246" s="12"/>
      <c r="AF246" s="73">
        <f t="shared" si="60"/>
        <v>125344966.39363144</v>
      </c>
      <c r="AG246" s="73">
        <f t="shared" si="61"/>
        <v>38037812.021102384</v>
      </c>
      <c r="AH246" s="73">
        <f t="shared" si="61"/>
        <v>45026041.136709854</v>
      </c>
      <c r="AI246" s="12">
        <f t="shared" si="62"/>
        <v>0.63766485057272793</v>
      </c>
      <c r="AL246" s="73">
        <f>Summary!G246</f>
        <v>10631245.470547862</v>
      </c>
      <c r="AM246" s="73">
        <f>IF(D246&lt;&gt;"avg",SUMIFS(Summary!$H:$H,Summary!$C:$C,Financials!C246,Summary!$E:$E,Financials!E246,Summary!$D:$D,1-Financials!D246,Summary!$F:$F,Financials!F246),SUMIFS(Summary!$H:$H,Summary!$C:$C,Financials!C246,Summary!$E:$E,Financials!E246,Summary!$D:$D,"avg",Summary!$F:$F,Financials!F246))</f>
        <v>-8414931.788589919</v>
      </c>
      <c r="AN246" s="20">
        <f>Summary!I246</f>
        <v>8822985.9849435389</v>
      </c>
      <c r="AP246" s="12">
        <v>1</v>
      </c>
    </row>
    <row r="247" spans="1:42" x14ac:dyDescent="0.3">
      <c r="A247">
        <v>243</v>
      </c>
      <c r="B247" t="str">
        <f>Summary!B247</f>
        <v>MarinusPortland</v>
      </c>
      <c r="C247" t="str">
        <f>Summary!C247</f>
        <v>Wind</v>
      </c>
      <c r="D247" s="104">
        <f>Summary!D247</f>
        <v>0.75</v>
      </c>
      <c r="E247" t="str">
        <f>Summary!E247</f>
        <v>Cal-36</v>
      </c>
      <c r="F247" t="str">
        <f>Summary!F247</f>
        <v>2 Hour Battery</v>
      </c>
      <c r="G247" s="73">
        <f>SUMIFS(AL$5:AL247,$F$5:$F247,$F247,$D$5:$D247,$D247)</f>
        <v>58631938.683779478</v>
      </c>
      <c r="H247" s="73">
        <f>SUMIFS(AM$5:AM247,$F$5:$F247,$F247,$D$5:$D247,$D247)</f>
        <v>-44011837.726614967</v>
      </c>
      <c r="I247" s="20">
        <f>SUMIFS(AN$5:AN247,$F$5:$F247,$F247,$D$5:$D247,$D247)</f>
        <v>93833931.065319717</v>
      </c>
      <c r="J247" s="73">
        <f t="shared" si="48"/>
        <v>93833931.065319717</v>
      </c>
      <c r="K247" s="73">
        <f t="shared" si="49"/>
        <v>152465869.7490992</v>
      </c>
      <c r="L247" s="73">
        <f t="shared" si="50"/>
        <v>108454032.02248423</v>
      </c>
      <c r="M247" s="73">
        <f>-SUMIFS(FinParameters!$E$8:$E$39,FinParameters!$B$8:$B$39,Financials!$E247,FinParameters!$C$8:$C$39,Financials!$F247)</f>
        <v>-16558816.368082929</v>
      </c>
      <c r="N247" s="73">
        <f>-SUMIFS(FinParameters!$F$8:$F$39,FinParameters!$B$8:$B$39,Financials!$E247,FinParameters!$C$8:$C$39,Financials!$F247)</f>
        <v>-73600000</v>
      </c>
      <c r="O247" s="73">
        <f>SUMIFS(FinParameters!$G$8:$G$39,FinParameters!$B$8:$B$39,Financials!$E247,FinParameters!$C$8:$C$39,Financials!$F247)</f>
        <v>2989175.056035989</v>
      </c>
      <c r="P247" s="73">
        <f t="shared" si="51"/>
        <v>77275114.697236791</v>
      </c>
      <c r="Q247" s="73">
        <f>P247/SUMIFS(FinParameters!$H$8:$H$39,FinParameters!$B$8:$B$39,Financials!$E247,FinParameters!$C$8:$C$39,Financials!$F247)</f>
        <v>14550301.675337307</v>
      </c>
      <c r="R247" s="73">
        <f t="shared" si="63"/>
        <v>6664289.7532727802</v>
      </c>
      <c r="S247" s="12">
        <f t="shared" si="52"/>
        <v>9.4380567831653134E-2</v>
      </c>
      <c r="T247" s="114">
        <f t="shared" si="53"/>
        <v>58631938.683779478</v>
      </c>
      <c r="U247" s="73">
        <f>T247/SUMIFS(FinParameters!$L$8:$L$39,FinParameters!$B$8:$B$39,Financials!$E247,FinParameters!$C$8:$C$39,Financials!$F247)</f>
        <v>39495935.796922043</v>
      </c>
      <c r="V247" s="73">
        <f t="shared" si="54"/>
        <v>39495935.796922043</v>
      </c>
      <c r="W247" s="12"/>
      <c r="X247" s="73">
        <f t="shared" si="55"/>
        <v>135907053.38101625</v>
      </c>
      <c r="Y247" s="73">
        <f t="shared" si="56"/>
        <v>54046237.47225935</v>
      </c>
      <c r="Z247" s="73">
        <f t="shared" si="56"/>
        <v>46160225.550194822</v>
      </c>
      <c r="AA247" s="12">
        <f t="shared" si="57"/>
        <v>0.65372732278410683</v>
      </c>
      <c r="AB247" s="114">
        <f t="shared" si="58"/>
        <v>-44011837.726614967</v>
      </c>
      <c r="AC247" s="73">
        <f>AB247/SUMIFS(FinParameters!$L$8:$L$39,FinParameters!$B$8:$B$39,Financials!$E247,FinParameters!$C$8:$C$39,Financials!$F247)</f>
        <v>-29647471.261867616</v>
      </c>
      <c r="AD247" s="73">
        <f t="shared" si="59"/>
        <v>-29647471.261867616</v>
      </c>
      <c r="AE247" s="12"/>
      <c r="AF247" s="73">
        <f t="shared" si="60"/>
        <v>91895215.654401287</v>
      </c>
      <c r="AG247" s="73">
        <f t="shared" si="61"/>
        <v>24398766.210391734</v>
      </c>
      <c r="AH247" s="73">
        <f t="shared" si="61"/>
        <v>16512754.288327206</v>
      </c>
      <c r="AI247" s="12">
        <f t="shared" si="62"/>
        <v>0.23385584719384814</v>
      </c>
      <c r="AL247" s="73">
        <f>Summary!G247</f>
        <v>6990609.803438236</v>
      </c>
      <c r="AM247" s="73">
        <f>IF(D247&lt;&gt;"avg",SUMIFS(Summary!$H:$H,Summary!$C:$C,Financials!C247,Summary!$E:$E,Financials!E247,Summary!$D:$D,1-Financials!D247,Summary!$F:$F,Financials!F247),SUMIFS(Summary!$H:$H,Summary!$C:$C,Financials!C247,Summary!$E:$E,Financials!E247,Summary!$D:$D,"avg",Summary!$F:$F,Financials!F247))</f>
        <v>-4013397.6923134611</v>
      </c>
      <c r="AN247" s="20">
        <f>Summary!I247</f>
        <v>7909923.3934238395</v>
      </c>
      <c r="AP247" s="12">
        <v>1</v>
      </c>
    </row>
    <row r="248" spans="1:42" x14ac:dyDescent="0.3">
      <c r="A248">
        <v>244</v>
      </c>
      <c r="B248" t="str">
        <f>Summary!B248</f>
        <v>MarinusPortland</v>
      </c>
      <c r="C248" t="str">
        <f>Summary!C248</f>
        <v>Wind</v>
      </c>
      <c r="D248" s="104">
        <f>Summary!D248</f>
        <v>0.5</v>
      </c>
      <c r="E248" t="str">
        <f>Summary!E248</f>
        <v>Cal-36</v>
      </c>
      <c r="F248" t="str">
        <f>Summary!F248</f>
        <v>2 Hour Battery</v>
      </c>
      <c r="G248" s="73">
        <f>SUMIFS(AL$5:AL248,$F$5:$F248,$F248,$D$5:$D248,$D248)</f>
        <v>4260603.785900021</v>
      </c>
      <c r="H248" s="73">
        <f>SUMIFS(AM$5:AM248,$F$5:$F248,$F248,$D$5:$D248,$D248)</f>
        <v>-346387.39022290386</v>
      </c>
      <c r="I248" s="20">
        <f>SUMIFS(AN$5:AN248,$F$5:$F248,$F248,$D$5:$D248,$D248)</f>
        <v>80962047.483113006</v>
      </c>
      <c r="J248" s="73">
        <f t="shared" si="48"/>
        <v>80962047.483113006</v>
      </c>
      <c r="K248" s="73">
        <f t="shared" si="49"/>
        <v>85222651.269013032</v>
      </c>
      <c r="L248" s="73">
        <f t="shared" si="50"/>
        <v>84876263.878790125</v>
      </c>
      <c r="M248" s="73">
        <f>-SUMIFS(FinParameters!$E$8:$E$39,FinParameters!$B$8:$B$39,Financials!$E248,FinParameters!$C$8:$C$39,Financials!$F248)</f>
        <v>-16558816.368082929</v>
      </c>
      <c r="N248" s="73">
        <f>-SUMIFS(FinParameters!$F$8:$F$39,FinParameters!$B$8:$B$39,Financials!$E248,FinParameters!$C$8:$C$39,Financials!$F248)</f>
        <v>-73600000</v>
      </c>
      <c r="O248" s="73">
        <f>SUMIFS(FinParameters!$G$8:$G$39,FinParameters!$B$8:$B$39,Financials!$E248,FinParameters!$C$8:$C$39,Financials!$F248)</f>
        <v>2989175.056035989</v>
      </c>
      <c r="P248" s="73">
        <f t="shared" si="51"/>
        <v>64403231.11503008</v>
      </c>
      <c r="Q248" s="73">
        <f>P248/SUMIFS(FinParameters!$H$8:$H$39,FinParameters!$B$8:$B$39,Financials!$E248,FinParameters!$C$8:$C$39,Financials!$F248)</f>
        <v>12126626.343573274</v>
      </c>
      <c r="R248" s="73">
        <f t="shared" si="63"/>
        <v>-6207593.828933931</v>
      </c>
      <c r="S248" s="12">
        <f t="shared" si="52"/>
        <v>-8.7912778725644555E-2</v>
      </c>
      <c r="T248" s="114">
        <f t="shared" si="53"/>
        <v>4260603.785900021</v>
      </c>
      <c r="U248" s="73">
        <f>T248/SUMIFS(FinParameters!$L$8:$L$39,FinParameters!$B$8:$B$39,Financials!$E248,FinParameters!$C$8:$C$39,Financials!$F248)</f>
        <v>2870048.941952928</v>
      </c>
      <c r="V248" s="73">
        <f t="shared" si="54"/>
        <v>2870048.941952928</v>
      </c>
      <c r="W248" s="12"/>
      <c r="X248" s="73">
        <f t="shared" si="55"/>
        <v>68663834.900930107</v>
      </c>
      <c r="Y248" s="73">
        <f t="shared" si="56"/>
        <v>14996675.285526201</v>
      </c>
      <c r="Z248" s="73">
        <f t="shared" si="56"/>
        <v>-3337544.886981003</v>
      </c>
      <c r="AA248" s="12">
        <f t="shared" si="57"/>
        <v>-4.7266759588627423E-2</v>
      </c>
      <c r="AB248" s="114">
        <f t="shared" si="58"/>
        <v>-346387.39022290386</v>
      </c>
      <c r="AC248" s="73">
        <f>AB248/SUMIFS(FinParameters!$L$8:$L$39,FinParameters!$B$8:$B$39,Financials!$E248,FinParameters!$C$8:$C$39,Financials!$F248)</f>
        <v>-233335.18270464442</v>
      </c>
      <c r="AD248" s="73">
        <f t="shared" si="59"/>
        <v>-233335.18270464442</v>
      </c>
      <c r="AE248" s="12"/>
      <c r="AF248" s="73">
        <f t="shared" si="60"/>
        <v>68317447.5107072</v>
      </c>
      <c r="AG248" s="73">
        <f t="shared" si="61"/>
        <v>14763340.102821557</v>
      </c>
      <c r="AH248" s="73">
        <f t="shared" si="61"/>
        <v>-3570880.0696856473</v>
      </c>
      <c r="AI248" s="12">
        <f t="shared" si="62"/>
        <v>-5.0571283829631782E-2</v>
      </c>
      <c r="AL248" s="73">
        <f>Summary!G248</f>
        <v>3669795.7627242352</v>
      </c>
      <c r="AM248" s="73">
        <f>IF(D248&lt;&gt;"avg",SUMIFS(Summary!$H:$H,Summary!$C:$C,Financials!C248,Summary!$E:$E,Financials!E248,Summary!$D:$D,1-Financials!D248,Summary!$F:$F,Financials!F248),SUMIFS(Summary!$H:$H,Summary!$C:$C,Financials!C248,Summary!$E:$E,Financials!E248,Summary!$D:$D,"avg",Summary!$F:$F,Financials!F248))</f>
        <v>-175793.72480460521</v>
      </c>
      <c r="AN248" s="20">
        <f>Summary!I248</f>
        <v>7063349.8299243636</v>
      </c>
      <c r="AP248" s="12">
        <v>1</v>
      </c>
    </row>
    <row r="249" spans="1:42" x14ac:dyDescent="0.3">
      <c r="A249">
        <v>245</v>
      </c>
      <c r="B249" t="str">
        <f>Summary!B249</f>
        <v>MarinusPortland</v>
      </c>
      <c r="C249" t="str">
        <f>Summary!C249</f>
        <v>Wind</v>
      </c>
      <c r="D249" s="104">
        <f>Summary!D249</f>
        <v>0.25</v>
      </c>
      <c r="E249" t="str">
        <f>Summary!E249</f>
        <v>Cal-36</v>
      </c>
      <c r="F249" t="str">
        <f>Summary!F249</f>
        <v>2 Hour Battery</v>
      </c>
      <c r="G249" s="73">
        <f>SUMIFS(AL$5:AL249,$F$5:$F249,$F249,$D$5:$D249,$D249)</f>
        <v>-42720647.424217023</v>
      </c>
      <c r="H249" s="73">
        <f>SUMIFS(AM$5:AM249,$F$5:$F249,$F249,$D$5:$D249,$D249)</f>
        <v>42729838.401905246</v>
      </c>
      <c r="I249" s="20">
        <f>SUMIFS(AN$5:AN249,$F$5:$F249,$F249,$D$5:$D249,$D249)</f>
        <v>67838095.812650248</v>
      </c>
      <c r="J249" s="73">
        <f t="shared" si="48"/>
        <v>67838095.812650248</v>
      </c>
      <c r="K249" s="73">
        <f t="shared" si="49"/>
        <v>25117448.388433225</v>
      </c>
      <c r="L249" s="73">
        <f t="shared" si="50"/>
        <v>67847286.790338472</v>
      </c>
      <c r="M249" s="73">
        <f>-SUMIFS(FinParameters!$E$8:$E$39,FinParameters!$B$8:$B$39,Financials!$E249,FinParameters!$C$8:$C$39,Financials!$F249)</f>
        <v>-16558816.368082929</v>
      </c>
      <c r="N249" s="73">
        <f>-SUMIFS(FinParameters!$F$8:$F$39,FinParameters!$B$8:$B$39,Financials!$E249,FinParameters!$C$8:$C$39,Financials!$F249)</f>
        <v>-73600000</v>
      </c>
      <c r="O249" s="73">
        <f>SUMIFS(FinParameters!$G$8:$G$39,FinParameters!$B$8:$B$39,Financials!$E249,FinParameters!$C$8:$C$39,Financials!$F249)</f>
        <v>2989175.056035989</v>
      </c>
      <c r="P249" s="73">
        <f t="shared" si="51"/>
        <v>51279279.444567323</v>
      </c>
      <c r="Q249" s="73">
        <f>P249/SUMIFS(FinParameters!$H$8:$H$39,FinParameters!$B$8:$B$39,Financials!$E249,FinParameters!$C$8:$C$39,Financials!$F249)</f>
        <v>9655488.5558656827</v>
      </c>
      <c r="R249" s="73">
        <f t="shared" si="63"/>
        <v>-19331545.499396689</v>
      </c>
      <c r="S249" s="12">
        <f t="shared" si="52"/>
        <v>-0.27377594745193812</v>
      </c>
      <c r="T249" s="114">
        <f t="shared" si="53"/>
        <v>-42720647.424217023</v>
      </c>
      <c r="U249" s="73">
        <f>T249/SUMIFS(FinParameters!$L$8:$L$39,FinParameters!$B$8:$B$39,Financials!$E249,FinParameters!$C$8:$C$39,Financials!$F249)</f>
        <v>-28777693.280277085</v>
      </c>
      <c r="V249" s="73">
        <f t="shared" si="54"/>
        <v>-28777693.280277085</v>
      </c>
      <c r="W249" s="12"/>
      <c r="X249" s="73">
        <f t="shared" si="55"/>
        <v>8558632.0203502961</v>
      </c>
      <c r="Y249" s="73">
        <f t="shared" si="56"/>
        <v>-19122204.724411402</v>
      </c>
      <c r="Z249" s="73">
        <f t="shared" si="56"/>
        <v>-48109238.77967377</v>
      </c>
      <c r="AA249" s="12">
        <f t="shared" si="57"/>
        <v>-0.68132951028192557</v>
      </c>
      <c r="AB249" s="114">
        <f t="shared" si="58"/>
        <v>42729838.401905246</v>
      </c>
      <c r="AC249" s="73">
        <f>AB249/SUMIFS(FinParameters!$L$8:$L$39,FinParameters!$B$8:$B$39,Financials!$E249,FinParameters!$C$8:$C$39,Financials!$F249)</f>
        <v>28783884.552011125</v>
      </c>
      <c r="AD249" s="73">
        <f t="shared" si="59"/>
        <v>28783884.552011125</v>
      </c>
      <c r="AE249" s="12"/>
      <c r="AF249" s="73">
        <f t="shared" si="60"/>
        <v>51288470.422255546</v>
      </c>
      <c r="AG249" s="73">
        <f t="shared" si="61"/>
        <v>9661679.8275997229</v>
      </c>
      <c r="AH249" s="73">
        <f t="shared" si="61"/>
        <v>-19325354.227662645</v>
      </c>
      <c r="AI249" s="12">
        <f t="shared" si="62"/>
        <v>-0.27368826582891559</v>
      </c>
      <c r="AL249" s="73">
        <f>Summary!G249</f>
        <v>-1785057.4252204103</v>
      </c>
      <c r="AM249" s="73">
        <f>IF(D249&lt;&gt;"avg",SUMIFS(Summary!$H:$H,Summary!$C:$C,Financials!C249,Summary!$E:$E,Financials!E249,Summary!$D:$D,1-Financials!D249,Summary!$F:$F,Financials!F249),SUMIFS(Summary!$H:$H,Summary!$C:$C,Financials!C249,Summary!$E:$E,Financials!E249,Summary!$D:$D,"avg",Summary!$F:$F,Financials!F249))</f>
        <v>4592155.5108230058</v>
      </c>
      <c r="AN249" s="20">
        <f>Summary!I249</f>
        <v>5791838.6199335055</v>
      </c>
      <c r="AP249" s="12">
        <v>1</v>
      </c>
    </row>
    <row r="250" spans="1:42" x14ac:dyDescent="0.3">
      <c r="A250">
        <v>246</v>
      </c>
      <c r="B250" t="str">
        <f>Summary!B250</f>
        <v>MarinusPortland</v>
      </c>
      <c r="C250" t="str">
        <f>Summary!C250</f>
        <v>Wind</v>
      </c>
      <c r="D250" s="104">
        <f>Summary!D250</f>
        <v>0.05</v>
      </c>
      <c r="E250" t="str">
        <f>Summary!E250</f>
        <v>Cal-36</v>
      </c>
      <c r="F250" t="str">
        <f>Summary!F250</f>
        <v>2 Hour Battery</v>
      </c>
      <c r="G250" s="73">
        <f>SUMIFS(AL$5:AL250,$F$5:$F250,$F250,$D$5:$D250,$D250)</f>
        <v>-99710784.664070681</v>
      </c>
      <c r="H250" s="73">
        <f>SUMIFS(AM$5:AM250,$F$5:$F250,$F250,$D$5:$D250,$D250)</f>
        <v>102842637.96883991</v>
      </c>
      <c r="I250" s="20">
        <f>SUMIFS(AN$5:AN250,$F$5:$F250,$F250,$D$5:$D250,$D250)</f>
        <v>51264587.622263521</v>
      </c>
      <c r="J250" s="73">
        <f t="shared" si="48"/>
        <v>51264587.622263521</v>
      </c>
      <c r="K250" s="73">
        <f t="shared" si="49"/>
        <v>-48446197.04180716</v>
      </c>
      <c r="L250" s="73">
        <f t="shared" si="50"/>
        <v>54396440.927032754</v>
      </c>
      <c r="M250" s="73">
        <f>-SUMIFS(FinParameters!$E$8:$E$39,FinParameters!$B$8:$B$39,Financials!$E250,FinParameters!$C$8:$C$39,Financials!$F250)</f>
        <v>-16558816.368082929</v>
      </c>
      <c r="N250" s="73">
        <f>-SUMIFS(FinParameters!$F$8:$F$39,FinParameters!$B$8:$B$39,Financials!$E250,FinParameters!$C$8:$C$39,Financials!$F250)</f>
        <v>-73600000</v>
      </c>
      <c r="O250" s="73">
        <f>SUMIFS(FinParameters!$G$8:$G$39,FinParameters!$B$8:$B$39,Financials!$E250,FinParameters!$C$8:$C$39,Financials!$F250)</f>
        <v>2989175.056035989</v>
      </c>
      <c r="P250" s="73">
        <f t="shared" si="51"/>
        <v>34705771.254180595</v>
      </c>
      <c r="Q250" s="73">
        <f>P250/SUMIFS(FinParameters!$H$8:$H$39,FinParameters!$B$8:$B$39,Financials!$E250,FinParameters!$C$8:$C$39,Financials!$F250)</f>
        <v>6534826.1675454276</v>
      </c>
      <c r="R250" s="73">
        <f t="shared" si="63"/>
        <v>-35905053.689783417</v>
      </c>
      <c r="S250" s="12">
        <f t="shared" si="52"/>
        <v>-0.5084921995781424</v>
      </c>
      <c r="T250" s="114">
        <f t="shared" si="53"/>
        <v>-99710784.664070681</v>
      </c>
      <c r="U250" s="73">
        <f>T250/SUMIFS(FinParameters!$L$8:$L$39,FinParameters!$B$8:$B$39,Financials!$E250,FinParameters!$C$8:$C$39,Financials!$F250)</f>
        <v>-67167670.688712016</v>
      </c>
      <c r="V250" s="73">
        <f t="shared" si="54"/>
        <v>-67167670.688712016</v>
      </c>
      <c r="W250" s="12"/>
      <c r="X250" s="73">
        <f t="shared" si="55"/>
        <v>-65005013.409890085</v>
      </c>
      <c r="Y250" s="73">
        <f t="shared" si="56"/>
        <v>-60632844.521166585</v>
      </c>
      <c r="Z250" s="73">
        <f t="shared" si="56"/>
        <v>-103072724.37849542</v>
      </c>
      <c r="AA250" s="12">
        <f t="shared" si="57"/>
        <v>-1.4597297859116196</v>
      </c>
      <c r="AB250" s="114">
        <f t="shared" si="58"/>
        <v>102842637.96883991</v>
      </c>
      <c r="AC250" s="73">
        <f>AB250/SUMIFS(FinParameters!$L$8:$L$39,FinParameters!$B$8:$B$39,Financials!$E250,FinParameters!$C$8:$C$39,Financials!$F250)</f>
        <v>69277365.162873477</v>
      </c>
      <c r="AD250" s="73">
        <f t="shared" si="59"/>
        <v>69277365.162873477</v>
      </c>
      <c r="AE250" s="12"/>
      <c r="AF250" s="73">
        <f t="shared" si="60"/>
        <v>37837624.558949828</v>
      </c>
      <c r="AG250" s="73">
        <f t="shared" si="61"/>
        <v>8644520.6417068914</v>
      </c>
      <c r="AH250" s="73">
        <f t="shared" si="61"/>
        <v>-33795359.215621948</v>
      </c>
      <c r="AI250" s="12">
        <f t="shared" si="62"/>
        <v>-0.47861442268153054</v>
      </c>
      <c r="AL250" s="73">
        <f>Summary!G250</f>
        <v>-9446788.2757980544</v>
      </c>
      <c r="AM250" s="73">
        <f>IF(D250&lt;&gt;"avg",SUMIFS(Summary!$H:$H,Summary!$C:$C,Financials!C250,Summary!$E:$E,Financials!E250,Summary!$D:$D,1-Financials!D250,Summary!$F:$F,Financials!F250),SUMIFS(Summary!$H:$H,Summary!$C:$C,Financials!C250,Summary!$E:$E,Financials!E250,Summary!$D:$D,"avg",Summary!$F:$F,Financials!F250))</f>
        <v>12205899.659661293</v>
      </c>
      <c r="AN250" s="20">
        <f>Summary!I250</f>
        <v>4030051.9550350336</v>
      </c>
      <c r="AP250" s="12">
        <v>1</v>
      </c>
    </row>
    <row r="251" spans="1:42" x14ac:dyDescent="0.3">
      <c r="A251">
        <v>247</v>
      </c>
      <c r="B251" t="str">
        <f>Summary!B251</f>
        <v>MarinusPortland</v>
      </c>
      <c r="C251" t="str">
        <f>Summary!C251</f>
        <v>Wind</v>
      </c>
      <c r="D251" s="104">
        <f>Summary!D251</f>
        <v>0</v>
      </c>
      <c r="E251" t="str">
        <f>Summary!E251</f>
        <v>Cal-36</v>
      </c>
      <c r="F251" t="str">
        <f>Summary!F251</f>
        <v>2 Hour Battery</v>
      </c>
      <c r="G251" s="73">
        <f>SUMIFS(AL$5:AL251,$F$5:$F251,$F251,$D$5:$D251,$D251)</f>
        <v>-170687523.61627626</v>
      </c>
      <c r="H251" s="73">
        <f>SUMIFS(AM$5:AM251,$F$5:$F251,$F251,$D$5:$D251,$D251)</f>
        <v>211894324.73071128</v>
      </c>
      <c r="I251" s="20">
        <f>SUMIFS(AN$5:AN251,$F$5:$F251,$F251,$D$5:$D251,$D251)</f>
        <v>29709959.572218917</v>
      </c>
      <c r="J251" s="73">
        <f t="shared" si="48"/>
        <v>29709959.572218917</v>
      </c>
      <c r="K251" s="73">
        <f t="shared" si="49"/>
        <v>-140977564.04405734</v>
      </c>
      <c r="L251" s="73">
        <f t="shared" si="50"/>
        <v>70916760.686653942</v>
      </c>
      <c r="M251" s="73">
        <f>-SUMIFS(FinParameters!$E$8:$E$39,FinParameters!$B$8:$B$39,Financials!$E251,FinParameters!$C$8:$C$39,Financials!$F251)</f>
        <v>-16558816.368082929</v>
      </c>
      <c r="N251" s="73">
        <f>-SUMIFS(FinParameters!$F$8:$F$39,FinParameters!$B$8:$B$39,Financials!$E251,FinParameters!$C$8:$C$39,Financials!$F251)</f>
        <v>-73600000</v>
      </c>
      <c r="O251" s="73">
        <f>SUMIFS(FinParameters!$G$8:$G$39,FinParameters!$B$8:$B$39,Financials!$E251,FinParameters!$C$8:$C$39,Financials!$F251)</f>
        <v>2989175.056035989</v>
      </c>
      <c r="P251" s="73">
        <f t="shared" si="51"/>
        <v>13151143.204135988</v>
      </c>
      <c r="Q251" s="73">
        <f>P251/SUMIFS(FinParameters!$H$8:$H$39,FinParameters!$B$8:$B$39,Financials!$E251,FinParameters!$C$8:$C$39,Financials!$F251)</f>
        <v>2476257.7415182162</v>
      </c>
      <c r="R251" s="73">
        <f t="shared" si="63"/>
        <v>-57459681.739828028</v>
      </c>
      <c r="S251" s="12">
        <f t="shared" si="52"/>
        <v>-0.81375174111656978</v>
      </c>
      <c r="T251" s="114">
        <f t="shared" si="53"/>
        <v>-170687523.61627626</v>
      </c>
      <c r="U251" s="73">
        <f>T251/SUMIFS(FinParameters!$L$8:$L$39,FinParameters!$B$8:$B$39,Financials!$E251,FinParameters!$C$8:$C$39,Financials!$F251)</f>
        <v>-114979371.74554127</v>
      </c>
      <c r="V251" s="73">
        <f t="shared" si="54"/>
        <v>-114979371.74554127</v>
      </c>
      <c r="W251" s="12"/>
      <c r="X251" s="73">
        <f t="shared" si="55"/>
        <v>-157536380.41214028</v>
      </c>
      <c r="Y251" s="73">
        <f t="shared" si="56"/>
        <v>-112503114.00402306</v>
      </c>
      <c r="Z251" s="73">
        <f t="shared" si="56"/>
        <v>-172439053.48536929</v>
      </c>
      <c r="AA251" s="12">
        <f t="shared" si="57"/>
        <v>-2.4421050684822769</v>
      </c>
      <c r="AB251" s="114">
        <f t="shared" si="58"/>
        <v>211894324.73071128</v>
      </c>
      <c r="AC251" s="73">
        <f>AB251/SUMIFS(FinParameters!$L$8:$L$39,FinParameters!$B$8:$B$39,Financials!$E251,FinParameters!$C$8:$C$39,Financials!$F251)</f>
        <v>142737300.40606004</v>
      </c>
      <c r="AD251" s="73">
        <f t="shared" si="59"/>
        <v>142737300.40606004</v>
      </c>
      <c r="AE251" s="12"/>
      <c r="AF251" s="73">
        <f t="shared" si="60"/>
        <v>54357944.318571001</v>
      </c>
      <c r="AG251" s="73">
        <f t="shared" si="61"/>
        <v>30234186.40203698</v>
      </c>
      <c r="AH251" s="73">
        <f t="shared" si="61"/>
        <v>-29701753.079309255</v>
      </c>
      <c r="AI251" s="12">
        <f t="shared" si="62"/>
        <v>-0.4206402219897622</v>
      </c>
      <c r="AL251" s="73">
        <f>Summary!G251</f>
        <v>-14456791.14379588</v>
      </c>
      <c r="AM251" s="73">
        <f>IF(D251&lt;&gt;"avg",SUMIFS(Summary!$H:$H,Summary!$C:$C,Financials!C251,Summary!$E:$E,Financials!E251,Summary!$D:$D,1-Financials!D251,Summary!$F:$F,Financials!F251),SUMIFS(Summary!$H:$H,Summary!$C:$C,Financials!C251,Summary!$E:$E,Financials!E251,Summary!$D:$D,"avg",Summary!$F:$F,Financials!F251))</f>
        <v>21773614.066425137</v>
      </c>
      <c r="AN251" s="20">
        <f>Summary!I251</f>
        <v>2611762.9304366265</v>
      </c>
      <c r="AP251" s="12">
        <v>1</v>
      </c>
    </row>
    <row r="252" spans="1:42" x14ac:dyDescent="0.3">
      <c r="A252">
        <v>248</v>
      </c>
      <c r="B252" t="str">
        <f>Summary!B252</f>
        <v>MarinusPortland</v>
      </c>
      <c r="C252" t="str">
        <f>Summary!C252</f>
        <v>Wind</v>
      </c>
      <c r="D252" s="104" t="str">
        <f>Summary!D252</f>
        <v>avg</v>
      </c>
      <c r="E252" t="str">
        <f>Summary!E252</f>
        <v>Cal-36</v>
      </c>
      <c r="F252" t="str">
        <f>Summary!F252</f>
        <v>2 Hour Battery</v>
      </c>
      <c r="G252" s="73">
        <f>SUMIFS(AL$5:AL252,$F$5:$F252,$F252,$D$5:$D252,$D252)</f>
        <v>10009823.931538211</v>
      </c>
      <c r="H252" s="73">
        <f>SUMIFS(AM$5:AM252,$F$5:$F252,$F252,$D$5:$D252,$D252)</f>
        <v>-959883.57630451489</v>
      </c>
      <c r="I252" s="20">
        <f>SUMIFS(AN$5:AN252,$F$5:$F252,$F252,$D$5:$D252,$D252)</f>
        <v>80985550.938948378</v>
      </c>
      <c r="J252" s="73">
        <f t="shared" si="48"/>
        <v>80985550.938948378</v>
      </c>
      <c r="K252" s="73">
        <f t="shared" si="49"/>
        <v>90995374.870486587</v>
      </c>
      <c r="L252" s="73">
        <f t="shared" si="50"/>
        <v>90035491.294182077</v>
      </c>
      <c r="M252" s="73">
        <f>-SUMIFS(FinParameters!$E$8:$E$39,FinParameters!$B$8:$B$39,Financials!$E252,FinParameters!$C$8:$C$39,Financials!$F252)</f>
        <v>-16558816.368082929</v>
      </c>
      <c r="N252" s="73">
        <f>-SUMIFS(FinParameters!$F$8:$F$39,FinParameters!$B$8:$B$39,Financials!$E252,FinParameters!$C$8:$C$39,Financials!$F252)</f>
        <v>-73600000</v>
      </c>
      <c r="O252" s="73">
        <f>SUMIFS(FinParameters!$G$8:$G$39,FinParameters!$B$8:$B$39,Financials!$E252,FinParameters!$C$8:$C$39,Financials!$F252)</f>
        <v>2989175.056035989</v>
      </c>
      <c r="P252" s="73">
        <f t="shared" si="51"/>
        <v>64426734.570865452</v>
      </c>
      <c r="Q252" s="73">
        <f>P252/SUMIFS(FinParameters!$H$8:$H$39,FinParameters!$B$8:$B$39,Financials!$E252,FinParameters!$C$8:$C$39,Financials!$F252)</f>
        <v>12131051.861078586</v>
      </c>
      <c r="R252" s="73">
        <f t="shared" si="63"/>
        <v>-6184090.3730985587</v>
      </c>
      <c r="S252" s="12">
        <f t="shared" si="52"/>
        <v>-8.7579919622893326E-2</v>
      </c>
      <c r="T252" s="114">
        <f t="shared" si="53"/>
        <v>10009823.931538211</v>
      </c>
      <c r="U252" s="73">
        <f>T252/SUMIFS(FinParameters!$L$8:$L$39,FinParameters!$B$8:$B$39,Financials!$E252,FinParameters!$C$8:$C$39,Financials!$F252)</f>
        <v>6742866.9802436503</v>
      </c>
      <c r="V252" s="73">
        <f t="shared" si="54"/>
        <v>6742866.9802436503</v>
      </c>
      <c r="W252" s="12"/>
      <c r="X252" s="73">
        <f t="shared" si="55"/>
        <v>74436558.502403662</v>
      </c>
      <c r="Y252" s="73">
        <f t="shared" si="56"/>
        <v>18873918.841322236</v>
      </c>
      <c r="Z252" s="73">
        <f t="shared" si="56"/>
        <v>558776.60714509152</v>
      </c>
      <c r="AA252" s="12">
        <f t="shared" si="57"/>
        <v>7.9134694657445326E-3</v>
      </c>
      <c r="AB252" s="114">
        <f t="shared" si="58"/>
        <v>-959883.57630451489</v>
      </c>
      <c r="AC252" s="73">
        <f>AB252/SUMIFS(FinParameters!$L$8:$L$39,FinParameters!$B$8:$B$39,Financials!$E252,FinParameters!$C$8:$C$39,Financials!$F252)</f>
        <v>-646601.51025726285</v>
      </c>
      <c r="AD252" s="73">
        <f t="shared" si="59"/>
        <v>-646601.51025726285</v>
      </c>
      <c r="AE252" s="12"/>
      <c r="AF252" s="73">
        <f t="shared" si="60"/>
        <v>73476674.926099151</v>
      </c>
      <c r="AG252" s="73">
        <f t="shared" si="61"/>
        <v>18227317.331064973</v>
      </c>
      <c r="AH252" s="73">
        <f t="shared" si="61"/>
        <v>-87824.903112171334</v>
      </c>
      <c r="AI252" s="12">
        <f t="shared" si="62"/>
        <v>-1.2437880903086495E-3</v>
      </c>
      <c r="AL252" s="73">
        <f>Summary!G252</f>
        <v>2373923.0502044023</v>
      </c>
      <c r="AM252" s="73">
        <f>IF(D252&lt;&gt;"avg",SUMIFS(Summary!$H:$H,Summary!$C:$C,Financials!C252,Summary!$E:$E,Financials!E252,Summary!$D:$D,1-Financials!D252,Summary!$F:$F,Financials!F252),SUMIFS(Summary!$H:$H,Summary!$C:$C,Financials!C252,Summary!$E:$E,Financials!E252,Summary!$D:$D,"avg",Summary!$F:$F,Financials!F252))</f>
        <v>612120.30806827894</v>
      </c>
      <c r="AN252" s="20">
        <f>Summary!I252</f>
        <v>6781898.9885388911</v>
      </c>
      <c r="AP252" s="12">
        <v>1</v>
      </c>
    </row>
    <row r="253" spans="1:42" x14ac:dyDescent="0.3">
      <c r="A253">
        <v>249</v>
      </c>
      <c r="B253" t="str">
        <f>Summary!B253</f>
        <v>MarinusPortland</v>
      </c>
      <c r="C253" t="str">
        <f>Summary!C253</f>
        <v>Wind</v>
      </c>
      <c r="D253" s="104">
        <f>Summary!D253</f>
        <v>1</v>
      </c>
      <c r="E253" t="str">
        <f>Summary!E253</f>
        <v>Cal-37</v>
      </c>
      <c r="F253" t="str">
        <f>Summary!F253</f>
        <v>2 Hour Battery</v>
      </c>
      <c r="G253" s="73">
        <f>SUMIFS(AL$5:AL253,$F$5:$F253,$F253,$D$5:$D253,$D253)</f>
        <v>313947903.03748894</v>
      </c>
      <c r="H253" s="73">
        <f>SUMIFS(AM$5:AM253,$F$5:$F253,$F253,$D$5:$D253,$D253)</f>
        <v>-269335147.98458827</v>
      </c>
      <c r="I253" s="20">
        <f>SUMIFS(AN$5:AN253,$F$5:$F253,$F253,$D$5:$D253,$D253)</f>
        <v>170836046.18846378</v>
      </c>
      <c r="J253" s="73">
        <f t="shared" si="48"/>
        <v>170836046.18846378</v>
      </c>
      <c r="K253" s="73">
        <f t="shared" si="49"/>
        <v>484783949.22595274</v>
      </c>
      <c r="L253" s="73">
        <f t="shared" si="50"/>
        <v>215448801.24136445</v>
      </c>
      <c r="M253" s="73">
        <f>-SUMIFS(FinParameters!$E$8:$E$39,FinParameters!$B$8:$B$39,Financials!$E253,FinParameters!$C$8:$C$39,Financials!$F253)</f>
        <v>-17761536.777285002</v>
      </c>
      <c r="N253" s="73">
        <f>-SUMIFS(FinParameters!$F$8:$F$39,FinParameters!$B$8:$B$39,Financials!$E253,FinParameters!$C$8:$C$39,Financials!$F253)</f>
        <v>-73600000</v>
      </c>
      <c r="O253" s="73">
        <f>SUMIFS(FinParameters!$G$8:$G$39,FinParameters!$B$8:$B$39,Financials!$E253,FinParameters!$C$8:$C$39,Financials!$F253)</f>
        <v>2502285.8986119549</v>
      </c>
      <c r="P253" s="73">
        <f t="shared" si="51"/>
        <v>153074509.41117877</v>
      </c>
      <c r="Q253" s="73">
        <f>P253/SUMIFS(FinParameters!$H$8:$H$39,FinParameters!$B$8:$B$39,Financials!$E253,FinParameters!$C$8:$C$39,Financials!$F253)</f>
        <v>25966429.533561781</v>
      </c>
      <c r="R253" s="73">
        <f t="shared" si="63"/>
        <v>81976795.309790716</v>
      </c>
      <c r="S253" s="12">
        <f t="shared" si="52"/>
        <v>1.1530159069937</v>
      </c>
      <c r="T253" s="114">
        <f t="shared" si="53"/>
        <v>313947903.03748894</v>
      </c>
      <c r="U253" s="73">
        <f>T253/SUMIFS(FinParameters!$L$8:$L$39,FinParameters!$B$8:$B$39,Financials!$E253,FinParameters!$C$8:$C$39,Financials!$F253)</f>
        <v>206325010.05516896</v>
      </c>
      <c r="V253" s="73">
        <f t="shared" si="54"/>
        <v>206325010.05516896</v>
      </c>
      <c r="W253" s="12"/>
      <c r="X253" s="73">
        <f t="shared" si="55"/>
        <v>467022412.44866776</v>
      </c>
      <c r="Y253" s="73">
        <f t="shared" si="56"/>
        <v>232291439.58873075</v>
      </c>
      <c r="Z253" s="73">
        <f t="shared" si="56"/>
        <v>288301805.36495966</v>
      </c>
      <c r="AA253" s="12">
        <f t="shared" si="57"/>
        <v>4.0550080830141777</v>
      </c>
      <c r="AB253" s="114">
        <f t="shared" si="58"/>
        <v>-269335147.98458827</v>
      </c>
      <c r="AC253" s="73">
        <f>AB253/SUMIFS(FinParameters!$L$8:$L$39,FinParameters!$B$8:$B$39,Financials!$E253,FinParameters!$C$8:$C$39,Financials!$F253)</f>
        <v>-177005727.9519234</v>
      </c>
      <c r="AD253" s="73">
        <f t="shared" si="59"/>
        <v>-177005727.9519234</v>
      </c>
      <c r="AE253" s="12"/>
      <c r="AF253" s="73">
        <f t="shared" si="60"/>
        <v>197687264.4640795</v>
      </c>
      <c r="AG253" s="73">
        <f t="shared" si="61"/>
        <v>55285711.636807352</v>
      </c>
      <c r="AH253" s="73">
        <f t="shared" si="61"/>
        <v>111296077.41303626</v>
      </c>
      <c r="AI253" s="12">
        <f t="shared" si="62"/>
        <v>1.5653960021038624</v>
      </c>
      <c r="AL253" s="73">
        <f>Summary!G253</f>
        <v>19034076.10738232</v>
      </c>
      <c r="AM253" s="73">
        <f>IF(D253&lt;&gt;"avg",SUMIFS(Summary!$H:$H,Summary!$C:$C,Financials!C253,Summary!$E:$E,Financials!E253,Summary!$D:$D,1-Financials!D253,Summary!$F:$F,Financials!F253),SUMIFS(Summary!$H:$H,Summary!$C:$C,Financials!C253,Summary!$E:$E,Financials!E253,Summary!$D:$D,"avg",Summary!$F:$F,Financials!F253))</f>
        <v>-20749059.644596826</v>
      </c>
      <c r="AN253" s="20">
        <f>Summary!I253</f>
        <v>11438352.346757386</v>
      </c>
      <c r="AP253" s="12">
        <f>FinancialWalk!AI5</f>
        <v>1</v>
      </c>
    </row>
    <row r="254" spans="1:42" x14ac:dyDescent="0.3">
      <c r="A254">
        <v>250</v>
      </c>
      <c r="B254" t="str">
        <f>Summary!B254</f>
        <v>MarinusPortland</v>
      </c>
      <c r="C254" t="str">
        <f>Summary!C254</f>
        <v>Wind</v>
      </c>
      <c r="D254" s="104">
        <f>Summary!D254</f>
        <v>0.95</v>
      </c>
      <c r="E254" t="str">
        <f>Summary!E254</f>
        <v>Cal-37</v>
      </c>
      <c r="F254" t="str">
        <f>Summary!F254</f>
        <v>2 Hour Battery</v>
      </c>
      <c r="G254" s="73">
        <f>SUMIFS(AL$5:AL254,$F$5:$F254,$F254,$D$5:$D254,$D254)</f>
        <v>146272829.71612614</v>
      </c>
      <c r="H254" s="73">
        <f>SUMIFS(AM$5:AM254,$F$5:$F254,$F254,$D$5:$D254,$D254)</f>
        <v>-116017565.15956134</v>
      </c>
      <c r="I254" s="20">
        <f>SUMIFS(AN$5:AN254,$F$5:$F254,$F254,$D$5:$D254,$D254)</f>
        <v>120982198.44599457</v>
      </c>
      <c r="J254" s="73">
        <f t="shared" si="48"/>
        <v>120982198.44599457</v>
      </c>
      <c r="K254" s="73">
        <f t="shared" si="49"/>
        <v>267255028.1621207</v>
      </c>
      <c r="L254" s="73">
        <f t="shared" si="50"/>
        <v>151237463.00255936</v>
      </c>
      <c r="M254" s="73">
        <f>-SUMIFS(FinParameters!$E$8:$E$39,FinParameters!$B$8:$B$39,Financials!$E254,FinParameters!$C$8:$C$39,Financials!$F254)</f>
        <v>-17761536.777285002</v>
      </c>
      <c r="N254" s="73">
        <f>-SUMIFS(FinParameters!$F$8:$F$39,FinParameters!$B$8:$B$39,Financials!$E254,FinParameters!$C$8:$C$39,Financials!$F254)</f>
        <v>-73600000</v>
      </c>
      <c r="O254" s="73">
        <f>SUMIFS(FinParameters!$G$8:$G$39,FinParameters!$B$8:$B$39,Financials!$E254,FinParameters!$C$8:$C$39,Financials!$F254)</f>
        <v>2502285.8986119549</v>
      </c>
      <c r="P254" s="73">
        <f t="shared" si="51"/>
        <v>103220661.66870958</v>
      </c>
      <c r="Q254" s="73">
        <f>P254/SUMIFS(FinParameters!$H$8:$H$39,FinParameters!$B$8:$B$39,Financials!$E254,FinParameters!$C$8:$C$39,Financials!$F254)</f>
        <v>17509590.904051807</v>
      </c>
      <c r="R254" s="73">
        <f t="shared" si="63"/>
        <v>32122947.567321531</v>
      </c>
      <c r="S254" s="12">
        <f t="shared" si="52"/>
        <v>0.45181406988012279</v>
      </c>
      <c r="T254" s="114">
        <f t="shared" si="53"/>
        <v>146272829.71612614</v>
      </c>
      <c r="U254" s="73">
        <f>T254/SUMIFS(FinParameters!$L$8:$L$39,FinParameters!$B$8:$B$39,Financials!$E254,FinParameters!$C$8:$C$39,Financials!$F254)</f>
        <v>96129780.673750639</v>
      </c>
      <c r="V254" s="73">
        <f t="shared" si="54"/>
        <v>96129780.673750639</v>
      </c>
      <c r="W254" s="12"/>
      <c r="X254" s="73">
        <f t="shared" si="55"/>
        <v>249493491.38483569</v>
      </c>
      <c r="Y254" s="73">
        <f t="shared" si="56"/>
        <v>113639371.57780245</v>
      </c>
      <c r="Z254" s="73">
        <f t="shared" si="56"/>
        <v>128252728.24107218</v>
      </c>
      <c r="AA254" s="12">
        <f t="shared" si="57"/>
        <v>1.8038938362797277</v>
      </c>
      <c r="AB254" s="114">
        <f t="shared" si="58"/>
        <v>-116017565.15956134</v>
      </c>
      <c r="AC254" s="73">
        <f>AB254/SUMIFS(FinParameters!$L$8:$L$39,FinParameters!$B$8:$B$39,Financials!$E254,FinParameters!$C$8:$C$39,Financials!$F254)</f>
        <v>-76246170.356692344</v>
      </c>
      <c r="AD254" s="73">
        <f t="shared" si="59"/>
        <v>-76246170.356692344</v>
      </c>
      <c r="AE254" s="12"/>
      <c r="AF254" s="73">
        <f t="shared" si="60"/>
        <v>133475926.22527435</v>
      </c>
      <c r="AG254" s="73">
        <f t="shared" si="61"/>
        <v>37393201.221110106</v>
      </c>
      <c r="AH254" s="73">
        <f t="shared" si="61"/>
        <v>52006557.884379834</v>
      </c>
      <c r="AI254" s="12">
        <f t="shared" si="62"/>
        <v>0.73148002775752397</v>
      </c>
      <c r="AL254" s="73">
        <f>Summary!G254</f>
        <v>9698570.5594856013</v>
      </c>
      <c r="AM254" s="73">
        <f>IF(D254&lt;&gt;"avg",SUMIFS(Summary!$H:$H,Summary!$C:$C,Financials!C254,Summary!$E:$E,Financials!E254,Summary!$D:$D,1-Financials!D254,Summary!$F:$F,Financials!F254),SUMIFS(Summary!$H:$H,Summary!$C:$C,Financials!C254,Summary!$E:$E,Financials!E254,Summary!$D:$D,"avg",Summary!$F:$F,Financials!F254))</f>
        <v>-9188532.6132406686</v>
      </c>
      <c r="AN254" s="20">
        <f>Summary!I254</f>
        <v>8823642.294600049</v>
      </c>
      <c r="AP254" s="12">
        <f>FinancialWalk!AI6</f>
        <v>1</v>
      </c>
    </row>
    <row r="255" spans="1:42" x14ac:dyDescent="0.3">
      <c r="A255">
        <v>251</v>
      </c>
      <c r="B255" t="str">
        <f>Summary!B255</f>
        <v>MarinusPortland</v>
      </c>
      <c r="C255" t="str">
        <f>Summary!C255</f>
        <v>Wind</v>
      </c>
      <c r="D255" s="104">
        <f>Summary!D255</f>
        <v>0.75</v>
      </c>
      <c r="E255" t="str">
        <f>Summary!E255</f>
        <v>Cal-37</v>
      </c>
      <c r="F255" t="str">
        <f>Summary!F255</f>
        <v>2 Hour Battery</v>
      </c>
      <c r="G255" s="73">
        <f>SUMIFS(AL$5:AL255,$F$5:$F255,$F255,$D$5:$D255,$D255)</f>
        <v>64537283.215318352</v>
      </c>
      <c r="H255" s="73">
        <f>SUMIFS(AM$5:AM255,$F$5:$F255,$F255,$D$5:$D255,$D255)</f>
        <v>-48316983.413085386</v>
      </c>
      <c r="I255" s="20">
        <f>SUMIFS(AN$5:AN255,$F$5:$F255,$F255,$D$5:$D255,$D255)</f>
        <v>101713936.17069714</v>
      </c>
      <c r="J255" s="73">
        <f t="shared" si="48"/>
        <v>101713936.17069714</v>
      </c>
      <c r="K255" s="73">
        <f t="shared" si="49"/>
        <v>166251219.38601547</v>
      </c>
      <c r="L255" s="73">
        <f t="shared" si="50"/>
        <v>117934235.9729301</v>
      </c>
      <c r="M255" s="73">
        <f>-SUMIFS(FinParameters!$E$8:$E$39,FinParameters!$B$8:$B$39,Financials!$E255,FinParameters!$C$8:$C$39,Financials!$F255)</f>
        <v>-17761536.777285002</v>
      </c>
      <c r="N255" s="73">
        <f>-SUMIFS(FinParameters!$F$8:$F$39,FinParameters!$B$8:$B$39,Financials!$E255,FinParameters!$C$8:$C$39,Financials!$F255)</f>
        <v>-73600000</v>
      </c>
      <c r="O255" s="73">
        <f>SUMIFS(FinParameters!$G$8:$G$39,FinParameters!$B$8:$B$39,Financials!$E255,FinParameters!$C$8:$C$39,Financials!$F255)</f>
        <v>2502285.8986119549</v>
      </c>
      <c r="P255" s="73">
        <f t="shared" si="51"/>
        <v>83952399.393412143</v>
      </c>
      <c r="Q255" s="73">
        <f>P255/SUMIFS(FinParameters!$H$8:$H$39,FinParameters!$B$8:$B$39,Financials!$E255,FinParameters!$C$8:$C$39,Financials!$F255)</f>
        <v>14241065.161063803</v>
      </c>
      <c r="R255" s="73">
        <f t="shared" si="63"/>
        <v>12854685.292024098</v>
      </c>
      <c r="S255" s="12">
        <f t="shared" si="52"/>
        <v>0.18080307439551188</v>
      </c>
      <c r="T255" s="114">
        <f t="shared" si="53"/>
        <v>64537283.215318352</v>
      </c>
      <c r="U255" s="73">
        <f>T255/SUMIFS(FinParameters!$L$8:$L$39,FinParameters!$B$8:$B$39,Financials!$E255,FinParameters!$C$8:$C$39,Financials!$F255)</f>
        <v>42413583.526129827</v>
      </c>
      <c r="V255" s="73">
        <f t="shared" si="54"/>
        <v>42413583.526129827</v>
      </c>
      <c r="W255" s="12"/>
      <c r="X255" s="73">
        <f t="shared" si="55"/>
        <v>148489682.60873047</v>
      </c>
      <c r="Y255" s="73">
        <f t="shared" si="56"/>
        <v>56654648.687193632</v>
      </c>
      <c r="Z255" s="73">
        <f t="shared" si="56"/>
        <v>55268268.818153925</v>
      </c>
      <c r="AA255" s="12">
        <f t="shared" si="57"/>
        <v>0.77735648067867924</v>
      </c>
      <c r="AB255" s="114">
        <f t="shared" si="58"/>
        <v>-48316983.413085386</v>
      </c>
      <c r="AC255" s="73">
        <f>AB255/SUMIFS(FinParameters!$L$8:$L$39,FinParameters!$B$8:$B$39,Financials!$E255,FinParameters!$C$8:$C$39,Financials!$F255)</f>
        <v>-31753682.67183445</v>
      </c>
      <c r="AD255" s="73">
        <f t="shared" si="59"/>
        <v>-31753682.67183445</v>
      </c>
      <c r="AE255" s="12"/>
      <c r="AF255" s="73">
        <f t="shared" si="60"/>
        <v>100172699.19564508</v>
      </c>
      <c r="AG255" s="73">
        <f t="shared" si="61"/>
        <v>24900966.015359182</v>
      </c>
      <c r="AH255" s="73">
        <f t="shared" si="61"/>
        <v>23514586.146319475</v>
      </c>
      <c r="AI255" s="12">
        <f t="shared" si="62"/>
        <v>0.33073617687323642</v>
      </c>
      <c r="AL255" s="73">
        <f>Summary!G255</f>
        <v>5905344.5315388702</v>
      </c>
      <c r="AM255" s="73">
        <f>IF(D255&lt;&gt;"avg",SUMIFS(Summary!$H:$H,Summary!$C:$C,Financials!C255,Summary!$E:$E,Financials!E255,Summary!$D:$D,1-Financials!D255,Summary!$F:$F,Financials!F255),SUMIFS(Summary!$H:$H,Summary!$C:$C,Financials!C255,Summary!$E:$E,Financials!E255,Summary!$D:$D,"avg",Summary!$F:$F,Financials!F255))</f>
        <v>-4305145.686470422</v>
      </c>
      <c r="AN255" s="20">
        <f>Summary!I255</f>
        <v>7880005.1053774273</v>
      </c>
      <c r="AP255" s="12">
        <f>FinancialWalk!AI7</f>
        <v>1</v>
      </c>
    </row>
    <row r="256" spans="1:42" x14ac:dyDescent="0.3">
      <c r="A256">
        <v>252</v>
      </c>
      <c r="B256" t="str">
        <f>Summary!B256</f>
        <v>MarinusPortland</v>
      </c>
      <c r="C256" t="str">
        <f>Summary!C256</f>
        <v>Wind</v>
      </c>
      <c r="D256" s="104">
        <f>Summary!D256</f>
        <v>0.5</v>
      </c>
      <c r="E256" t="str">
        <f>Summary!E256</f>
        <v>Cal-37</v>
      </c>
      <c r="F256" t="str">
        <f>Summary!F256</f>
        <v>2 Hour Battery</v>
      </c>
      <c r="G256" s="73">
        <f>SUMIFS(AL$5:AL256,$F$5:$F256,$F256,$D$5:$D256,$D256)</f>
        <v>6697531.6341014374</v>
      </c>
      <c r="H256" s="73">
        <f>SUMIFS(AM$5:AM256,$F$5:$F256,$F256,$D$5:$D256,$D256)</f>
        <v>-525798.35554089677</v>
      </c>
      <c r="I256" s="20">
        <f>SUMIFS(AN$5:AN256,$F$5:$F256,$F256,$D$5:$D256,$D256)</f>
        <v>87969875.14802134</v>
      </c>
      <c r="J256" s="73">
        <f t="shared" si="48"/>
        <v>87969875.14802134</v>
      </c>
      <c r="K256" s="73">
        <f t="shared" si="49"/>
        <v>94667406.782122776</v>
      </c>
      <c r="L256" s="73">
        <f t="shared" si="50"/>
        <v>94141608.426581874</v>
      </c>
      <c r="M256" s="73">
        <f>-SUMIFS(FinParameters!$E$8:$E$39,FinParameters!$B$8:$B$39,Financials!$E256,FinParameters!$C$8:$C$39,Financials!$F256)</f>
        <v>-17761536.777285002</v>
      </c>
      <c r="N256" s="73">
        <f>-SUMIFS(FinParameters!$F$8:$F$39,FinParameters!$B$8:$B$39,Financials!$E256,FinParameters!$C$8:$C$39,Financials!$F256)</f>
        <v>-73600000</v>
      </c>
      <c r="O256" s="73">
        <f>SUMIFS(FinParameters!$G$8:$G$39,FinParameters!$B$8:$B$39,Financials!$E256,FinParameters!$C$8:$C$39,Financials!$F256)</f>
        <v>2502285.8986119549</v>
      </c>
      <c r="P256" s="73">
        <f t="shared" si="51"/>
        <v>70208338.370736331</v>
      </c>
      <c r="Q256" s="73">
        <f>P256/SUMIFS(FinParameters!$H$8:$H$39,FinParameters!$B$8:$B$39,Financials!$E256,FinParameters!$C$8:$C$39,Financials!$F256)</f>
        <v>11909624.130005879</v>
      </c>
      <c r="R256" s="73">
        <f t="shared" si="63"/>
        <v>-889375.73065171437</v>
      </c>
      <c r="S256" s="12">
        <f t="shared" si="52"/>
        <v>-1.2509202889187557E-2</v>
      </c>
      <c r="T256" s="114">
        <f t="shared" si="53"/>
        <v>6697531.6341014374</v>
      </c>
      <c r="U256" s="73">
        <f>T256/SUMIFS(FinParameters!$L$8:$L$39,FinParameters!$B$8:$B$39,Financials!$E256,FinParameters!$C$8:$C$39,Financials!$F256)</f>
        <v>4401584.6845321357</v>
      </c>
      <c r="V256" s="73">
        <f t="shared" si="54"/>
        <v>4401584.6845321357</v>
      </c>
      <c r="W256" s="12"/>
      <c r="X256" s="73">
        <f t="shared" si="55"/>
        <v>76905870.004837781</v>
      </c>
      <c r="Y256" s="73">
        <f t="shared" si="56"/>
        <v>16311208.814538015</v>
      </c>
      <c r="Z256" s="73">
        <f t="shared" si="56"/>
        <v>3512208.9538804214</v>
      </c>
      <c r="AA256" s="12">
        <f t="shared" si="57"/>
        <v>4.9399745101113619E-2</v>
      </c>
      <c r="AB256" s="114">
        <f t="shared" si="58"/>
        <v>-525798.35554089677</v>
      </c>
      <c r="AC256" s="73">
        <f>AB256/SUMIFS(FinParameters!$L$8:$L$39,FinParameters!$B$8:$B$39,Financials!$E256,FinParameters!$C$8:$C$39,Financials!$F256)</f>
        <v>-345552.08027942281</v>
      </c>
      <c r="AD256" s="73">
        <f t="shared" si="59"/>
        <v>-345552.08027942281</v>
      </c>
      <c r="AE256" s="12"/>
      <c r="AF256" s="73">
        <f t="shared" si="60"/>
        <v>76380071.64929688</v>
      </c>
      <c r="AG256" s="73">
        <f t="shared" si="61"/>
        <v>15965656.734258592</v>
      </c>
      <c r="AH256" s="73">
        <f t="shared" si="61"/>
        <v>3166656.8736009984</v>
      </c>
      <c r="AI256" s="12">
        <f t="shared" si="62"/>
        <v>4.4539503324751414E-2</v>
      </c>
      <c r="AL256" s="73">
        <f>Summary!G256</f>
        <v>2436927.8482014164</v>
      </c>
      <c r="AM256" s="73">
        <f>IF(D256&lt;&gt;"avg",SUMIFS(Summary!$H:$H,Summary!$C:$C,Financials!C256,Summary!$E:$E,Financials!E256,Summary!$D:$D,1-Financials!D256,Summary!$F:$F,Financials!F256),SUMIFS(Summary!$H:$H,Summary!$C:$C,Financials!C256,Summary!$E:$E,Financials!E256,Summary!$D:$D,"avg",Summary!$F:$F,Financials!F256))</f>
        <v>-179410.96531799287</v>
      </c>
      <c r="AN256" s="20">
        <f>Summary!I256</f>
        <v>7007827.6649083383</v>
      </c>
      <c r="AP256" s="12">
        <f>FinancialWalk!AI8</f>
        <v>1</v>
      </c>
    </row>
    <row r="257" spans="1:42" x14ac:dyDescent="0.3">
      <c r="A257">
        <v>253</v>
      </c>
      <c r="B257" t="str">
        <f>Summary!B257</f>
        <v>MarinusPortland</v>
      </c>
      <c r="C257" t="str">
        <f>Summary!C257</f>
        <v>Wind</v>
      </c>
      <c r="D257" s="104">
        <f>Summary!D257</f>
        <v>0.25</v>
      </c>
      <c r="E257" t="str">
        <f>Summary!E257</f>
        <v>Cal-37</v>
      </c>
      <c r="F257" t="str">
        <f>Summary!F257</f>
        <v>2 Hour Battery</v>
      </c>
      <c r="G257" s="73">
        <f>SUMIFS(AL$5:AL257,$F$5:$F257,$F257,$D$5:$D257,$D257)</f>
        <v>-46027132.462235309</v>
      </c>
      <c r="H257" s="73">
        <f>SUMIFS(AM$5:AM257,$F$5:$F257,$F257,$D$5:$D257,$D257)</f>
        <v>47642978.562756099</v>
      </c>
      <c r="I257" s="20">
        <f>SUMIFS(AN$5:AN257,$F$5:$F257,$F257,$D$5:$D257,$D257)</f>
        <v>73521833.996261805</v>
      </c>
      <c r="J257" s="73">
        <f t="shared" si="48"/>
        <v>73521833.996261805</v>
      </c>
      <c r="K257" s="73">
        <f t="shared" si="49"/>
        <v>27494701.534026496</v>
      </c>
      <c r="L257" s="73">
        <f t="shared" si="50"/>
        <v>75137680.096782595</v>
      </c>
      <c r="M257" s="73">
        <f>-SUMIFS(FinParameters!$E$8:$E$39,FinParameters!$B$8:$B$39,Financials!$E257,FinParameters!$C$8:$C$39,Financials!$F257)</f>
        <v>-17761536.777285002</v>
      </c>
      <c r="N257" s="73">
        <f>-SUMIFS(FinParameters!$F$8:$F$39,FinParameters!$B$8:$B$39,Financials!$E257,FinParameters!$C$8:$C$39,Financials!$F257)</f>
        <v>-73600000</v>
      </c>
      <c r="O257" s="73">
        <f>SUMIFS(FinParameters!$G$8:$G$39,FinParameters!$B$8:$B$39,Financials!$E257,FinParameters!$C$8:$C$39,Financials!$F257)</f>
        <v>2502285.8986119549</v>
      </c>
      <c r="P257" s="73">
        <f t="shared" si="51"/>
        <v>55760297.218976803</v>
      </c>
      <c r="Q257" s="73">
        <f>P257/SUMIFS(FinParameters!$H$8:$H$39,FinParameters!$B$8:$B$39,Financials!$E257,FinParameters!$C$8:$C$39,Financials!$F257)</f>
        <v>9458765.1077670846</v>
      </c>
      <c r="R257" s="73">
        <f t="shared" si="63"/>
        <v>-15337416.882411242</v>
      </c>
      <c r="S257" s="12">
        <f t="shared" si="52"/>
        <v>-0.21572306615286535</v>
      </c>
      <c r="T257" s="114">
        <f t="shared" si="53"/>
        <v>-46027132.462235309</v>
      </c>
      <c r="U257" s="73">
        <f>T257/SUMIFS(FinParameters!$L$8:$L$39,FinParameters!$B$8:$B$39,Financials!$E257,FinParameters!$C$8:$C$39,Financials!$F257)</f>
        <v>-30248803.945498239</v>
      </c>
      <c r="V257" s="73">
        <f t="shared" si="54"/>
        <v>-30248803.945498239</v>
      </c>
      <c r="W257" s="12"/>
      <c r="X257" s="73">
        <f t="shared" si="55"/>
        <v>9733164.7567414939</v>
      </c>
      <c r="Y257" s="73">
        <f t="shared" si="56"/>
        <v>-20790038.837731153</v>
      </c>
      <c r="Z257" s="73">
        <f t="shared" si="56"/>
        <v>-45586220.827909485</v>
      </c>
      <c r="AA257" s="12">
        <f t="shared" si="57"/>
        <v>-0.64117702522618092</v>
      </c>
      <c r="AB257" s="114">
        <f t="shared" si="58"/>
        <v>47642978.562756099</v>
      </c>
      <c r="AC257" s="73">
        <f>AB257/SUMIFS(FinParameters!$L$8:$L$39,FinParameters!$B$8:$B$39,Financials!$E257,FinParameters!$C$8:$C$39,Financials!$F257)</f>
        <v>31310730.015753746</v>
      </c>
      <c r="AD257" s="73">
        <f t="shared" si="59"/>
        <v>31310730.015753746</v>
      </c>
      <c r="AE257" s="12"/>
      <c r="AF257" s="73">
        <f t="shared" si="60"/>
        <v>57376143.319497593</v>
      </c>
      <c r="AG257" s="73">
        <f t="shared" si="61"/>
        <v>10520691.178022593</v>
      </c>
      <c r="AH257" s="73">
        <f t="shared" si="61"/>
        <v>-14275490.812155738</v>
      </c>
      <c r="AI257" s="12">
        <f t="shared" si="62"/>
        <v>-0.20078691688734668</v>
      </c>
      <c r="AL257" s="73">
        <f>Summary!G257</f>
        <v>-3306485.0380182895</v>
      </c>
      <c r="AM257" s="73">
        <f>IF(D257&lt;&gt;"avg",SUMIFS(Summary!$H:$H,Summary!$C:$C,Financials!C257,Summary!$E:$E,Financials!E257,Summary!$D:$D,1-Financials!D257,Summary!$F:$F,Financials!F257),SUMIFS(Summary!$H:$H,Summary!$C:$C,Financials!C257,Summary!$E:$E,Financials!E257,Summary!$D:$D,"avg",Summary!$F:$F,Financials!F257))</f>
        <v>4913140.1608508546</v>
      </c>
      <c r="AN257" s="20">
        <f>Summary!I257</f>
        <v>5683738.1836115625</v>
      </c>
      <c r="AP257" s="12">
        <f>FinancialWalk!AI9</f>
        <v>1</v>
      </c>
    </row>
    <row r="258" spans="1:42" x14ac:dyDescent="0.3">
      <c r="A258">
        <v>254</v>
      </c>
      <c r="B258" t="str">
        <f>Summary!B258</f>
        <v>MarinusPortland</v>
      </c>
      <c r="C258" t="str">
        <f>Summary!C258</f>
        <v>Wind</v>
      </c>
      <c r="D258" s="104">
        <f>Summary!D258</f>
        <v>0.05</v>
      </c>
      <c r="E258" t="str">
        <f>Summary!E258</f>
        <v>Cal-37</v>
      </c>
      <c r="F258" t="str">
        <f>Summary!F258</f>
        <v>2 Hour Battery</v>
      </c>
      <c r="G258" s="73">
        <f>SUMIFS(AL$5:AL258,$F$5:$F258,$F258,$D$5:$D258,$D258)</f>
        <v>-111286351.90908179</v>
      </c>
      <c r="H258" s="73">
        <f>SUMIFS(AM$5:AM258,$F$5:$F258,$F258,$D$5:$D258,$D258)</f>
        <v>115880579.3257257</v>
      </c>
      <c r="I258" s="20">
        <f>SUMIFS(AN$5:AN258,$F$5:$F258,$F258,$D$5:$D258,$D258)</f>
        <v>55083616.688560054</v>
      </c>
      <c r="J258" s="73">
        <f t="shared" si="48"/>
        <v>55083616.688560054</v>
      </c>
      <c r="K258" s="73">
        <f t="shared" si="49"/>
        <v>-56202735.220521733</v>
      </c>
      <c r="L258" s="73">
        <f t="shared" si="50"/>
        <v>59677844.105203971</v>
      </c>
      <c r="M258" s="73">
        <f>-SUMIFS(FinParameters!$E$8:$E$39,FinParameters!$B$8:$B$39,Financials!$E258,FinParameters!$C$8:$C$39,Financials!$F258)</f>
        <v>-17761536.777285002</v>
      </c>
      <c r="N258" s="73">
        <f>-SUMIFS(FinParameters!$F$8:$F$39,FinParameters!$B$8:$B$39,Financials!$E258,FinParameters!$C$8:$C$39,Financials!$F258)</f>
        <v>-73600000</v>
      </c>
      <c r="O258" s="73">
        <f>SUMIFS(FinParameters!$G$8:$G$39,FinParameters!$B$8:$B$39,Financials!$E258,FinParameters!$C$8:$C$39,Financials!$F258)</f>
        <v>2502285.8986119549</v>
      </c>
      <c r="P258" s="73">
        <f t="shared" si="51"/>
        <v>37322079.911275052</v>
      </c>
      <c r="Q258" s="73">
        <f>P258/SUMIFS(FinParameters!$H$8:$H$39,FinParameters!$B$8:$B$39,Financials!$E258,FinParameters!$C$8:$C$39,Financials!$F258)</f>
        <v>6331042.0643511275</v>
      </c>
      <c r="R258" s="73">
        <f t="shared" si="63"/>
        <v>-33775634.190112993</v>
      </c>
      <c r="S258" s="12">
        <f t="shared" si="52"/>
        <v>-0.47505935481902628</v>
      </c>
      <c r="T258" s="114">
        <f t="shared" si="53"/>
        <v>-111286351.90908179</v>
      </c>
      <c r="U258" s="73">
        <f>T258/SUMIFS(FinParameters!$L$8:$L$39,FinParameters!$B$8:$B$39,Financials!$E258,FinParameters!$C$8:$C$39,Financials!$F258)</f>
        <v>-73136840.394511402</v>
      </c>
      <c r="V258" s="73">
        <f t="shared" si="54"/>
        <v>-73136840.394511402</v>
      </c>
      <c r="W258" s="12"/>
      <c r="X258" s="73">
        <f t="shared" si="55"/>
        <v>-73964271.997806728</v>
      </c>
      <c r="Y258" s="73">
        <f t="shared" si="56"/>
        <v>-66805798.330160275</v>
      </c>
      <c r="Z258" s="73">
        <f t="shared" si="56"/>
        <v>-106912474.58462439</v>
      </c>
      <c r="AA258" s="12">
        <f t="shared" si="57"/>
        <v>-1.5037399716137587</v>
      </c>
      <c r="AB258" s="114">
        <f t="shared" si="58"/>
        <v>69528347.595435426</v>
      </c>
      <c r="AC258" s="73">
        <f>AB258/SUMIFS(FinParameters!$L$8:$L$39,FinParameters!$B$8:$B$39,Financials!$E258,FinParameters!$C$8:$C$39,Financials!$F258)</f>
        <v>45693686.366283804</v>
      </c>
      <c r="AD258" s="73">
        <f t="shared" si="59"/>
        <v>45693686.366283804</v>
      </c>
      <c r="AE258" s="12"/>
      <c r="AF258" s="73">
        <f t="shared" si="60"/>
        <v>-4435924.4023713022</v>
      </c>
      <c r="AG258" s="73">
        <f t="shared" si="61"/>
        <v>-21112111.963876471</v>
      </c>
      <c r="AH258" s="73">
        <f t="shared" si="61"/>
        <v>-61218788.218340591</v>
      </c>
      <c r="AI258" s="12">
        <f t="shared" si="62"/>
        <v>-0.86105142749090724</v>
      </c>
      <c r="AL258" s="73">
        <f>Summary!G258</f>
        <v>-11575567.245011112</v>
      </c>
      <c r="AM258" s="73">
        <f>IF(D258&lt;&gt;"avg",SUMIFS(Summary!$H:$H,Summary!$C:$C,Financials!C258,Summary!$E:$E,Financials!E258,Summary!$D:$D,1-Financials!D258,Summary!$F:$F,Financials!F258),SUMIFS(Summary!$H:$H,Summary!$C:$C,Financials!C258,Summary!$E:$E,Financials!E258,Summary!$D:$D,"avg",Summary!$F:$F,Financials!F258))</f>
        <v>13037941.356885795</v>
      </c>
      <c r="AN258" s="20">
        <f>Summary!I258</f>
        <v>3819029.0662965304</v>
      </c>
      <c r="AP258" s="12">
        <f>FinancialWalk!AI10</f>
        <v>0.6</v>
      </c>
    </row>
    <row r="259" spans="1:42" x14ac:dyDescent="0.3">
      <c r="A259">
        <v>255</v>
      </c>
      <c r="B259" t="str">
        <f>Summary!B258</f>
        <v>MarinusPortland</v>
      </c>
      <c r="C259" t="str">
        <f>Summary!C258</f>
        <v>Wind</v>
      </c>
      <c r="D259" s="104">
        <f>Summary!D259</f>
        <v>0</v>
      </c>
      <c r="E259" t="str">
        <f>Summary!E258</f>
        <v>Cal-37</v>
      </c>
      <c r="F259" t="str">
        <f>Summary!F258</f>
        <v>2 Hour Battery</v>
      </c>
      <c r="G259" s="73">
        <f>SUMIFS(AL$5:AL259,$F$5:$F259,$F259,$D$5:$D259,$D259)</f>
        <v>-182263090.86128739</v>
      </c>
      <c r="H259" s="73">
        <f>SUMIFS(AM$5:AM259,$F$5:$F259,$F259,$D$5:$D259,$D259)</f>
        <v>239187180.14478371</v>
      </c>
      <c r="I259" s="20">
        <f>SUMIFS(AN$5:AN259,$F$5:$F259,$F259,$D$5:$D259,$D259)</f>
        <v>33528988.638515446</v>
      </c>
      <c r="J259" s="73">
        <f t="shared" si="48"/>
        <v>33528988.638515446</v>
      </c>
      <c r="K259" s="73">
        <f t="shared" si="49"/>
        <v>-148734102.22277194</v>
      </c>
      <c r="L259" s="73">
        <f t="shared" si="50"/>
        <v>90453077.922011763</v>
      </c>
      <c r="M259" s="73">
        <f>-SUMIFS(FinParameters!$E$8:$E$39,FinParameters!$B$8:$B$39,Financials!$E259,FinParameters!$C$8:$C$39,Financials!$F259)</f>
        <v>-17761536.777285002</v>
      </c>
      <c r="N259" s="73">
        <f>-SUMIFS(FinParameters!$F$8:$F$39,FinParameters!$B$8:$B$39,Financials!$E259,FinParameters!$C$8:$C$39,Financials!$F259)</f>
        <v>-73600000</v>
      </c>
      <c r="O259" s="73">
        <f>SUMIFS(FinParameters!$G$8:$G$39,FinParameters!$B$8:$B$39,Financials!$E259,FinParameters!$C$8:$C$39,Financials!$F259)</f>
        <v>2502285.8986119549</v>
      </c>
      <c r="P259" s="73">
        <f t="shared" si="51"/>
        <v>15767451.861230444</v>
      </c>
      <c r="Q259" s="73">
        <f>P259/SUMIFS(FinParameters!$H$8:$H$39,FinParameters!$B$8:$B$39,Financials!$E259,FinParameters!$C$8:$C$39,Financials!$F259)</f>
        <v>2674674.1129752612</v>
      </c>
      <c r="R259" s="73">
        <f t="shared" si="63"/>
        <v>-55330262.240157597</v>
      </c>
      <c r="S259" s="12">
        <f t="shared" si="52"/>
        <v>-0.77822842744640897</v>
      </c>
      <c r="T259" s="114">
        <f t="shared" si="53"/>
        <v>-182263090.86128739</v>
      </c>
      <c r="U259" s="73">
        <f>T259/SUMIFS(FinParameters!$L$8:$L$39,FinParameters!$B$8:$B$39,Financials!$E259,FinParameters!$C$8:$C$39,Financials!$F259)</f>
        <v>-119782402.40117411</v>
      </c>
      <c r="V259" s="73">
        <f t="shared" si="54"/>
        <v>-119782402.40117411</v>
      </c>
      <c r="W259" s="12"/>
      <c r="X259" s="73">
        <f t="shared" si="55"/>
        <v>-166495639.00005695</v>
      </c>
      <c r="Y259" s="73">
        <f t="shared" si="56"/>
        <v>-117107728.28819886</v>
      </c>
      <c r="Z259" s="73">
        <f t="shared" si="56"/>
        <v>-175112664.6413317</v>
      </c>
      <c r="AA259" s="12">
        <f t="shared" si="57"/>
        <v>-2.4629858618466183</v>
      </c>
      <c r="AB259" s="114">
        <f t="shared" si="58"/>
        <v>95674872.057913482</v>
      </c>
      <c r="AC259" s="73">
        <f>AB259/SUMIFS(FinParameters!$L$8:$L$39,FinParameters!$B$8:$B$39,Financials!$E259,FinParameters!$C$8:$C$39,Financials!$F259)</f>
        <v>62877053.002704114</v>
      </c>
      <c r="AD259" s="73">
        <f t="shared" si="59"/>
        <v>62877053.002704114</v>
      </c>
      <c r="AE259" s="12"/>
      <c r="AF259" s="73">
        <f t="shared" si="60"/>
        <v>-70820766.94214347</v>
      </c>
      <c r="AG259" s="73">
        <f t="shared" si="61"/>
        <v>-54230675.285494745</v>
      </c>
      <c r="AH259" s="73">
        <f t="shared" si="61"/>
        <v>-112235611.63862759</v>
      </c>
      <c r="AI259" s="12">
        <f t="shared" si="62"/>
        <v>-1.5786106917386307</v>
      </c>
      <c r="AL259" s="73">
        <f>Summary!G258</f>
        <v>-11575567.245011112</v>
      </c>
      <c r="AM259" s="73">
        <f>IF(D259&lt;&gt;"avg",SUMIFS(Summary!$H:$H,Summary!$C:$C,Financials!C259,Summary!$E:$E,Financials!E259,Summary!$D:$D,1-Financials!D259,Summary!$F:$F,Financials!F259),SUMIFS(Summary!$H:$H,Summary!$C:$C,Financials!C259,Summary!$E:$E,Financials!E259,Summary!$D:$D,"avg",Summary!$F:$F,Financials!F259))</f>
        <v>27292855.414072435</v>
      </c>
      <c r="AN259" s="20">
        <f>Summary!I258</f>
        <v>3819029.0662965304</v>
      </c>
      <c r="AP259" s="12">
        <f>FinancialWalk!AI11</f>
        <v>0.4</v>
      </c>
    </row>
    <row r="260" spans="1:42" x14ac:dyDescent="0.3">
      <c r="A260">
        <v>256</v>
      </c>
      <c r="B260" t="str">
        <f>Summary!B260</f>
        <v>MarinusPortland</v>
      </c>
      <c r="C260" t="str">
        <f>Summary!C260</f>
        <v>Wind</v>
      </c>
      <c r="D260" s="104" t="str">
        <f>Summary!D260</f>
        <v>avg</v>
      </c>
      <c r="E260" t="str">
        <f>Summary!E260</f>
        <v>Cal-37</v>
      </c>
      <c r="F260" t="str">
        <f>Summary!F260</f>
        <v>2 Hour Battery</v>
      </c>
      <c r="G260" s="73">
        <f>SUMIFS(AL$5:AL260,$F$5:$F260,$F260,$D$5:$D260,$D260)</f>
        <v>11037424.57916015</v>
      </c>
      <c r="H260" s="73">
        <f>SUMIFS(AM$5:AM260,$F$5:$F260,$F260,$D$5:$D260,$D260)</f>
        <v>-361032.20026680978</v>
      </c>
      <c r="I260" s="20">
        <f>SUMIFS(AN$5:AN260,$F$5:$F260,$F260,$D$5:$D260,$D260)</f>
        <v>87683742.677955166</v>
      </c>
      <c r="J260" s="73">
        <f t="shared" si="48"/>
        <v>87683742.677955166</v>
      </c>
      <c r="K260" s="73">
        <f t="shared" si="49"/>
        <v>98721167.257115319</v>
      </c>
      <c r="L260" s="73">
        <f t="shared" si="50"/>
        <v>98360135.056848511</v>
      </c>
      <c r="M260" s="73">
        <f>-SUMIFS(FinParameters!$E$8:$E$39,FinParameters!$B$8:$B$39,Financials!$E260,FinParameters!$C$8:$C$39,Financials!$F260)</f>
        <v>-17761536.777285002</v>
      </c>
      <c r="N260" s="73">
        <f>-SUMIFS(FinParameters!$F$8:$F$39,FinParameters!$B$8:$B$39,Financials!$E260,FinParameters!$C$8:$C$39,Financials!$F260)</f>
        <v>-73600000</v>
      </c>
      <c r="O260" s="73">
        <f>SUMIFS(FinParameters!$G$8:$G$39,FinParameters!$B$8:$B$39,Financials!$E260,FinParameters!$C$8:$C$39,Financials!$F260)</f>
        <v>2502285.8986119549</v>
      </c>
      <c r="P260" s="73">
        <f t="shared" si="51"/>
        <v>69922205.900670171</v>
      </c>
      <c r="Q260" s="73">
        <f>P260/SUMIFS(FinParameters!$H$8:$H$39,FinParameters!$B$8:$B$39,Financials!$E260,FinParameters!$C$8:$C$39,Financials!$F260)</f>
        <v>11861086.730475305</v>
      </c>
      <c r="R260" s="73">
        <f t="shared" si="63"/>
        <v>-1175508.2007178743</v>
      </c>
      <c r="S260" s="12">
        <f t="shared" si="52"/>
        <v>-1.6533698946235527E-2</v>
      </c>
      <c r="T260" s="114">
        <f t="shared" si="53"/>
        <v>11037424.57916015</v>
      </c>
      <c r="U260" s="73">
        <f>T260/SUMIFS(FinParameters!$L$8:$L$39,FinParameters!$B$8:$B$39,Financials!$E260,FinParameters!$C$8:$C$39,Financials!$F260)</f>
        <v>7253740.8762575872</v>
      </c>
      <c r="V260" s="73">
        <f t="shared" si="54"/>
        <v>7253740.8762575872</v>
      </c>
      <c r="W260" s="12"/>
      <c r="X260" s="73">
        <f t="shared" si="55"/>
        <v>80959630.479830325</v>
      </c>
      <c r="Y260" s="73">
        <f t="shared" si="56"/>
        <v>19114827.60673289</v>
      </c>
      <c r="Z260" s="73">
        <f t="shared" si="56"/>
        <v>6078232.6755397134</v>
      </c>
      <c r="AA260" s="12">
        <f t="shared" si="57"/>
        <v>8.5491253162822106E-2</v>
      </c>
      <c r="AB260" s="114">
        <f t="shared" si="58"/>
        <v>-361032.20026680978</v>
      </c>
      <c r="AC260" s="73">
        <f>AB260/SUMIFS(FinParameters!$L$8:$L$39,FinParameters!$B$8:$B$39,Financials!$E260,FinParameters!$C$8:$C$39,Financials!$F260)</f>
        <v>-237268.57746010923</v>
      </c>
      <c r="AD260" s="73">
        <f t="shared" si="59"/>
        <v>-237268.57746010923</v>
      </c>
      <c r="AE260" s="12"/>
      <c r="AF260" s="73">
        <f t="shared" si="60"/>
        <v>80598598.279563516</v>
      </c>
      <c r="AG260" s="73">
        <f t="shared" si="61"/>
        <v>18877559.02927278</v>
      </c>
      <c r="AH260" s="73">
        <f t="shared" si="61"/>
        <v>5840964.0980796041</v>
      </c>
      <c r="AI260" s="12">
        <f t="shared" si="62"/>
        <v>8.2154035075588591E-2</v>
      </c>
      <c r="AL260" s="73">
        <f>Summary!G260</f>
        <v>1027600.6476219398</v>
      </c>
      <c r="AM260" s="73">
        <f>IF(D260&lt;&gt;"avg",SUMIFS(Summary!$H:$H,Summary!$C:$C,Financials!C260,Summary!$E:$E,Financials!E260,Summary!$D:$D,1-Financials!D260,Summary!$F:$F,Financials!F260),SUMIFS(Summary!$H:$H,Summary!$C:$C,Financials!C260,Summary!$E:$E,Financials!E260,Summary!$D:$D,"avg",Summary!$F:$F,Financials!F260))</f>
        <v>598851.37603770511</v>
      </c>
      <c r="AN260" s="20">
        <f>Summary!I260</f>
        <v>6698191.7390067885</v>
      </c>
      <c r="AP260" s="12">
        <f>FinancialWalk!AI12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02339-21F0-49E0-9F99-9E291567AFAD}">
  <dimension ref="A2:AI656"/>
  <sheetViews>
    <sheetView topLeftCell="T1" workbookViewId="0">
      <selection activeCell="AI12" sqref="AI12"/>
    </sheetView>
  </sheetViews>
  <sheetFormatPr defaultRowHeight="15.05" x14ac:dyDescent="0.3"/>
  <cols>
    <col min="3" max="3" width="16.33203125" bestFit="1" customWidth="1"/>
    <col min="6" max="6" width="14.6640625" bestFit="1" customWidth="1"/>
    <col min="7" max="7" width="41.21875" bestFit="1" customWidth="1"/>
    <col min="8" max="8" width="14.88671875" bestFit="1" customWidth="1"/>
    <col min="16" max="16" width="45" bestFit="1" customWidth="1"/>
    <col min="21" max="21" width="15.88671875" bestFit="1" customWidth="1"/>
    <col min="22" max="22" width="14.44140625" customWidth="1"/>
    <col min="23" max="23" width="15.44140625" bestFit="1" customWidth="1"/>
    <col min="24" max="24" width="12.44140625" customWidth="1"/>
    <col min="25" max="25" width="15.44140625" bestFit="1" customWidth="1"/>
    <col min="28" max="30" width="15.44140625" bestFit="1" customWidth="1"/>
    <col min="31" max="31" width="12.44140625" customWidth="1"/>
    <col min="32" max="32" width="15.44140625" bestFit="1" customWidth="1"/>
    <col min="34" max="34" width="11.44140625" customWidth="1"/>
    <col min="35" max="35" width="11.6640625" customWidth="1"/>
  </cols>
  <sheetData>
    <row r="2" spans="2:35" x14ac:dyDescent="0.3">
      <c r="B2" s="1" t="str">
        <f>Summary!B2</f>
        <v>MarinusPortland</v>
      </c>
      <c r="V2" s="121">
        <f>PPAcfd!E20</f>
        <v>458693.51980000001</v>
      </c>
      <c r="X2" s="106">
        <f>SwapSold!C15</f>
        <v>35</v>
      </c>
      <c r="Y2" s="122" t="str">
        <f>IF(AND(Y5&gt;Y6,Y6&gt;Y7,Y7&gt;Y8,Y8&gt;Y9,Y9&gt;Y10,Y10&gt;Y11),"Okay","Fix")</f>
        <v>Okay</v>
      </c>
      <c r="AF2" s="122" t="str">
        <f>IF(AND(AF5&gt;AF6,AF6&gt;AF7,AF7&gt;AF8,AF8&gt;AF9,AF9&gt;AF10,AF10&gt;AF11),"Okay","Fix")</f>
        <v>Okay</v>
      </c>
    </row>
    <row r="4" spans="2:35" ht="45.2" x14ac:dyDescent="0.3">
      <c r="B4" s="115" t="s">
        <v>58</v>
      </c>
      <c r="C4" s="115" t="s">
        <v>59</v>
      </c>
      <c r="D4" s="115" t="s">
        <v>0</v>
      </c>
      <c r="E4" s="115" t="s">
        <v>20</v>
      </c>
      <c r="F4" s="115" t="s">
        <v>60</v>
      </c>
      <c r="G4" s="115" t="s">
        <v>21</v>
      </c>
      <c r="H4" s="115" t="s">
        <v>22</v>
      </c>
      <c r="K4" s="115" t="s">
        <v>66</v>
      </c>
      <c r="L4" s="115" t="s">
        <v>65</v>
      </c>
      <c r="P4" s="115" t="s">
        <v>21</v>
      </c>
      <c r="Q4" s="115" t="s">
        <v>65</v>
      </c>
      <c r="T4" s="90" t="s">
        <v>34</v>
      </c>
      <c r="U4" s="90" t="str">
        <f>$P$16</f>
        <v>Merchant NPV</v>
      </c>
      <c r="V4" s="90" t="s">
        <v>134</v>
      </c>
      <c r="W4" s="90" t="str">
        <f>$P$24</f>
        <v>Merchant with PPA NPV</v>
      </c>
      <c r="X4" s="90" t="s">
        <v>139</v>
      </c>
      <c r="Y4" s="90" t="str">
        <f>$P$32</f>
        <v>Merchant with PPA and Sold Swap NPV</v>
      </c>
      <c r="AA4" s="116" t="s">
        <v>44</v>
      </c>
      <c r="AB4" s="116" t="str">
        <f>$P$16</f>
        <v>Merchant NPV</v>
      </c>
      <c r="AC4" s="90" t="s">
        <v>134</v>
      </c>
      <c r="AD4" s="90" t="str">
        <f>$P$24</f>
        <v>Merchant with PPA NPV</v>
      </c>
      <c r="AE4" s="90" t="s">
        <v>139</v>
      </c>
      <c r="AF4" s="116" t="str">
        <f>$P$32</f>
        <v>Merchant with PPA and Sold Swap NPV</v>
      </c>
      <c r="AH4" s="90" t="s">
        <v>145</v>
      </c>
      <c r="AI4" s="116" t="s">
        <v>146</v>
      </c>
    </row>
    <row r="5" spans="2:35" x14ac:dyDescent="0.3">
      <c r="B5" t="str">
        <f>$B$2</f>
        <v>MarinusPortland</v>
      </c>
      <c r="C5" t="s">
        <v>64</v>
      </c>
      <c r="D5">
        <v>1</v>
      </c>
      <c r="E5" t="s">
        <v>18</v>
      </c>
      <c r="F5" t="s">
        <v>34</v>
      </c>
      <c r="G5" s="105" t="s">
        <v>119</v>
      </c>
      <c r="H5" s="20" cm="1">
        <f t="array" ref="H5">INDEX(Financials!$B$5:$AI$260,FinancialWalk!K5,FinancialWalk!L5)</f>
        <v>34489475.448126972</v>
      </c>
      <c r="K5">
        <f>SUMIFS(Financials!$A$5:$A$260,Financials!$D$5:$D$260,FinancialWalk!D5,Financials!$E$5:$E$260,FinancialWalk!E5,Financials!$F$5:$F$260,FinancialWalk!F5)</f>
        <v>121</v>
      </c>
      <c r="L5">
        <f t="shared" ref="L5:L68" si="0">VLOOKUP(G5,$P$5:$Q$33,2,FALSE)</f>
        <v>16</v>
      </c>
      <c r="P5" s="105" t="s">
        <v>61</v>
      </c>
      <c r="Q5">
        <f>Financials!G3</f>
        <v>6</v>
      </c>
      <c r="T5" s="3">
        <v>1</v>
      </c>
      <c r="U5" s="20">
        <f>AVERAGEIFS($H$5:$H$576,$D$5:$D$576,$T5,$G$5:$G$576,U$4,$F$5:$F$576,$T$4)</f>
        <v>105111641.18370737</v>
      </c>
      <c r="V5" s="20">
        <f t="shared" ref="V5:Y5" si="1">AVERAGEIFS($H$5:$H$576,$D$5:$D$576,$T5,$G$5:$G$576,V$4,$F$5:$F$576,$T$4)</f>
        <v>206325010.05516896</v>
      </c>
      <c r="W5" s="20">
        <f t="shared" si="1"/>
        <v>311436651.23887634</v>
      </c>
      <c r="X5" s="20">
        <f t="shared" si="1"/>
        <v>-177005727.9519234</v>
      </c>
      <c r="Y5" s="20">
        <f t="shared" si="1"/>
        <v>134430923.28695294</v>
      </c>
      <c r="AA5" s="3">
        <v>1</v>
      </c>
      <c r="AB5" s="20">
        <f>AVERAGEIFS($H$5:$H$576,$D$5:$D$576,$AA5,$G$5:$G$576,AB$4,$F$5:$F$576,$AA$4)</f>
        <v>81976795.309790716</v>
      </c>
      <c r="AC5" s="20">
        <f t="shared" ref="AC5:AF5" si="2">AVERAGEIFS($H$5:$H$576,$D$5:$D$576,$AA5,$G$5:$G$576,AC$4,$F$5:$F$576,$AA$4)</f>
        <v>206325010.05516896</v>
      </c>
      <c r="AD5" s="20">
        <f t="shared" si="2"/>
        <v>288301805.36495966</v>
      </c>
      <c r="AE5" s="20">
        <f t="shared" si="2"/>
        <v>-177005727.9519234</v>
      </c>
      <c r="AF5" s="20">
        <f t="shared" si="2"/>
        <v>111296077.41303626</v>
      </c>
      <c r="AH5" s="123">
        <v>1</v>
      </c>
      <c r="AI5" s="12">
        <v>1</v>
      </c>
    </row>
    <row r="6" spans="2:35" x14ac:dyDescent="0.3">
      <c r="B6" t="str">
        <f>B5</f>
        <v>MarinusPortland</v>
      </c>
      <c r="C6" t="s">
        <v>64</v>
      </c>
      <c r="D6">
        <v>0.95</v>
      </c>
      <c r="E6" t="str">
        <f>E5</f>
        <v>Cal-37</v>
      </c>
      <c r="F6" t="s">
        <v>34</v>
      </c>
      <c r="G6" s="105" t="s">
        <v>119</v>
      </c>
      <c r="H6" s="20" cm="1">
        <f t="array" ref="H6">INDEX(Financials!$B$5:$AI$260,FinancialWalk!K6,FinancialWalk!L6)</f>
        <v>21780793.46060906</v>
      </c>
      <c r="K6">
        <f>SUMIFS(Financials!$A$5:$A$260,Financials!$D$5:$D$260,FinancialWalk!D6,Financials!$E$5:$E$260,FinancialWalk!E6,Financials!$F$5:$F$260,FinancialWalk!F6)</f>
        <v>122</v>
      </c>
      <c r="L6">
        <f t="shared" si="0"/>
        <v>16</v>
      </c>
      <c r="P6" s="105" t="s">
        <v>113</v>
      </c>
      <c r="Q6">
        <f>Q5+1</f>
        <v>7</v>
      </c>
      <c r="T6" s="3">
        <v>0.95</v>
      </c>
      <c r="U6" s="20">
        <f t="shared" ref="U6:Y12" si="3">AVERAGEIFS($H$5:$H$576,$D$5:$D$576,$T6,$G$5:$G$576,U$4,$F$5:$F$576,$T$4)</f>
        <v>40875985.716373011</v>
      </c>
      <c r="V6" s="20">
        <f t="shared" si="3"/>
        <v>96129780.673750639</v>
      </c>
      <c r="W6" s="20">
        <f t="shared" si="3"/>
        <v>137005766.39012367</v>
      </c>
      <c r="X6" s="20">
        <f t="shared" si="3"/>
        <v>-76246170.356692344</v>
      </c>
      <c r="Y6" s="20">
        <f t="shared" si="3"/>
        <v>60759596.033431321</v>
      </c>
      <c r="AA6" s="3">
        <v>0.95</v>
      </c>
      <c r="AB6" s="20">
        <f t="shared" ref="AB6:AF12" si="4">AVERAGEIFS($H$5:$H$576,$D$5:$D$576,$AA6,$G$5:$G$576,AB$4,$F$5:$F$576,$AA$4)</f>
        <v>32122947.567321528</v>
      </c>
      <c r="AC6" s="20">
        <f t="shared" si="4"/>
        <v>96129780.673750639</v>
      </c>
      <c r="AD6" s="20">
        <f t="shared" si="4"/>
        <v>128252728.24107218</v>
      </c>
      <c r="AE6" s="20">
        <f t="shared" si="4"/>
        <v>-76246170.356692344</v>
      </c>
      <c r="AF6" s="20">
        <f t="shared" si="4"/>
        <v>52006557.884379834</v>
      </c>
      <c r="AH6" s="123">
        <v>1</v>
      </c>
      <c r="AI6" s="12">
        <v>1</v>
      </c>
    </row>
    <row r="7" spans="2:35" x14ac:dyDescent="0.3">
      <c r="B7" t="str">
        <f t="shared" ref="B7:B26" si="5">B6</f>
        <v>MarinusPortland</v>
      </c>
      <c r="C7" t="s">
        <v>64</v>
      </c>
      <c r="D7">
        <v>0.95</v>
      </c>
      <c r="E7" t="str">
        <f t="shared" ref="E7:E26" si="6">E6</f>
        <v>Cal-37</v>
      </c>
      <c r="F7" t="s">
        <v>34</v>
      </c>
      <c r="G7" s="105" t="s">
        <v>119</v>
      </c>
      <c r="H7" s="20" cm="1">
        <f t="array" ref="H7">INDEX(Financials!$B$5:$AI$260,FinancialWalk!K7,FinancialWalk!L7)</f>
        <v>21780793.46060906</v>
      </c>
      <c r="K7">
        <f>SUMIFS(Financials!$A$5:$A$260,Financials!$D$5:$D$260,FinancialWalk!D7,Financials!$E$5:$E$260,FinancialWalk!E7,Financials!$F$5:$F$260,FinancialWalk!F7)</f>
        <v>122</v>
      </c>
      <c r="L7">
        <f t="shared" si="0"/>
        <v>16</v>
      </c>
      <c r="P7" s="105" t="s">
        <v>63</v>
      </c>
      <c r="Q7">
        <f t="shared" ref="Q7:Q33" si="7">Q6+1</f>
        <v>8</v>
      </c>
      <c r="T7" s="3">
        <v>0.75</v>
      </c>
      <c r="U7" s="20">
        <f t="shared" si="3"/>
        <v>14303798.675663728</v>
      </c>
      <c r="V7" s="20">
        <f t="shared" si="3"/>
        <v>42413583.526129827</v>
      </c>
      <c r="W7" s="20">
        <f t="shared" si="3"/>
        <v>56717382.201793551</v>
      </c>
      <c r="X7" s="20">
        <f t="shared" si="3"/>
        <v>-31753682.67183445</v>
      </c>
      <c r="Y7" s="20">
        <f t="shared" si="3"/>
        <v>24963699.529959101</v>
      </c>
      <c r="AA7" s="3">
        <v>0.75</v>
      </c>
      <c r="AB7" s="20">
        <f t="shared" si="4"/>
        <v>12854685.292024098</v>
      </c>
      <c r="AC7" s="20">
        <f t="shared" si="4"/>
        <v>42413583.526129827</v>
      </c>
      <c r="AD7" s="20">
        <f t="shared" si="4"/>
        <v>55268268.818153925</v>
      </c>
      <c r="AE7" s="20">
        <f t="shared" si="4"/>
        <v>-31753682.67183445</v>
      </c>
      <c r="AF7" s="20">
        <f t="shared" si="4"/>
        <v>23514586.146319475</v>
      </c>
      <c r="AH7" s="123">
        <v>1</v>
      </c>
      <c r="AI7" s="12">
        <v>1</v>
      </c>
    </row>
    <row r="8" spans="2:35" x14ac:dyDescent="0.3">
      <c r="B8" t="str">
        <f t="shared" si="5"/>
        <v>MarinusPortland</v>
      </c>
      <c r="C8" t="s">
        <v>64</v>
      </c>
      <c r="D8">
        <v>0.95</v>
      </c>
      <c r="E8" t="str">
        <f t="shared" si="6"/>
        <v>Cal-37</v>
      </c>
      <c r="F8" t="s">
        <v>34</v>
      </c>
      <c r="G8" s="105" t="s">
        <v>119</v>
      </c>
      <c r="H8" s="20" cm="1">
        <f t="array" ref="H8">INDEX(Financials!$B$5:$AI$260,FinancialWalk!K8,FinancialWalk!L8)</f>
        <v>21780793.46060906</v>
      </c>
      <c r="K8">
        <f>SUMIFS(Financials!$A$5:$A$260,Financials!$D$5:$D$260,FinancialWalk!D8,Financials!$E$5:$E$260,FinancialWalk!E8,Financials!$F$5:$F$260,FinancialWalk!F8)</f>
        <v>122</v>
      </c>
      <c r="L8">
        <f t="shared" si="0"/>
        <v>16</v>
      </c>
      <c r="P8" s="105" t="s">
        <v>114</v>
      </c>
      <c r="Q8">
        <f t="shared" si="7"/>
        <v>9</v>
      </c>
      <c r="T8" s="3">
        <v>0.5</v>
      </c>
      <c r="U8" s="20">
        <f t="shared" si="3"/>
        <v>-1700959.9468414448</v>
      </c>
      <c r="V8" s="20">
        <f t="shared" si="3"/>
        <v>4401584.6845321357</v>
      </c>
      <c r="W8" s="20">
        <f t="shared" si="3"/>
        <v>2700624.7376906909</v>
      </c>
      <c r="X8" s="20">
        <f t="shared" si="3"/>
        <v>-345552.08027942281</v>
      </c>
      <c r="Y8" s="20">
        <f t="shared" si="3"/>
        <v>2355072.657411268</v>
      </c>
      <c r="AA8" s="3">
        <v>0.5</v>
      </c>
      <c r="AB8" s="20">
        <f t="shared" si="4"/>
        <v>-889375.73065171426</v>
      </c>
      <c r="AC8" s="20">
        <f t="shared" si="4"/>
        <v>4401584.6845321357</v>
      </c>
      <c r="AD8" s="20">
        <f t="shared" si="4"/>
        <v>3512208.9538804209</v>
      </c>
      <c r="AE8" s="20">
        <f t="shared" si="4"/>
        <v>-345552.08027942281</v>
      </c>
      <c r="AF8" s="20">
        <f t="shared" si="4"/>
        <v>3166656.8736009984</v>
      </c>
      <c r="AH8" s="123">
        <v>1</v>
      </c>
      <c r="AI8" s="12">
        <v>1</v>
      </c>
    </row>
    <row r="9" spans="2:35" x14ac:dyDescent="0.3">
      <c r="B9" t="str">
        <f t="shared" si="5"/>
        <v>MarinusPortland</v>
      </c>
      <c r="C9" t="s">
        <v>64</v>
      </c>
      <c r="D9">
        <v>0.75</v>
      </c>
      <c r="E9" t="str">
        <f t="shared" si="6"/>
        <v>Cal-37</v>
      </c>
      <c r="F9" t="s">
        <v>34</v>
      </c>
      <c r="G9" s="105" t="s">
        <v>119</v>
      </c>
      <c r="H9" s="20" cm="1">
        <f t="array" ref="H9">INDEX(Financials!$B$5:$AI$260,FinancialWalk!K9,FinancialWalk!L9)</f>
        <v>16523627.913587471</v>
      </c>
      <c r="K9">
        <f>SUMIFS(Financials!$A$5:$A$260,Financials!$D$5:$D$260,FinancialWalk!D9,Financials!$E$5:$E$260,FinancialWalk!E9,Financials!$F$5:$F$260,FinancialWalk!F9)</f>
        <v>123</v>
      </c>
      <c r="L9">
        <f t="shared" si="0"/>
        <v>16</v>
      </c>
      <c r="P9" s="105" t="s">
        <v>115</v>
      </c>
      <c r="Q9">
        <f t="shared" si="7"/>
        <v>10</v>
      </c>
      <c r="T9" s="3">
        <v>0.25</v>
      </c>
      <c r="U9" s="20">
        <f t="shared" si="3"/>
        <v>-17260555.353741746</v>
      </c>
      <c r="V9" s="20">
        <f t="shared" si="3"/>
        <v>-30248803.945498239</v>
      </c>
      <c r="W9" s="20">
        <f t="shared" si="3"/>
        <v>-47509359.299239986</v>
      </c>
      <c r="X9" s="20">
        <f t="shared" si="3"/>
        <v>31310730.015753746</v>
      </c>
      <c r="Y9" s="20">
        <f t="shared" si="3"/>
        <v>-16198629.28348624</v>
      </c>
      <c r="AA9" s="3">
        <v>0.25</v>
      </c>
      <c r="AB9" s="20">
        <f t="shared" si="4"/>
        <v>-15337416.882411242</v>
      </c>
      <c r="AC9" s="20">
        <f t="shared" si="4"/>
        <v>-30248803.945498239</v>
      </c>
      <c r="AD9" s="20">
        <f t="shared" si="4"/>
        <v>-45586220.827909485</v>
      </c>
      <c r="AE9" s="20">
        <f t="shared" si="4"/>
        <v>31310730.015753746</v>
      </c>
      <c r="AF9" s="20">
        <f t="shared" si="4"/>
        <v>-14275490.812155738</v>
      </c>
      <c r="AH9" s="123">
        <v>1</v>
      </c>
      <c r="AI9" s="12">
        <v>1</v>
      </c>
    </row>
    <row r="10" spans="2:35" x14ac:dyDescent="0.3">
      <c r="B10" t="str">
        <f t="shared" si="5"/>
        <v>MarinusPortland</v>
      </c>
      <c r="C10" t="s">
        <v>64</v>
      </c>
      <c r="D10">
        <v>0.75</v>
      </c>
      <c r="E10" t="str">
        <f t="shared" si="6"/>
        <v>Cal-37</v>
      </c>
      <c r="F10" t="s">
        <v>34</v>
      </c>
      <c r="G10" s="105" t="s">
        <v>119</v>
      </c>
      <c r="H10" s="20" cm="1">
        <f t="array" ref="H10">INDEX(Financials!$B$5:$AI$260,FinancialWalk!K10,FinancialWalk!L10)</f>
        <v>16523627.913587471</v>
      </c>
      <c r="K10">
        <f>SUMIFS(Financials!$A$5:$A$260,Financials!$D$5:$D$260,FinancialWalk!D10,Financials!$E$5:$E$260,FinancialWalk!E10,Financials!$F$5:$F$260,FinancialWalk!F10)</f>
        <v>123</v>
      </c>
      <c r="L10">
        <f t="shared" si="0"/>
        <v>16</v>
      </c>
      <c r="P10" s="105" t="s">
        <v>116</v>
      </c>
      <c r="Q10">
        <f t="shared" si="7"/>
        <v>11</v>
      </c>
      <c r="T10" s="3">
        <v>0.05</v>
      </c>
      <c r="U10" s="20">
        <f t="shared" si="3"/>
        <v>-37749461.133728862</v>
      </c>
      <c r="V10" s="20">
        <f t="shared" si="3"/>
        <v>-73136840.394511402</v>
      </c>
      <c r="W10" s="20">
        <f t="shared" si="3"/>
        <v>-110886301.52824026</v>
      </c>
      <c r="X10" s="20">
        <f t="shared" si="3"/>
        <v>73871459.625492141</v>
      </c>
      <c r="Y10" s="20">
        <f t="shared" si="3"/>
        <v>-37014841.902748123</v>
      </c>
      <c r="AA10" s="3">
        <v>0.05</v>
      </c>
      <c r="AB10" s="20">
        <f t="shared" si="4"/>
        <v>-33775634.190112993</v>
      </c>
      <c r="AC10" s="20">
        <f t="shared" si="4"/>
        <v>-73136840.394511402</v>
      </c>
      <c r="AD10" s="20">
        <f t="shared" si="4"/>
        <v>-106912474.58462439</v>
      </c>
      <c r="AE10" s="20">
        <f t="shared" si="4"/>
        <v>45693686.366283804</v>
      </c>
      <c r="AF10" s="20">
        <f t="shared" si="4"/>
        <v>-61218788.218340598</v>
      </c>
      <c r="AH10" s="123">
        <v>0.97</v>
      </c>
      <c r="AI10" s="12">
        <v>0.6</v>
      </c>
    </row>
    <row r="11" spans="2:35" x14ac:dyDescent="0.3">
      <c r="B11" t="str">
        <f t="shared" si="5"/>
        <v>MarinusPortland</v>
      </c>
      <c r="C11" t="s">
        <v>64</v>
      </c>
      <c r="D11">
        <v>0.75</v>
      </c>
      <c r="E11" t="str">
        <f t="shared" si="6"/>
        <v>Cal-37</v>
      </c>
      <c r="F11" t="s">
        <v>34</v>
      </c>
      <c r="G11" s="105" t="s">
        <v>119</v>
      </c>
      <c r="H11" s="20" cm="1">
        <f t="array" ref="H11">INDEX(Financials!$B$5:$AI$260,FinancialWalk!K11,FinancialWalk!L11)</f>
        <v>16523627.913587471</v>
      </c>
      <c r="K11">
        <f>SUMIFS(Financials!$A$5:$A$260,Financials!$D$5:$D$260,FinancialWalk!D11,Financials!$E$5:$E$260,FinancialWalk!E11,Financials!$F$5:$F$260,FinancialWalk!F11)</f>
        <v>123</v>
      </c>
      <c r="L11">
        <f t="shared" si="0"/>
        <v>16</v>
      </c>
      <c r="P11" s="105" t="s">
        <v>107</v>
      </c>
      <c r="Q11">
        <f t="shared" si="7"/>
        <v>12</v>
      </c>
      <c r="T11" s="3">
        <v>0</v>
      </c>
      <c r="U11" s="20">
        <f t="shared" si="3"/>
        <v>-65717755.779421195</v>
      </c>
      <c r="V11" s="20">
        <f t="shared" si="3"/>
        <v>-124025021.89958903</v>
      </c>
      <c r="W11" s="20">
        <f t="shared" si="3"/>
        <v>-189742777.67901021</v>
      </c>
      <c r="X11" s="20">
        <f t="shared" si="3"/>
        <v>110034842.75473219</v>
      </c>
      <c r="Y11" s="20">
        <f t="shared" si="3"/>
        <v>-79707934.924278021</v>
      </c>
      <c r="AA11" s="3">
        <v>0</v>
      </c>
      <c r="AB11" s="20">
        <f t="shared" si="4"/>
        <v>-55330262.240157597</v>
      </c>
      <c r="AC11" s="20">
        <f t="shared" si="4"/>
        <v>-119782402.40117411</v>
      </c>
      <c r="AD11" s="20">
        <f t="shared" si="4"/>
        <v>-175112664.6413317</v>
      </c>
      <c r="AE11" s="20">
        <f t="shared" si="4"/>
        <v>62877053.002704114</v>
      </c>
      <c r="AF11" s="20">
        <f t="shared" si="4"/>
        <v>-112235611.63862759</v>
      </c>
      <c r="AH11" s="123">
        <v>0.7</v>
      </c>
      <c r="AI11" s="12">
        <v>0.4</v>
      </c>
    </row>
    <row r="12" spans="2:35" x14ac:dyDescent="0.3">
      <c r="B12" t="str">
        <f t="shared" si="5"/>
        <v>MarinusPortland</v>
      </c>
      <c r="C12" t="s">
        <v>64</v>
      </c>
      <c r="D12">
        <v>0.75</v>
      </c>
      <c r="E12" t="str">
        <f t="shared" si="6"/>
        <v>Cal-37</v>
      </c>
      <c r="F12" t="s">
        <v>34</v>
      </c>
      <c r="G12" s="105" t="s">
        <v>119</v>
      </c>
      <c r="H12" s="20" cm="1">
        <f t="array" ref="H12">INDEX(Financials!$B$5:$AI$260,FinancialWalk!K12,FinancialWalk!L12)</f>
        <v>16523627.913587471</v>
      </c>
      <c r="K12">
        <f>SUMIFS(Financials!$A$5:$A$260,Financials!$D$5:$D$260,FinancialWalk!D12,Financials!$E$5:$E$260,FinancialWalk!E12,Financials!$F$5:$F$260,FinancialWalk!F12)</f>
        <v>123</v>
      </c>
      <c r="L12">
        <f t="shared" si="0"/>
        <v>16</v>
      </c>
      <c r="P12" s="105" t="s">
        <v>83</v>
      </c>
      <c r="Q12">
        <f t="shared" si="7"/>
        <v>13</v>
      </c>
      <c r="T12" t="s">
        <v>24</v>
      </c>
      <c r="U12" s="20">
        <f t="shared" si="3"/>
        <v>-839599.03585351631</v>
      </c>
      <c r="V12" s="20">
        <f t="shared" si="3"/>
        <v>7253740.8762575872</v>
      </c>
      <c r="W12" s="20">
        <f t="shared" si="3"/>
        <v>6414141.8404040709</v>
      </c>
      <c r="X12" s="20">
        <f t="shared" si="3"/>
        <v>-237268.57746010923</v>
      </c>
      <c r="Y12" s="20">
        <f t="shared" si="3"/>
        <v>6176873.2629439617</v>
      </c>
      <c r="AA12" t="s">
        <v>24</v>
      </c>
      <c r="AB12" s="20">
        <f t="shared" si="4"/>
        <v>-1175508.2007178743</v>
      </c>
      <c r="AC12" s="20">
        <f t="shared" si="4"/>
        <v>7253740.8762575872</v>
      </c>
      <c r="AD12" s="20">
        <f t="shared" si="4"/>
        <v>6078232.6755397134</v>
      </c>
      <c r="AE12" s="20">
        <f t="shared" si="4"/>
        <v>-237268.57746010923</v>
      </c>
      <c r="AF12" s="20">
        <f t="shared" si="4"/>
        <v>5840964.0980796041</v>
      </c>
      <c r="AH12" s="123">
        <v>1</v>
      </c>
      <c r="AI12" s="12">
        <v>1</v>
      </c>
    </row>
    <row r="13" spans="2:35" x14ac:dyDescent="0.3">
      <c r="B13" t="str">
        <f t="shared" si="5"/>
        <v>MarinusPortland</v>
      </c>
      <c r="C13" t="s">
        <v>64</v>
      </c>
      <c r="D13">
        <v>0.5</v>
      </c>
      <c r="E13" t="str">
        <f t="shared" si="6"/>
        <v>Cal-37</v>
      </c>
      <c r="F13" t="s">
        <v>34</v>
      </c>
      <c r="G13" s="105" t="s">
        <v>119</v>
      </c>
      <c r="H13" s="20" cm="1">
        <f t="array" ref="H13">INDEX(Financials!$B$5:$AI$260,FinancialWalk!K13,FinancialWalk!L13)</f>
        <v>13357171.743091356</v>
      </c>
      <c r="K13">
        <f>SUMIFS(Financials!$A$5:$A$260,Financials!$D$5:$D$260,FinancialWalk!D13,Financials!$E$5:$E$260,FinancialWalk!E13,Financials!$F$5:$F$260,FinancialWalk!F13)</f>
        <v>124</v>
      </c>
      <c r="L13">
        <f t="shared" si="0"/>
        <v>16</v>
      </c>
      <c r="P13" s="105" t="s">
        <v>117</v>
      </c>
      <c r="Q13">
        <f t="shared" si="7"/>
        <v>14</v>
      </c>
    </row>
    <row r="14" spans="2:35" x14ac:dyDescent="0.3">
      <c r="B14" t="str">
        <f t="shared" si="5"/>
        <v>MarinusPortland</v>
      </c>
      <c r="C14" t="s">
        <v>64</v>
      </c>
      <c r="D14">
        <v>0.5</v>
      </c>
      <c r="E14" t="str">
        <f t="shared" si="6"/>
        <v>Cal-37</v>
      </c>
      <c r="F14" t="s">
        <v>34</v>
      </c>
      <c r="G14" s="105" t="s">
        <v>119</v>
      </c>
      <c r="H14" s="20" cm="1">
        <f t="array" ref="H14">INDEX(Financials!$B$5:$AI$260,FinancialWalk!K14,FinancialWalk!L14)</f>
        <v>13357171.743091356</v>
      </c>
      <c r="K14">
        <f>SUMIFS(Financials!$A$5:$A$260,Financials!$D$5:$D$260,FinancialWalk!D14,Financials!$E$5:$E$260,FinancialWalk!E14,Financials!$F$5:$F$260,FinancialWalk!F14)</f>
        <v>124</v>
      </c>
      <c r="L14">
        <f t="shared" si="0"/>
        <v>16</v>
      </c>
      <c r="P14" s="105" t="s">
        <v>118</v>
      </c>
      <c r="Q14">
        <f t="shared" si="7"/>
        <v>15</v>
      </c>
    </row>
    <row r="15" spans="2:35" ht="45.2" x14ac:dyDescent="0.3">
      <c r="B15" t="str">
        <f t="shared" si="5"/>
        <v>MarinusPortland</v>
      </c>
      <c r="C15" t="s">
        <v>64</v>
      </c>
      <c r="D15">
        <v>0.5</v>
      </c>
      <c r="E15" t="str">
        <f t="shared" si="6"/>
        <v>Cal-37</v>
      </c>
      <c r="F15" t="s">
        <v>34</v>
      </c>
      <c r="G15" s="105" t="s">
        <v>119</v>
      </c>
      <c r="H15" s="20" cm="1">
        <f t="array" ref="H15">INDEX(Financials!$B$5:$AI$260,FinancialWalk!K15,FinancialWalk!L15)</f>
        <v>13357171.743091356</v>
      </c>
      <c r="K15">
        <f>SUMIFS(Financials!$A$5:$A$260,Financials!$D$5:$D$260,FinancialWalk!D15,Financials!$E$5:$E$260,FinancialWalk!E15,Financials!$F$5:$F$260,FinancialWalk!F15)</f>
        <v>124</v>
      </c>
      <c r="L15">
        <f t="shared" si="0"/>
        <v>16</v>
      </c>
      <c r="P15" s="105" t="s">
        <v>119</v>
      </c>
      <c r="Q15">
        <f t="shared" si="7"/>
        <v>16</v>
      </c>
      <c r="T15" s="90" t="s">
        <v>34</v>
      </c>
      <c r="U15" s="90" t="str">
        <f>P17</f>
        <v>Merchant ROI</v>
      </c>
      <c r="V15" s="90" t="str">
        <f>P21</f>
        <v>PPA ROI</v>
      </c>
      <c r="W15" s="90" t="str">
        <f>P25</f>
        <v>Merchant with PPA ROI</v>
      </c>
      <c r="X15" s="90" t="str">
        <f>P29</f>
        <v>Sold Swap ROI</v>
      </c>
      <c r="Y15" s="90" t="str">
        <f>P33</f>
        <v>Merchant with PPA and Sold Swap ROI</v>
      </c>
      <c r="AA15" s="116" t="s">
        <v>44</v>
      </c>
      <c r="AB15" s="90" t="str">
        <f>U15</f>
        <v>Merchant ROI</v>
      </c>
      <c r="AC15" s="90" t="str">
        <f t="shared" ref="AC15:AF15" si="8">V15</f>
        <v>PPA ROI</v>
      </c>
      <c r="AD15" s="90" t="str">
        <f t="shared" si="8"/>
        <v>Merchant with PPA ROI</v>
      </c>
      <c r="AE15" s="90" t="str">
        <f t="shared" si="8"/>
        <v>Sold Swap ROI</v>
      </c>
      <c r="AF15" s="90" t="str">
        <f t="shared" si="8"/>
        <v>Merchant with PPA and Sold Swap ROI</v>
      </c>
    </row>
    <row r="16" spans="2:35" x14ac:dyDescent="0.3">
      <c r="B16" t="str">
        <f t="shared" si="5"/>
        <v>MarinusPortland</v>
      </c>
      <c r="C16" t="s">
        <v>64</v>
      </c>
      <c r="D16">
        <v>0.5</v>
      </c>
      <c r="E16" t="str">
        <f t="shared" si="6"/>
        <v>Cal-37</v>
      </c>
      <c r="F16" t="s">
        <v>34</v>
      </c>
      <c r="G16" s="105" t="s">
        <v>119</v>
      </c>
      <c r="H16" s="20" cm="1">
        <f t="array" ref="H16">INDEX(Financials!$B$5:$AI$260,FinancialWalk!K16,FinancialWalk!L16)</f>
        <v>13357171.743091356</v>
      </c>
      <c r="K16">
        <f>SUMIFS(Financials!$A$5:$A$260,Financials!$D$5:$D$260,FinancialWalk!D16,Financials!$E$5:$E$260,FinancialWalk!E16,Financials!$F$5:$F$260,FinancialWalk!F16)</f>
        <v>124</v>
      </c>
      <c r="L16">
        <f t="shared" si="0"/>
        <v>16</v>
      </c>
      <c r="P16" s="105" t="s">
        <v>120</v>
      </c>
      <c r="Q16">
        <f t="shared" si="7"/>
        <v>17</v>
      </c>
      <c r="T16" s="3">
        <v>1</v>
      </c>
      <c r="U16" s="14">
        <f>AVERAGEIFS($H$5:$H$576,$D$5:$D$576,$T16,$G$5:$G$576,U$15,$F$5:$F$576,$T$15)</f>
        <v>1.5186386069055269</v>
      </c>
      <c r="V16" s="14"/>
      <c r="W16" s="14">
        <f t="shared" ref="W16:Y16" si="9">AVERAGEIFS($H$5:$H$576,$D$5:$D$576,$T16,$G$5:$G$576,W$15,$F$5:$F$576,$T$15)</f>
        <v>4.499594115842231</v>
      </c>
      <c r="X16" s="14"/>
      <c r="Y16" s="14">
        <f t="shared" si="9"/>
        <v>1.9422395822810743</v>
      </c>
      <c r="AA16" s="3">
        <v>1</v>
      </c>
      <c r="AB16" s="14">
        <f>AVERAGEIFS($H$5:$H$576,$D$5:$D$576,$AA16,$G$5:$G$576,AB$15,$F$5:$F$576,$AA$15)</f>
        <v>1.1530159069937</v>
      </c>
      <c r="AC16" s="14"/>
      <c r="AD16" s="14">
        <f t="shared" ref="AD16:AF16" si="10">AVERAGEIFS($H$5:$H$576,$D$5:$D$576,$AA16,$G$5:$G$576,AD$15,$F$5:$F$576,$AA$15)</f>
        <v>4.0550080830141777</v>
      </c>
      <c r="AE16" s="14"/>
      <c r="AF16" s="14">
        <f t="shared" si="10"/>
        <v>1.5653960021038624</v>
      </c>
    </row>
    <row r="17" spans="2:32" x14ac:dyDescent="0.3">
      <c r="B17" t="str">
        <f t="shared" si="5"/>
        <v>MarinusPortland</v>
      </c>
      <c r="C17" t="s">
        <v>64</v>
      </c>
      <c r="D17">
        <v>0.5</v>
      </c>
      <c r="E17" t="str">
        <f t="shared" si="6"/>
        <v>Cal-37</v>
      </c>
      <c r="F17" t="s">
        <v>34</v>
      </c>
      <c r="G17" s="105" t="s">
        <v>119</v>
      </c>
      <c r="H17" s="20" cm="1">
        <f t="array" ref="H17">INDEX(Financials!$B$5:$AI$260,FinancialWalk!K17,FinancialWalk!L17)</f>
        <v>13357171.743091356</v>
      </c>
      <c r="K17">
        <f>SUMIFS(Financials!$A$5:$A$260,Financials!$D$5:$D$260,FinancialWalk!D17,Financials!$E$5:$E$260,FinancialWalk!E17,Financials!$F$5:$F$260,FinancialWalk!F17)</f>
        <v>124</v>
      </c>
      <c r="L17">
        <f t="shared" si="0"/>
        <v>16</v>
      </c>
      <c r="P17" s="105" t="s">
        <v>142</v>
      </c>
      <c r="Q17">
        <f t="shared" si="7"/>
        <v>18</v>
      </c>
      <c r="T17" s="3">
        <v>0.95</v>
      </c>
      <c r="U17" s="14">
        <f t="shared" ref="U17:Y22" si="11">AVERAGEIFS($H$5:$H$576,$D$5:$D$576,$T17,$G$5:$G$576,U$15,$F$5:$F$576,$T$15)</f>
        <v>0.5905706476003999</v>
      </c>
      <c r="V17" s="14"/>
      <c r="W17" s="14">
        <f t="shared" si="11"/>
        <v>1.9794405630588876</v>
      </c>
      <c r="X17" s="14"/>
      <c r="Y17" s="14">
        <f t="shared" si="11"/>
        <v>0.87784632831567988</v>
      </c>
      <c r="AA17" s="3">
        <v>0.95</v>
      </c>
      <c r="AB17" s="14">
        <f t="shared" ref="AB17:AF22" si="12">AVERAGEIFS($H$5:$H$576,$D$5:$D$576,$AA17,$G$5:$G$576,AB$15,$F$5:$F$576,$AA$15)</f>
        <v>0.45181406988012279</v>
      </c>
      <c r="AC17" s="14"/>
      <c r="AD17" s="14">
        <f t="shared" si="12"/>
        <v>1.8038938362797277</v>
      </c>
      <c r="AE17" s="14"/>
      <c r="AF17" s="14">
        <f t="shared" si="12"/>
        <v>0.73148002775752408</v>
      </c>
    </row>
    <row r="18" spans="2:32" x14ac:dyDescent="0.3">
      <c r="B18" t="str">
        <f t="shared" si="5"/>
        <v>MarinusPortland</v>
      </c>
      <c r="C18" t="s">
        <v>64</v>
      </c>
      <c r="D18">
        <v>0.25</v>
      </c>
      <c r="E18" t="str">
        <f t="shared" si="6"/>
        <v>Cal-37</v>
      </c>
      <c r="F18" t="s">
        <v>34</v>
      </c>
      <c r="G18" s="105" t="s">
        <v>119</v>
      </c>
      <c r="H18" s="20" cm="1">
        <f t="array" ref="H18">INDEX(Financials!$B$5:$AI$260,FinancialWalk!K18,FinancialWalk!L18)</f>
        <v>10278788.741593104</v>
      </c>
      <c r="K18">
        <f>SUMIFS(Financials!$A$5:$A$260,Financials!$D$5:$D$260,FinancialWalk!D18,Financials!$E$5:$E$260,FinancialWalk!E18,Financials!$F$5:$F$260,FinancialWalk!F18)</f>
        <v>125</v>
      </c>
      <c r="L18">
        <f t="shared" si="0"/>
        <v>16</v>
      </c>
      <c r="P18" s="105" t="s">
        <v>132</v>
      </c>
      <c r="Q18">
        <f t="shared" si="7"/>
        <v>19</v>
      </c>
      <c r="T18" s="3">
        <v>0.75</v>
      </c>
      <c r="U18" s="14">
        <f t="shared" si="11"/>
        <v>0.20665932573826187</v>
      </c>
      <c r="V18" s="14"/>
      <c r="W18" s="14">
        <f t="shared" si="11"/>
        <v>0.81944497606808364</v>
      </c>
      <c r="X18" s="14"/>
      <c r="Y18" s="14">
        <f t="shared" si="11"/>
        <v>0.36067211443428154</v>
      </c>
      <c r="AA18" s="3">
        <v>0.75</v>
      </c>
      <c r="AB18" s="14">
        <f t="shared" si="12"/>
        <v>0.18080307439551188</v>
      </c>
      <c r="AC18" s="14"/>
      <c r="AD18" s="14">
        <f t="shared" si="12"/>
        <v>0.77735648067867924</v>
      </c>
      <c r="AE18" s="14"/>
      <c r="AF18" s="14">
        <f t="shared" si="12"/>
        <v>0.33073617687323642</v>
      </c>
    </row>
    <row r="19" spans="2:32" x14ac:dyDescent="0.3">
      <c r="B19" t="str">
        <f t="shared" si="5"/>
        <v>MarinusPortland</v>
      </c>
      <c r="C19" t="s">
        <v>64</v>
      </c>
      <c r="D19">
        <v>0.25</v>
      </c>
      <c r="E19" t="str">
        <f t="shared" si="6"/>
        <v>Cal-37</v>
      </c>
      <c r="F19" t="s">
        <v>34</v>
      </c>
      <c r="G19" s="105" t="s">
        <v>119</v>
      </c>
      <c r="H19" s="20" cm="1">
        <f t="array" ref="H19">INDEX(Financials!$B$5:$AI$260,FinancialWalk!K19,FinancialWalk!L19)</f>
        <v>10278788.741593104</v>
      </c>
      <c r="K19">
        <f>SUMIFS(Financials!$A$5:$A$260,Financials!$D$5:$D$260,FinancialWalk!D19,Financials!$E$5:$E$260,FinancialWalk!E19,Financials!$F$5:$F$260,FinancialWalk!F19)</f>
        <v>125</v>
      </c>
      <c r="L19">
        <f t="shared" si="0"/>
        <v>16</v>
      </c>
      <c r="P19" s="105" t="s">
        <v>133</v>
      </c>
      <c r="Q19">
        <f t="shared" si="7"/>
        <v>20</v>
      </c>
      <c r="T19" s="3">
        <v>0.5</v>
      </c>
      <c r="U19" s="14">
        <f t="shared" si="11"/>
        <v>-2.4575236529308285E-2</v>
      </c>
      <c r="V19" s="14"/>
      <c r="W19" s="14">
        <f t="shared" si="11"/>
        <v>3.9018256619675964E-2</v>
      </c>
      <c r="X19" s="14"/>
      <c r="Y19" s="14">
        <f t="shared" si="11"/>
        <v>3.4025767453878496E-2</v>
      </c>
      <c r="AA19" s="3">
        <v>0.5</v>
      </c>
      <c r="AB19" s="14">
        <f t="shared" si="12"/>
        <v>-1.2509202889187557E-2</v>
      </c>
      <c r="AC19" s="14"/>
      <c r="AD19" s="14">
        <f t="shared" si="12"/>
        <v>4.9399745101113619E-2</v>
      </c>
      <c r="AE19" s="14"/>
      <c r="AF19" s="14">
        <f t="shared" si="12"/>
        <v>4.4539503324751414E-2</v>
      </c>
    </row>
    <row r="20" spans="2:32" x14ac:dyDescent="0.3">
      <c r="B20" t="str">
        <f t="shared" si="5"/>
        <v>MarinusPortland</v>
      </c>
      <c r="C20" t="s">
        <v>64</v>
      </c>
      <c r="D20">
        <v>0.25</v>
      </c>
      <c r="E20" t="str">
        <f t="shared" si="6"/>
        <v>Cal-37</v>
      </c>
      <c r="F20" t="s">
        <v>34</v>
      </c>
      <c r="G20" s="105" t="s">
        <v>119</v>
      </c>
      <c r="H20" s="20" cm="1">
        <f t="array" ref="H20">INDEX(Financials!$B$5:$AI$260,FinancialWalk!K20,FinancialWalk!L20)</f>
        <v>10278788.741593104</v>
      </c>
      <c r="K20">
        <f>SUMIFS(Financials!$A$5:$A$260,Financials!$D$5:$D$260,FinancialWalk!D20,Financials!$E$5:$E$260,FinancialWalk!E20,Financials!$F$5:$F$260,FinancialWalk!F20)</f>
        <v>125</v>
      </c>
      <c r="L20">
        <f t="shared" si="0"/>
        <v>16</v>
      </c>
      <c r="P20" s="105" t="s">
        <v>134</v>
      </c>
      <c r="Q20">
        <f t="shared" si="7"/>
        <v>21</v>
      </c>
      <c r="T20" s="3">
        <v>0.25</v>
      </c>
      <c r="U20" s="14">
        <f t="shared" si="11"/>
        <v>-0.249378141580051</v>
      </c>
      <c r="V20" s="14"/>
      <c r="W20" s="14">
        <f t="shared" si="11"/>
        <v>-0.68640872132396458</v>
      </c>
      <c r="X20" s="14"/>
      <c r="Y20" s="14">
        <f t="shared" si="11"/>
        <v>-0.23403557904550795</v>
      </c>
      <c r="AA20" s="3">
        <v>0.25</v>
      </c>
      <c r="AB20" s="14">
        <f t="shared" si="12"/>
        <v>-0.21572306615286535</v>
      </c>
      <c r="AC20" s="14"/>
      <c r="AD20" s="14">
        <f t="shared" si="12"/>
        <v>-0.64117702522618092</v>
      </c>
      <c r="AE20" s="14"/>
      <c r="AF20" s="14">
        <f t="shared" si="12"/>
        <v>-0.20078691688734668</v>
      </c>
    </row>
    <row r="21" spans="2:32" x14ac:dyDescent="0.3">
      <c r="B21" t="str">
        <f t="shared" si="5"/>
        <v>MarinusPortland</v>
      </c>
      <c r="C21" t="s">
        <v>64</v>
      </c>
      <c r="D21">
        <v>0.25</v>
      </c>
      <c r="E21" t="str">
        <f t="shared" si="6"/>
        <v>Cal-37</v>
      </c>
      <c r="F21" t="s">
        <v>34</v>
      </c>
      <c r="G21" s="105" t="s">
        <v>119</v>
      </c>
      <c r="H21" s="20" cm="1">
        <f t="array" ref="H21">INDEX(Financials!$B$5:$AI$260,FinancialWalk!K21,FinancialWalk!L21)</f>
        <v>10278788.741593104</v>
      </c>
      <c r="K21">
        <f>SUMIFS(Financials!$A$5:$A$260,Financials!$D$5:$D$260,FinancialWalk!D21,Financials!$E$5:$E$260,FinancialWalk!E21,Financials!$F$5:$F$260,FinancialWalk!F21)</f>
        <v>125</v>
      </c>
      <c r="L21">
        <f t="shared" si="0"/>
        <v>16</v>
      </c>
      <c r="P21" s="105" t="s">
        <v>135</v>
      </c>
      <c r="Q21">
        <f t="shared" si="7"/>
        <v>22</v>
      </c>
      <c r="T21" s="3">
        <v>0.05</v>
      </c>
      <c r="U21" s="14">
        <f t="shared" si="11"/>
        <v>-0.54539904830680463</v>
      </c>
      <c r="V21" s="14"/>
      <c r="W21" s="14">
        <f t="shared" si="11"/>
        <v>-1.6020701092797218</v>
      </c>
      <c r="X21" s="14"/>
      <c r="Y21" s="14">
        <f t="shared" si="11"/>
        <v>-0.53478537019295236</v>
      </c>
      <c r="AA21" s="3">
        <v>0.05</v>
      </c>
      <c r="AB21" s="14">
        <f t="shared" si="12"/>
        <v>-0.47505935481902628</v>
      </c>
      <c r="AC21" s="14"/>
      <c r="AD21" s="14">
        <f t="shared" si="12"/>
        <v>-1.5037399716137587</v>
      </c>
      <c r="AE21" s="14"/>
      <c r="AF21" s="14">
        <f t="shared" si="12"/>
        <v>-0.86105142749090724</v>
      </c>
    </row>
    <row r="22" spans="2:32" x14ac:dyDescent="0.3">
      <c r="B22" t="str">
        <f t="shared" si="5"/>
        <v>MarinusPortland</v>
      </c>
      <c r="C22" t="s">
        <v>64</v>
      </c>
      <c r="D22">
        <v>0.05</v>
      </c>
      <c r="E22" t="str">
        <f t="shared" si="6"/>
        <v>Cal-37</v>
      </c>
      <c r="F22" t="s">
        <v>34</v>
      </c>
      <c r="G22" s="105" t="s">
        <v>119</v>
      </c>
      <c r="H22" s="20" cm="1">
        <f t="array" ref="H22">INDEX(Financials!$B$5:$AI$260,FinancialWalk!K22,FinancialWalk!L22)</f>
        <v>6225167.9614254925</v>
      </c>
      <c r="K22">
        <f>SUMIFS(Financials!$A$5:$A$260,Financials!$D$5:$D$260,FinancialWalk!D22,Financials!$E$5:$E$260,FinancialWalk!E22,Financials!$F$5:$F$260,FinancialWalk!F22)</f>
        <v>126</v>
      </c>
      <c r="L22">
        <f t="shared" si="0"/>
        <v>16</v>
      </c>
      <c r="P22" s="105" t="s">
        <v>122</v>
      </c>
      <c r="Q22">
        <f t="shared" si="7"/>
        <v>23</v>
      </c>
      <c r="T22" s="3">
        <v>0</v>
      </c>
      <c r="U22" s="14">
        <f t="shared" si="11"/>
        <v>-0.94948114178325071</v>
      </c>
      <c r="V22" s="14"/>
      <c r="W22" s="14">
        <f t="shared" si="11"/>
        <v>-2.7413776849057649</v>
      </c>
      <c r="X22" s="14"/>
      <c r="Y22" s="14">
        <f t="shared" si="11"/>
        <v>-1.1516093354604067</v>
      </c>
      <c r="AA22" s="3">
        <v>0</v>
      </c>
      <c r="AB22" s="14">
        <f t="shared" si="12"/>
        <v>-0.77822842744640897</v>
      </c>
      <c r="AC22" s="14"/>
      <c r="AD22" s="14">
        <f t="shared" si="12"/>
        <v>-2.4629858618466183</v>
      </c>
      <c r="AE22" s="14"/>
      <c r="AF22" s="14">
        <f t="shared" si="12"/>
        <v>-1.5786106917386307</v>
      </c>
    </row>
    <row r="23" spans="2:32" x14ac:dyDescent="0.3">
      <c r="B23" t="str">
        <f t="shared" si="5"/>
        <v>MarinusPortland</v>
      </c>
      <c r="C23" t="s">
        <v>64</v>
      </c>
      <c r="D23">
        <v>0.05</v>
      </c>
      <c r="E23" t="str">
        <f t="shared" si="6"/>
        <v>Cal-37</v>
      </c>
      <c r="F23" t="s">
        <v>34</v>
      </c>
      <c r="G23" s="105" t="s">
        <v>119</v>
      </c>
      <c r="H23" s="20" cm="1">
        <f t="array" ref="H23">INDEX(Financials!$B$5:$AI$260,FinancialWalk!K23,FinancialWalk!L23)</f>
        <v>6225167.9614254925</v>
      </c>
      <c r="K23">
        <f>SUMIFS(Financials!$A$5:$A$260,Financials!$D$5:$D$260,FinancialWalk!D23,Financials!$E$5:$E$260,FinancialWalk!E23,Financials!$F$5:$F$260,FinancialWalk!F23)</f>
        <v>126</v>
      </c>
      <c r="L23">
        <f t="shared" si="0"/>
        <v>16</v>
      </c>
      <c r="P23" s="105" t="s">
        <v>123</v>
      </c>
      <c r="Q23">
        <f t="shared" si="7"/>
        <v>24</v>
      </c>
    </row>
    <row r="24" spans="2:32" x14ac:dyDescent="0.3">
      <c r="B24" t="str">
        <f t="shared" si="5"/>
        <v>MarinusPortland</v>
      </c>
      <c r="C24" t="s">
        <v>64</v>
      </c>
      <c r="D24">
        <v>0.05</v>
      </c>
      <c r="E24" t="str">
        <f t="shared" si="6"/>
        <v>Cal-37</v>
      </c>
      <c r="F24" t="s">
        <v>34</v>
      </c>
      <c r="G24" s="105" t="s">
        <v>119</v>
      </c>
      <c r="H24" s="20" cm="1">
        <f t="array" ref="H24">INDEX(Financials!$B$5:$AI$260,FinancialWalk!K24,FinancialWalk!L24)</f>
        <v>6225167.9614254925</v>
      </c>
      <c r="K24">
        <f>SUMIFS(Financials!$A$5:$A$260,Financials!$D$5:$D$260,FinancialWalk!D24,Financials!$E$5:$E$260,FinancialWalk!E24,Financials!$F$5:$F$260,FinancialWalk!F24)</f>
        <v>126</v>
      </c>
      <c r="L24">
        <f t="shared" si="0"/>
        <v>16</v>
      </c>
      <c r="P24" s="105" t="s">
        <v>124</v>
      </c>
      <c r="Q24">
        <f t="shared" si="7"/>
        <v>25</v>
      </c>
    </row>
    <row r="25" spans="2:32" x14ac:dyDescent="0.3">
      <c r="B25" t="str">
        <f t="shared" si="5"/>
        <v>MarinusPortland</v>
      </c>
      <c r="C25" t="s">
        <v>64</v>
      </c>
      <c r="D25">
        <v>0</v>
      </c>
      <c r="E25" t="str">
        <f t="shared" si="6"/>
        <v>Cal-37</v>
      </c>
      <c r="F25" t="s">
        <v>34</v>
      </c>
      <c r="G25" s="105" t="s">
        <v>119</v>
      </c>
      <c r="H25" s="20" cm="1">
        <f t="array" ref="H25">INDEX(Financials!$B$5:$AI$260,FinancialWalk!K25,FinancialWalk!L25)</f>
        <v>691789.96754707419</v>
      </c>
      <c r="K25">
        <f>SUMIFS(Financials!$A$5:$A$260,Financials!$D$5:$D$260,FinancialWalk!D25,Financials!$E$5:$E$260,FinancialWalk!E25,Financials!$F$5:$F$260,FinancialWalk!F25)</f>
        <v>127</v>
      </c>
      <c r="L25">
        <f t="shared" si="0"/>
        <v>16</v>
      </c>
      <c r="P25" s="105" t="s">
        <v>136</v>
      </c>
      <c r="Q25">
        <f t="shared" si="7"/>
        <v>26</v>
      </c>
      <c r="T25" s="1" t="s">
        <v>143</v>
      </c>
      <c r="AA25" s="1" t="s">
        <v>143</v>
      </c>
    </row>
    <row r="26" spans="2:32" ht="45.2" x14ac:dyDescent="0.3">
      <c r="B26" t="str">
        <f t="shared" si="5"/>
        <v>MarinusPortland</v>
      </c>
      <c r="C26" t="s">
        <v>64</v>
      </c>
      <c r="D26" t="s">
        <v>24</v>
      </c>
      <c r="E26" t="str">
        <f t="shared" si="6"/>
        <v>Cal-37</v>
      </c>
      <c r="F26" t="s">
        <v>34</v>
      </c>
      <c r="G26" s="105" t="s">
        <v>119</v>
      </c>
      <c r="H26" s="20" cm="1">
        <f t="array" ref="H26">INDEX(Financials!$B$5:$AI$260,FinancialWalk!K26,FinancialWalk!L26)</f>
        <v>13527587.40732928</v>
      </c>
      <c r="K26">
        <f>SUMIFS(Financials!$A$5:$A$260,Financials!$D$5:$D$260,FinancialWalk!D26,Financials!$E$5:$E$260,FinancialWalk!E26,Financials!$F$5:$F$260,FinancialWalk!F26)</f>
        <v>128</v>
      </c>
      <c r="L26">
        <f t="shared" si="0"/>
        <v>16</v>
      </c>
      <c r="P26" t="s">
        <v>137</v>
      </c>
      <c r="Q26">
        <f t="shared" si="7"/>
        <v>27</v>
      </c>
      <c r="T26" s="90" t="s">
        <v>34</v>
      </c>
      <c r="U26" s="90" t="str">
        <f>$P$16</f>
        <v>Merchant NPV</v>
      </c>
      <c r="V26" s="90" t="s">
        <v>134</v>
      </c>
      <c r="W26" s="90" t="str">
        <f>$P$24</f>
        <v>Merchant with PPA NPV</v>
      </c>
      <c r="X26" s="90" t="s">
        <v>139</v>
      </c>
      <c r="Y26" s="90" t="str">
        <f>$P$32</f>
        <v>Merchant with PPA and Sold Swap NPV</v>
      </c>
      <c r="AA26" s="116" t="s">
        <v>44</v>
      </c>
      <c r="AB26" s="116" t="str">
        <f>$P$16</f>
        <v>Merchant NPV</v>
      </c>
      <c r="AC26" s="90" t="s">
        <v>134</v>
      </c>
      <c r="AD26" s="90" t="str">
        <f>$P$24</f>
        <v>Merchant with PPA NPV</v>
      </c>
      <c r="AE26" s="90" t="s">
        <v>139</v>
      </c>
      <c r="AF26" s="116" t="str">
        <f>$P$32</f>
        <v>Merchant with PPA and Sold Swap NPV</v>
      </c>
    </row>
    <row r="27" spans="2:32" x14ac:dyDescent="0.3">
      <c r="B27" t="str">
        <f>$B$2</f>
        <v>MarinusPortland</v>
      </c>
      <c r="C27" t="s">
        <v>64</v>
      </c>
      <c r="D27">
        <v>1</v>
      </c>
      <c r="E27" t="s">
        <v>18</v>
      </c>
      <c r="F27" t="s">
        <v>44</v>
      </c>
      <c r="G27" s="105" t="s">
        <v>119</v>
      </c>
      <c r="H27" s="20" cm="1">
        <f t="array" ref="H27">INDEX(Financials!$B$5:$AI$260,FinancialWalk!K27,FinancialWalk!L27)</f>
        <v>25966429.533561781</v>
      </c>
      <c r="K27">
        <f>SUMIFS(Financials!$A$5:$A$260,Financials!$D$5:$D$260,FinancialWalk!D27,Financials!$E$5:$E$260,FinancialWalk!E27,Financials!$F$5:$F$260,FinancialWalk!F27)</f>
        <v>249</v>
      </c>
      <c r="L27">
        <f t="shared" si="0"/>
        <v>16</v>
      </c>
      <c r="P27" t="s">
        <v>138</v>
      </c>
      <c r="Q27">
        <f t="shared" si="7"/>
        <v>28</v>
      </c>
      <c r="T27" s="3">
        <v>1</v>
      </c>
      <c r="U27" s="4">
        <f>U5/SUM(DualFuelMWh!E17:T17)</f>
        <v>27.337648124562762</v>
      </c>
      <c r="V27" s="4">
        <f>V5/SUM(PPAcfd!E17:T17)</f>
        <v>25.511010932431677</v>
      </c>
      <c r="W27" s="4">
        <f>W5/(SUM(DualFuelMWh!E17:T17)+SUM(PPAcfd!E17:T17))</f>
        <v>26.099591546554031</v>
      </c>
      <c r="X27" s="4">
        <f>X5/SUM(SwapSold!E17:T17)</f>
        <v>-36.05768389881429</v>
      </c>
      <c r="Y27" s="4">
        <f>Y5/(SUM(DualFuelMWh!E17:T17)+SUM(PPAcfd!E17:T17)+SUM(SwapSold!E17:T17))</f>
        <v>7.9820824117751741</v>
      </c>
      <c r="AA27" s="3">
        <v>1</v>
      </c>
      <c r="AB27" s="4">
        <f>AB5/SUM('2hBatteryMWh'!E17:T17)</f>
        <v>78.141780264507688</v>
      </c>
      <c r="AC27" s="4">
        <f>AC5/SUM(PPAcfd!E17:T17)</f>
        <v>25.511010932431677</v>
      </c>
      <c r="AD27" s="4">
        <f>AD5/(SUM('2hBatteryMWh'!E17:T17)+SUM(PPAcfd!E17:T17))</f>
        <v>31.554044821803025</v>
      </c>
      <c r="AE27" s="4">
        <f>AE5/SUM(SwapSold!E17:T17)</f>
        <v>-36.05768389881429</v>
      </c>
      <c r="AF27" s="4">
        <f>AF5/(SUM('2hBatteryMWh'!E17:T17)+SUM(PPAcfd!E17:T17)+SUM(SwapSold!E17:T17))</f>
        <v>7.923841542764535</v>
      </c>
    </row>
    <row r="28" spans="2:32" x14ac:dyDescent="0.3">
      <c r="B28" t="str">
        <f>B27</f>
        <v>MarinusPortland</v>
      </c>
      <c r="C28" t="s">
        <v>64</v>
      </c>
      <c r="D28">
        <v>0.95</v>
      </c>
      <c r="E28" t="str">
        <f>E27</f>
        <v>Cal-37</v>
      </c>
      <c r="F28" t="s">
        <v>44</v>
      </c>
      <c r="G28" s="105" t="s">
        <v>119</v>
      </c>
      <c r="H28" s="20" cm="1">
        <f t="array" ref="H28">INDEX(Financials!$B$5:$AI$260,FinancialWalk!K28,FinancialWalk!L28)</f>
        <v>17509590.904051807</v>
      </c>
      <c r="K28">
        <f>SUMIFS(Financials!$A$5:$A$260,Financials!$D$5:$D$260,FinancialWalk!D28,Financials!$E$5:$E$260,FinancialWalk!E28,Financials!$F$5:$F$260,FinancialWalk!F28)</f>
        <v>250</v>
      </c>
      <c r="L28">
        <f t="shared" si="0"/>
        <v>16</v>
      </c>
      <c r="P28" t="s">
        <v>139</v>
      </c>
      <c r="Q28">
        <f t="shared" si="7"/>
        <v>29</v>
      </c>
      <c r="T28" s="3">
        <v>0.95</v>
      </c>
      <c r="U28" s="4">
        <f>U6/SUM(DualFuelMWh!E18:T18)</f>
        <v>12.979330535182354</v>
      </c>
      <c r="V28" s="4">
        <f>V6/SUM(PPAcfd!E18:T18)</f>
        <v>12.445842158920033</v>
      </c>
      <c r="W28" s="4">
        <f>W6/(SUM(DualFuelMWh!E18:T18)+SUM(PPAcfd!E18:T18))</f>
        <v>12.600362299237531</v>
      </c>
      <c r="X28" s="4">
        <f>X6/SUM(SwapSold!E18:T18)</f>
        <v>-15.532041482654645</v>
      </c>
      <c r="Y28" s="4">
        <f>Y6/(SUM(DualFuelMWh!E18:T18)+SUM(PPAcfd!E18:T18)+SUM(SwapSold!E18:T18))</f>
        <v>3.8499005619301325</v>
      </c>
      <c r="AA28" s="3">
        <v>0.95</v>
      </c>
      <c r="AB28" s="4">
        <f>AB6/SUM('2hBatteryMWh'!E18:T18)</f>
        <v>35.359643707020908</v>
      </c>
      <c r="AC28" s="4">
        <f>AC6/SUM(PPAcfd!E18:T18)</f>
        <v>12.445842158920033</v>
      </c>
      <c r="AD28" s="4">
        <f>AD6/(SUM('2hBatteryMWh'!E18:T18)+SUM(PPAcfd!E18:T18))</f>
        <v>14.857288484492823</v>
      </c>
      <c r="AE28" s="4">
        <f>AE6/SUM(SwapSold!E18:T18)</f>
        <v>-15.532041482654645</v>
      </c>
      <c r="AF28" s="4">
        <f>AF6/(SUM('2hBatteryMWh'!E18:T18)+SUM(PPAcfd!E18:T18)+SUM(SwapSold!E18:T18))</f>
        <v>3.840596616351498</v>
      </c>
    </row>
    <row r="29" spans="2:32" x14ac:dyDescent="0.3">
      <c r="B29" t="str">
        <f t="shared" ref="B29:B48" si="13">B28</f>
        <v>MarinusPortland</v>
      </c>
      <c r="C29" t="s">
        <v>64</v>
      </c>
      <c r="D29">
        <v>0.95</v>
      </c>
      <c r="E29" t="str">
        <f t="shared" ref="E29:E48" si="14">E28</f>
        <v>Cal-37</v>
      </c>
      <c r="F29" t="s">
        <v>44</v>
      </c>
      <c r="G29" s="105" t="s">
        <v>119</v>
      </c>
      <c r="H29" s="20" cm="1">
        <f t="array" ref="H29">INDEX(Financials!$B$5:$AI$260,FinancialWalk!K29,FinancialWalk!L29)</f>
        <v>17509590.904051807</v>
      </c>
      <c r="K29">
        <f>SUMIFS(Financials!$A$5:$A$260,Financials!$D$5:$D$260,FinancialWalk!D29,Financials!$E$5:$E$260,FinancialWalk!E29,Financials!$F$5:$F$260,FinancialWalk!F29)</f>
        <v>250</v>
      </c>
      <c r="L29">
        <f t="shared" si="0"/>
        <v>16</v>
      </c>
      <c r="P29" t="s">
        <v>140</v>
      </c>
      <c r="Q29">
        <f t="shared" si="7"/>
        <v>30</v>
      </c>
      <c r="T29" s="3">
        <v>0.75</v>
      </c>
      <c r="U29" s="4">
        <f>U7/SUM(DualFuelMWh!E19:T19)</f>
        <v>5.0139496491046058</v>
      </c>
      <c r="V29" s="4">
        <f>V7/SUM(PPAcfd!E19:T19)</f>
        <v>5.6536887508488149</v>
      </c>
      <c r="W29" s="4">
        <f>W7/(SUM(DualFuelMWh!E19:T19)+SUM(PPAcfd!E19:T19))</f>
        <v>5.4774361781670562</v>
      </c>
      <c r="X29" s="4">
        <f>X7/SUM(SwapSold!E19:T19)</f>
        <v>-6.4685152602250682</v>
      </c>
      <c r="Y29" s="4">
        <f>Y7/(SUM(DualFuelMWh!E19:T19)+SUM(PPAcfd!E19:T19)+SUM(SwapSold!E19:T19))</f>
        <v>1.6354955255223955</v>
      </c>
      <c r="AA29" s="3">
        <v>0.75</v>
      </c>
      <c r="AB29" s="4">
        <f>AB7/SUM('2hBatteryMWh'!E19:T19)</f>
        <v>15.88066496234924</v>
      </c>
      <c r="AC29" s="4">
        <f>AC7/SUM(PPAcfd!E19:T19)</f>
        <v>5.6536887508488149</v>
      </c>
      <c r="AD29" s="4">
        <f>AD7/(SUM('2hBatteryMWh'!E19:T19)+SUM(PPAcfd!E19:T19))</f>
        <v>6.6497052840808442</v>
      </c>
      <c r="AE29" s="4">
        <f>AE7/SUM(SwapSold!E19:T19)</f>
        <v>-6.4685152602250682</v>
      </c>
      <c r="AF29" s="4">
        <f>AF7/(SUM('2hBatteryMWh'!E19:T19)+SUM(PPAcfd!E19:T19)+SUM(SwapSold!E19:T19))</f>
        <v>1.7786664409228723</v>
      </c>
    </row>
    <row r="30" spans="2:32" x14ac:dyDescent="0.3">
      <c r="B30" t="str">
        <f t="shared" si="13"/>
        <v>MarinusPortland</v>
      </c>
      <c r="C30" t="s">
        <v>64</v>
      </c>
      <c r="D30">
        <v>0.95</v>
      </c>
      <c r="E30" t="str">
        <f t="shared" si="14"/>
        <v>Cal-37</v>
      </c>
      <c r="F30" t="s">
        <v>44</v>
      </c>
      <c r="G30" s="105" t="s">
        <v>119</v>
      </c>
      <c r="H30" s="20" cm="1">
        <f t="array" ref="H30">INDEX(Financials!$B$5:$AI$260,FinancialWalk!K30,FinancialWalk!L30)</f>
        <v>17509590.904051807</v>
      </c>
      <c r="K30">
        <f>SUMIFS(Financials!$A$5:$A$260,Financials!$D$5:$D$260,FinancialWalk!D30,Financials!$E$5:$E$260,FinancialWalk!E30,Financials!$F$5:$F$260,FinancialWalk!F30)</f>
        <v>250</v>
      </c>
      <c r="L30">
        <f t="shared" si="0"/>
        <v>16</v>
      </c>
      <c r="P30" s="105" t="s">
        <v>125</v>
      </c>
      <c r="Q30">
        <f t="shared" si="7"/>
        <v>31</v>
      </c>
      <c r="T30" s="3">
        <v>0.5</v>
      </c>
      <c r="U30" s="4">
        <f>U8/SUM(DualFuelMWh!E20:T20)</f>
        <v>-0.64093502935558622</v>
      </c>
      <c r="V30" s="4">
        <f>V8/SUM(PPAcfd!E20:T20)</f>
        <v>0.59936303867878093</v>
      </c>
      <c r="W30" s="4">
        <f>W8/(SUM(DualFuelMWh!E20:T20)+SUM(PPAcfd!E20:T20))</f>
        <v>0.27012613465366703</v>
      </c>
      <c r="X30" s="4">
        <f>X8/SUM(SwapSold!E20:T20)</f>
        <v>-7.0392115698523272E-2</v>
      </c>
      <c r="Y30" s="4">
        <f>Y8/(SUM(DualFuelMWh!E20:T20)+SUM(PPAcfd!E20:T20)+SUM(SwapSold!E20:T20))</f>
        <v>0.15798855121628069</v>
      </c>
      <c r="AA30" s="3">
        <v>0.5</v>
      </c>
      <c r="AB30" s="4">
        <f>AB8/SUM('2hBatteryMWh'!E20:T20)</f>
        <v>-1.2391191597644711</v>
      </c>
      <c r="AC30" s="4">
        <f>AC8/SUM(PPAcfd!E20:T20)</f>
        <v>0.59936303867878093</v>
      </c>
      <c r="AD30" s="4">
        <f>AD8/(SUM('2hBatteryMWh'!E20:T20)+SUM(PPAcfd!E20:T20))</f>
        <v>0.43567582734955784</v>
      </c>
      <c r="AE30" s="4">
        <f>AE8/SUM(SwapSold!E20:T20)</f>
        <v>-7.0392115698523272E-2</v>
      </c>
      <c r="AF30" s="4">
        <f>AF8/(SUM('2hBatteryMWh'!E20:T20)+SUM(PPAcfd!E20:T20)+SUM(SwapSold!E20:T20))</f>
        <v>0.24414340264850878</v>
      </c>
    </row>
    <row r="31" spans="2:32" x14ac:dyDescent="0.3">
      <c r="B31" t="str">
        <f t="shared" si="13"/>
        <v>MarinusPortland</v>
      </c>
      <c r="C31" t="s">
        <v>64</v>
      </c>
      <c r="D31">
        <v>0.75</v>
      </c>
      <c r="E31" t="str">
        <f t="shared" si="14"/>
        <v>Cal-37</v>
      </c>
      <c r="F31" t="s">
        <v>44</v>
      </c>
      <c r="G31" s="105" t="s">
        <v>119</v>
      </c>
      <c r="H31" s="20" cm="1">
        <f t="array" ref="H31">INDEX(Financials!$B$5:$AI$260,FinancialWalk!K31,FinancialWalk!L31)</f>
        <v>14241065.161063803</v>
      </c>
      <c r="K31">
        <f>SUMIFS(Financials!$A$5:$A$260,Financials!$D$5:$D$260,FinancialWalk!D31,Financials!$E$5:$E$260,FinancialWalk!E31,Financials!$F$5:$F$260,FinancialWalk!F31)</f>
        <v>251</v>
      </c>
      <c r="L31">
        <f t="shared" si="0"/>
        <v>16</v>
      </c>
      <c r="P31" s="105" t="s">
        <v>126</v>
      </c>
      <c r="Q31">
        <f t="shared" si="7"/>
        <v>32</v>
      </c>
      <c r="T31" s="3">
        <v>0.25</v>
      </c>
      <c r="U31" s="4">
        <f>U9/SUM(DualFuelMWh!E21:T21)</f>
        <v>-7.1809914558654322</v>
      </c>
      <c r="V31" s="4">
        <f>V9/SUM(PPAcfd!E21:T21)</f>
        <v>-4.2109245989116495</v>
      </c>
      <c r="W31" s="4">
        <f>W9/(SUM(DualFuelMWh!E21:T21)+SUM(PPAcfd!E21:T21))</f>
        <v>-4.9555730474332442</v>
      </c>
      <c r="X31" s="4">
        <f>X9/SUM(SwapSold!E21:T21)</f>
        <v>6.3782817573892938</v>
      </c>
      <c r="Y31" s="4">
        <f>Y9/(SUM(DualFuelMWh!E21:T21)+SUM(PPAcfd!E21:T21)+SUM(SwapSold!E21:T21))</f>
        <v>-1.1174538308453703</v>
      </c>
      <c r="AA31" s="3">
        <v>0.25</v>
      </c>
      <c r="AB31" s="4">
        <f>AB9/SUM('2hBatteryMWh'!E21:T21)</f>
        <v>-25.124387029305929</v>
      </c>
      <c r="AC31" s="4">
        <f>AC9/SUM(PPAcfd!E21:T21)</f>
        <v>-4.2109245989116495</v>
      </c>
      <c r="AD31" s="4">
        <f>AD9/(SUM('2hBatteryMWh'!E21:T21)+SUM(PPAcfd!E21:T21))</f>
        <v>-5.8489833955016204</v>
      </c>
      <c r="AE31" s="4">
        <f>AE9/SUM(SwapSold!E21:T21)</f>
        <v>6.3782817573892938</v>
      </c>
      <c r="AF31" s="4">
        <f>AF9/(SUM('2hBatteryMWh'!E21:T21)+SUM(PPAcfd!E21:T21)+SUM(SwapSold!E21:T21))</f>
        <v>-1.1238039024511222</v>
      </c>
    </row>
    <row r="32" spans="2:32" x14ac:dyDescent="0.3">
      <c r="B32" t="str">
        <f t="shared" si="13"/>
        <v>MarinusPortland</v>
      </c>
      <c r="C32" t="s">
        <v>64</v>
      </c>
      <c r="D32">
        <v>0.75</v>
      </c>
      <c r="E32" t="str">
        <f t="shared" si="14"/>
        <v>Cal-37</v>
      </c>
      <c r="F32" t="s">
        <v>44</v>
      </c>
      <c r="G32" s="105" t="s">
        <v>119</v>
      </c>
      <c r="H32" s="20" cm="1">
        <f t="array" ref="H32">INDEX(Financials!$B$5:$AI$260,FinancialWalk!K32,FinancialWalk!L32)</f>
        <v>14241065.161063803</v>
      </c>
      <c r="K32">
        <f>SUMIFS(Financials!$A$5:$A$260,Financials!$D$5:$D$260,FinancialWalk!D32,Financials!$E$5:$E$260,FinancialWalk!E32,Financials!$F$5:$F$260,FinancialWalk!F32)</f>
        <v>251</v>
      </c>
      <c r="L32">
        <f t="shared" si="0"/>
        <v>16</v>
      </c>
      <c r="P32" s="105" t="s">
        <v>127</v>
      </c>
      <c r="Q32">
        <f t="shared" si="7"/>
        <v>33</v>
      </c>
      <c r="T32" s="3">
        <v>0.05</v>
      </c>
      <c r="U32" s="4">
        <f>U10/SUM(DualFuelMWh!E22:T22)</f>
        <v>-18.403469620175883</v>
      </c>
      <c r="V32" s="4">
        <f>V10/SUM(PPAcfd!E22:T22)</f>
        <v>-10.522740484964777</v>
      </c>
      <c r="W32" s="4">
        <f>W10/(SUM(DualFuelMWh!E22:T22)+SUM(PPAcfd!E22:T22))</f>
        <v>-12.318544543060368</v>
      </c>
      <c r="X32" s="4">
        <f>X10/SUM(SwapSold!E22:T22)</f>
        <v>15.048291211477002</v>
      </c>
      <c r="Y32" s="4">
        <f>Y10/(SUM(DualFuelMWh!E22:T22)+SUM(PPAcfd!E22:T22)+SUM(SwapSold!E22:T22))</f>
        <v>-2.6609215341625014</v>
      </c>
      <c r="AA32" s="3">
        <v>0.05</v>
      </c>
      <c r="AB32" s="4">
        <f>AB10/SUM('2hBatteryMWh'!E22:T22)</f>
        <v>-72.292992727728929</v>
      </c>
      <c r="AC32" s="4">
        <f>AC10/SUM(PPAcfd!E22:T22)</f>
        <v>-10.522740484964777</v>
      </c>
      <c r="AD32" s="4">
        <f>AD10/(SUM('2hBatteryMWh'!E22:T22)+SUM(PPAcfd!E22:T22))</f>
        <v>-14.413418591665488</v>
      </c>
      <c r="AE32" s="4">
        <f>AE10/SUM(SwapSold!E22:T22)</f>
        <v>9.3082213679239203</v>
      </c>
      <c r="AF32" s="4">
        <f>AF10/(SUM('2hBatteryMWh'!E22:T22)+SUM(PPAcfd!E22:T22)+SUM(SwapSold!E22:T22))</f>
        <v>-4.9664269848242508</v>
      </c>
    </row>
    <row r="33" spans="2:32" x14ac:dyDescent="0.3">
      <c r="B33" t="str">
        <f t="shared" si="13"/>
        <v>MarinusPortland</v>
      </c>
      <c r="C33" t="s">
        <v>64</v>
      </c>
      <c r="D33">
        <v>0.75</v>
      </c>
      <c r="E33" t="str">
        <f t="shared" si="14"/>
        <v>Cal-37</v>
      </c>
      <c r="F33" t="s">
        <v>44</v>
      </c>
      <c r="G33" s="105" t="s">
        <v>119</v>
      </c>
      <c r="H33" s="20" cm="1">
        <f t="array" ref="H33">INDEX(Financials!$B$5:$AI$260,FinancialWalk!K33,FinancialWalk!L33)</f>
        <v>14241065.161063803</v>
      </c>
      <c r="K33">
        <f>SUMIFS(Financials!$A$5:$A$260,Financials!$D$5:$D$260,FinancialWalk!D33,Financials!$E$5:$E$260,FinancialWalk!E33,Financials!$F$5:$F$260,FinancialWalk!F33)</f>
        <v>251</v>
      </c>
      <c r="L33">
        <f t="shared" si="0"/>
        <v>16</v>
      </c>
      <c r="P33" s="105" t="s">
        <v>141</v>
      </c>
      <c r="Q33">
        <f t="shared" si="7"/>
        <v>34</v>
      </c>
      <c r="T33" s="3">
        <v>0</v>
      </c>
      <c r="U33" s="4">
        <f>U11/SUM(DualFuelMWh!E23:T23)</f>
        <v>-42.96077840598506</v>
      </c>
      <c r="V33" s="4">
        <f>V11/SUM(PPAcfd!E23:T23)</f>
        <v>-18.75907903045286</v>
      </c>
      <c r="W33" s="4">
        <f>W11/(SUM(DualFuelMWh!E23:T23)+SUM(PPAcfd!E23:T23))</f>
        <v>-23.30654019172745</v>
      </c>
      <c r="X33" s="4">
        <f>X11/SUM(SwapSold!E23:T23)</f>
        <v>22.415102741666704</v>
      </c>
      <c r="Y33" s="4">
        <f>Y11/(SUM(DualFuelMWh!E23:T23)+SUM(PPAcfd!E23:T23)+SUM(SwapSold!E23:T23))</f>
        <v>-6.1078214299559965</v>
      </c>
      <c r="AA33" s="3">
        <v>0</v>
      </c>
      <c r="AB33" s="4">
        <f>AB11/SUM('2hBatteryMWh'!E23:T23)</f>
        <v>-170.42011361559602</v>
      </c>
      <c r="AC33" s="4">
        <f>AC11/SUM(PPAcfd!E23:T23)</f>
        <v>-18.11737275821902</v>
      </c>
      <c r="AD33" s="4">
        <f>AD11/(SUM('2hBatteryMWh'!E23:T23)+SUM(PPAcfd!E23:T23))</f>
        <v>-25.24642802201538</v>
      </c>
      <c r="AE33" s="4">
        <f>AE11/SUM(SwapSold!E23:T23)</f>
        <v>12.808630138095261</v>
      </c>
      <c r="AF33" s="4">
        <f>AF11/(SUM('2hBatteryMWh'!E23:T23)+SUM(PPAcfd!E23:T23)+SUM(SwapSold!E23:T23))</f>
        <v>-9.4752806772722398</v>
      </c>
    </row>
    <row r="34" spans="2:32" x14ac:dyDescent="0.3">
      <c r="B34" t="str">
        <f t="shared" si="13"/>
        <v>MarinusPortland</v>
      </c>
      <c r="C34" t="s">
        <v>64</v>
      </c>
      <c r="D34">
        <v>0.75</v>
      </c>
      <c r="E34" t="str">
        <f t="shared" si="14"/>
        <v>Cal-37</v>
      </c>
      <c r="F34" t="s">
        <v>44</v>
      </c>
      <c r="G34" s="105" t="s">
        <v>119</v>
      </c>
      <c r="H34" s="20" cm="1">
        <f t="array" ref="H34">INDEX(Financials!$B$5:$AI$260,FinancialWalk!K34,FinancialWalk!L34)</f>
        <v>14241065.161063803</v>
      </c>
      <c r="K34">
        <f>SUMIFS(Financials!$A$5:$A$260,Financials!$D$5:$D$260,FinancialWalk!D34,Financials!$E$5:$E$260,FinancialWalk!E34,Financials!$F$5:$F$260,FinancialWalk!F34)</f>
        <v>251</v>
      </c>
      <c r="L34">
        <f t="shared" si="0"/>
        <v>16</v>
      </c>
      <c r="T34" t="s">
        <v>24</v>
      </c>
      <c r="U34" s="4">
        <f>U12/SUM(DualFuelMWh!E24:T24)</f>
        <v>-0.31926797126684903</v>
      </c>
      <c r="V34" s="4">
        <f>V12/SUM(PPAcfd!E24:T24)</f>
        <v>0.98791058619251892</v>
      </c>
      <c r="W34" s="4">
        <f>W12/(SUM(DualFuelMWh!E24:T24)+SUM(PPAcfd!E24:T24))</f>
        <v>0.64319775254646028</v>
      </c>
      <c r="X34" s="4">
        <f>X12/SUM(SwapSold!E24:T24)</f>
        <v>-4.8333776901850742E-2</v>
      </c>
      <c r="Y34" s="4">
        <f>Y12/(SUM(DualFuelMWh!E24:T24)+SUM(PPAcfd!E24:T24)+SUM(SwapSold!E24:T24))</f>
        <v>0.4150781313925262</v>
      </c>
      <c r="AA34" t="s">
        <v>24</v>
      </c>
      <c r="AB34" s="4">
        <f>AB12/SUM('2hBatteryMWh'!E24:T24)</f>
        <v>-1.6652097484926565</v>
      </c>
      <c r="AC34" s="4">
        <f>AC12/SUM(PPAcfd!E24:T24)</f>
        <v>0.98791058619251892</v>
      </c>
      <c r="AD34" s="4">
        <f>AD12/(SUM('2hBatteryMWh'!E24:T24)+SUM(PPAcfd!E24:T24))</f>
        <v>0.75520729637417994</v>
      </c>
      <c r="AE34" s="4">
        <f>AE12/SUM(SwapSold!E24:T24)</f>
        <v>-4.8333776901850742E-2</v>
      </c>
      <c r="AF34" s="4">
        <f>AF12/(SUM('2hBatteryMWh'!E24:T24)+SUM(PPAcfd!E24:T24)+SUM(SwapSold!E24:T24))</f>
        <v>0.45078247453974607</v>
      </c>
    </row>
    <row r="35" spans="2:32" x14ac:dyDescent="0.3">
      <c r="B35" t="str">
        <f t="shared" si="13"/>
        <v>MarinusPortland</v>
      </c>
      <c r="C35" t="s">
        <v>64</v>
      </c>
      <c r="D35">
        <v>0.5</v>
      </c>
      <c r="E35" t="str">
        <f t="shared" si="14"/>
        <v>Cal-37</v>
      </c>
      <c r="F35" t="s">
        <v>44</v>
      </c>
      <c r="G35" s="105" t="s">
        <v>119</v>
      </c>
      <c r="H35" s="20" cm="1">
        <f t="array" ref="H35">INDEX(Financials!$B$5:$AI$260,FinancialWalk!K35,FinancialWalk!L35)</f>
        <v>11909624.130005879</v>
      </c>
      <c r="K35">
        <f>SUMIFS(Financials!$A$5:$A$260,Financials!$D$5:$D$260,FinancialWalk!D35,Financials!$E$5:$E$260,FinancialWalk!E35,Financials!$F$5:$F$260,FinancialWalk!F35)</f>
        <v>252</v>
      </c>
      <c r="L35">
        <f t="shared" si="0"/>
        <v>16</v>
      </c>
    </row>
    <row r="36" spans="2:32" x14ac:dyDescent="0.3">
      <c r="B36" t="str">
        <f t="shared" si="13"/>
        <v>MarinusPortland</v>
      </c>
      <c r="C36" t="s">
        <v>64</v>
      </c>
      <c r="D36">
        <v>0.5</v>
      </c>
      <c r="E36" t="str">
        <f t="shared" si="14"/>
        <v>Cal-37</v>
      </c>
      <c r="F36" t="s">
        <v>44</v>
      </c>
      <c r="G36" s="105" t="s">
        <v>119</v>
      </c>
      <c r="H36" s="20" cm="1">
        <f t="array" ref="H36">INDEX(Financials!$B$5:$AI$260,FinancialWalk!K36,FinancialWalk!L36)</f>
        <v>11909624.130005879</v>
      </c>
      <c r="K36">
        <f>SUMIFS(Financials!$A$5:$A$260,Financials!$D$5:$D$260,FinancialWalk!D36,Financials!$E$5:$E$260,FinancialWalk!E36,Financials!$F$5:$F$260,FinancialWalk!F36)</f>
        <v>252</v>
      </c>
      <c r="L36">
        <f t="shared" si="0"/>
        <v>16</v>
      </c>
    </row>
    <row r="37" spans="2:32" x14ac:dyDescent="0.3">
      <c r="B37" t="str">
        <f t="shared" si="13"/>
        <v>MarinusPortland</v>
      </c>
      <c r="C37" t="s">
        <v>64</v>
      </c>
      <c r="D37">
        <v>0.5</v>
      </c>
      <c r="E37" t="str">
        <f t="shared" si="14"/>
        <v>Cal-37</v>
      </c>
      <c r="F37" t="s">
        <v>44</v>
      </c>
      <c r="G37" s="105" t="s">
        <v>119</v>
      </c>
      <c r="H37" s="20" cm="1">
        <f t="array" ref="H37">INDEX(Financials!$B$5:$AI$260,FinancialWalk!K37,FinancialWalk!L37)</f>
        <v>11909624.130005879</v>
      </c>
      <c r="K37">
        <f>SUMIFS(Financials!$A$5:$A$260,Financials!$D$5:$D$260,FinancialWalk!D37,Financials!$E$5:$E$260,FinancialWalk!E37,Financials!$F$5:$F$260,FinancialWalk!F37)</f>
        <v>252</v>
      </c>
      <c r="L37">
        <f t="shared" si="0"/>
        <v>16</v>
      </c>
    </row>
    <row r="38" spans="2:32" x14ac:dyDescent="0.3">
      <c r="B38" t="str">
        <f t="shared" si="13"/>
        <v>MarinusPortland</v>
      </c>
      <c r="C38" t="s">
        <v>64</v>
      </c>
      <c r="D38">
        <v>0.5</v>
      </c>
      <c r="E38" t="str">
        <f t="shared" si="14"/>
        <v>Cal-37</v>
      </c>
      <c r="F38" t="s">
        <v>44</v>
      </c>
      <c r="G38" s="105" t="s">
        <v>119</v>
      </c>
      <c r="H38" s="20" cm="1">
        <f t="array" ref="H38">INDEX(Financials!$B$5:$AI$260,FinancialWalk!K38,FinancialWalk!L38)</f>
        <v>11909624.130005879</v>
      </c>
      <c r="K38">
        <f>SUMIFS(Financials!$A$5:$A$260,Financials!$D$5:$D$260,FinancialWalk!D38,Financials!$E$5:$E$260,FinancialWalk!E38,Financials!$F$5:$F$260,FinancialWalk!F38)</f>
        <v>252</v>
      </c>
      <c r="L38">
        <f t="shared" si="0"/>
        <v>16</v>
      </c>
    </row>
    <row r="39" spans="2:32" x14ac:dyDescent="0.3">
      <c r="B39" t="str">
        <f t="shared" si="13"/>
        <v>MarinusPortland</v>
      </c>
      <c r="C39" t="s">
        <v>64</v>
      </c>
      <c r="D39">
        <v>0.5</v>
      </c>
      <c r="E39" t="str">
        <f t="shared" si="14"/>
        <v>Cal-37</v>
      </c>
      <c r="F39" t="s">
        <v>44</v>
      </c>
      <c r="G39" s="105" t="s">
        <v>119</v>
      </c>
      <c r="H39" s="20" cm="1">
        <f t="array" ref="H39">INDEX(Financials!$B$5:$AI$260,FinancialWalk!K39,FinancialWalk!L39)</f>
        <v>11909624.130005879</v>
      </c>
      <c r="K39">
        <f>SUMIFS(Financials!$A$5:$A$260,Financials!$D$5:$D$260,FinancialWalk!D39,Financials!$E$5:$E$260,FinancialWalk!E39,Financials!$F$5:$F$260,FinancialWalk!F39)</f>
        <v>252</v>
      </c>
      <c r="L39">
        <f t="shared" si="0"/>
        <v>16</v>
      </c>
    </row>
    <row r="40" spans="2:32" x14ac:dyDescent="0.3">
      <c r="B40" t="str">
        <f t="shared" si="13"/>
        <v>MarinusPortland</v>
      </c>
      <c r="C40" t="s">
        <v>64</v>
      </c>
      <c r="D40">
        <v>0.25</v>
      </c>
      <c r="E40" t="str">
        <f t="shared" si="14"/>
        <v>Cal-37</v>
      </c>
      <c r="F40" t="s">
        <v>44</v>
      </c>
      <c r="G40" s="105" t="s">
        <v>119</v>
      </c>
      <c r="H40" s="20" cm="1">
        <f t="array" ref="H40">INDEX(Financials!$B$5:$AI$260,FinancialWalk!K40,FinancialWalk!L40)</f>
        <v>9458765.1077670846</v>
      </c>
      <c r="K40">
        <f>SUMIFS(Financials!$A$5:$A$260,Financials!$D$5:$D$260,FinancialWalk!D40,Financials!$E$5:$E$260,FinancialWalk!E40,Financials!$F$5:$F$260,FinancialWalk!F40)</f>
        <v>253</v>
      </c>
      <c r="L40">
        <f t="shared" si="0"/>
        <v>16</v>
      </c>
    </row>
    <row r="41" spans="2:32" x14ac:dyDescent="0.3">
      <c r="B41" t="str">
        <f t="shared" si="13"/>
        <v>MarinusPortland</v>
      </c>
      <c r="C41" t="s">
        <v>64</v>
      </c>
      <c r="D41">
        <v>0.25</v>
      </c>
      <c r="E41" t="str">
        <f t="shared" si="14"/>
        <v>Cal-37</v>
      </c>
      <c r="F41" t="s">
        <v>44</v>
      </c>
      <c r="G41" s="105" t="s">
        <v>119</v>
      </c>
      <c r="H41" s="20" cm="1">
        <f t="array" ref="H41">INDEX(Financials!$B$5:$AI$260,FinancialWalk!K41,FinancialWalk!L41)</f>
        <v>9458765.1077670846</v>
      </c>
      <c r="K41">
        <f>SUMIFS(Financials!$A$5:$A$260,Financials!$D$5:$D$260,FinancialWalk!D41,Financials!$E$5:$E$260,FinancialWalk!E41,Financials!$F$5:$F$260,FinancialWalk!F41)</f>
        <v>253</v>
      </c>
      <c r="L41">
        <f t="shared" si="0"/>
        <v>16</v>
      </c>
    </row>
    <row r="42" spans="2:32" x14ac:dyDescent="0.3">
      <c r="B42" t="str">
        <f t="shared" si="13"/>
        <v>MarinusPortland</v>
      </c>
      <c r="C42" t="s">
        <v>64</v>
      </c>
      <c r="D42">
        <v>0.25</v>
      </c>
      <c r="E42" t="str">
        <f t="shared" si="14"/>
        <v>Cal-37</v>
      </c>
      <c r="F42" t="s">
        <v>44</v>
      </c>
      <c r="G42" s="105" t="s">
        <v>119</v>
      </c>
      <c r="H42" s="20" cm="1">
        <f t="array" ref="H42">INDEX(Financials!$B$5:$AI$260,FinancialWalk!K42,FinancialWalk!L42)</f>
        <v>9458765.1077670846</v>
      </c>
      <c r="K42">
        <f>SUMIFS(Financials!$A$5:$A$260,Financials!$D$5:$D$260,FinancialWalk!D42,Financials!$E$5:$E$260,FinancialWalk!E42,Financials!$F$5:$F$260,FinancialWalk!F42)</f>
        <v>253</v>
      </c>
      <c r="L42">
        <f t="shared" si="0"/>
        <v>16</v>
      </c>
    </row>
    <row r="43" spans="2:32" x14ac:dyDescent="0.3">
      <c r="B43" t="str">
        <f t="shared" si="13"/>
        <v>MarinusPortland</v>
      </c>
      <c r="C43" t="s">
        <v>64</v>
      </c>
      <c r="D43">
        <v>0.25</v>
      </c>
      <c r="E43" t="str">
        <f t="shared" si="14"/>
        <v>Cal-37</v>
      </c>
      <c r="F43" t="s">
        <v>44</v>
      </c>
      <c r="G43" s="105" t="s">
        <v>119</v>
      </c>
      <c r="H43" s="20" cm="1">
        <f t="array" ref="H43">INDEX(Financials!$B$5:$AI$260,FinancialWalk!K43,FinancialWalk!L43)</f>
        <v>9458765.1077670846</v>
      </c>
      <c r="K43">
        <f>SUMIFS(Financials!$A$5:$A$260,Financials!$D$5:$D$260,FinancialWalk!D43,Financials!$E$5:$E$260,FinancialWalk!E43,Financials!$F$5:$F$260,FinancialWalk!F43)</f>
        <v>253</v>
      </c>
      <c r="L43">
        <f t="shared" si="0"/>
        <v>16</v>
      </c>
    </row>
    <row r="44" spans="2:32" x14ac:dyDescent="0.3">
      <c r="B44" t="str">
        <f t="shared" si="13"/>
        <v>MarinusPortland</v>
      </c>
      <c r="C44" t="s">
        <v>64</v>
      </c>
      <c r="D44">
        <v>0.05</v>
      </c>
      <c r="E44" t="str">
        <f t="shared" si="14"/>
        <v>Cal-37</v>
      </c>
      <c r="F44" t="s">
        <v>44</v>
      </c>
      <c r="G44" s="105" t="s">
        <v>119</v>
      </c>
      <c r="H44" s="20" cm="1">
        <f t="array" ref="H44">INDEX(Financials!$B$5:$AI$260,FinancialWalk!K44,FinancialWalk!L44)</f>
        <v>6331042.0643511275</v>
      </c>
      <c r="K44">
        <f>SUMIFS(Financials!$A$5:$A$260,Financials!$D$5:$D$260,FinancialWalk!D44,Financials!$E$5:$E$260,FinancialWalk!E44,Financials!$F$5:$F$260,FinancialWalk!F44)</f>
        <v>254</v>
      </c>
      <c r="L44">
        <f t="shared" si="0"/>
        <v>16</v>
      </c>
    </row>
    <row r="45" spans="2:32" x14ac:dyDescent="0.3">
      <c r="B45" t="str">
        <f t="shared" si="13"/>
        <v>MarinusPortland</v>
      </c>
      <c r="C45" t="s">
        <v>64</v>
      </c>
      <c r="D45">
        <v>0.05</v>
      </c>
      <c r="E45" t="str">
        <f t="shared" si="14"/>
        <v>Cal-37</v>
      </c>
      <c r="F45" t="s">
        <v>44</v>
      </c>
      <c r="G45" s="105" t="s">
        <v>119</v>
      </c>
      <c r="H45" s="20" cm="1">
        <f t="array" ref="H45">INDEX(Financials!$B$5:$AI$260,FinancialWalk!K45,FinancialWalk!L45)</f>
        <v>6331042.0643511275</v>
      </c>
      <c r="K45">
        <f>SUMIFS(Financials!$A$5:$A$260,Financials!$D$5:$D$260,FinancialWalk!D45,Financials!$E$5:$E$260,FinancialWalk!E45,Financials!$F$5:$F$260,FinancialWalk!F45)</f>
        <v>254</v>
      </c>
      <c r="L45">
        <f t="shared" si="0"/>
        <v>16</v>
      </c>
    </row>
    <row r="46" spans="2:32" x14ac:dyDescent="0.3">
      <c r="B46" t="str">
        <f t="shared" si="13"/>
        <v>MarinusPortland</v>
      </c>
      <c r="C46" t="s">
        <v>64</v>
      </c>
      <c r="D46">
        <v>0.05</v>
      </c>
      <c r="E46" t="str">
        <f t="shared" si="14"/>
        <v>Cal-37</v>
      </c>
      <c r="F46" t="s">
        <v>44</v>
      </c>
      <c r="G46" s="105" t="s">
        <v>119</v>
      </c>
      <c r="H46" s="20" cm="1">
        <f t="array" ref="H46">INDEX(Financials!$B$5:$AI$260,FinancialWalk!K46,FinancialWalk!L46)</f>
        <v>6331042.0643511275</v>
      </c>
      <c r="K46">
        <f>SUMIFS(Financials!$A$5:$A$260,Financials!$D$5:$D$260,FinancialWalk!D46,Financials!$E$5:$E$260,FinancialWalk!E46,Financials!$F$5:$F$260,FinancialWalk!F46)</f>
        <v>254</v>
      </c>
      <c r="L46">
        <f t="shared" si="0"/>
        <v>16</v>
      </c>
    </row>
    <row r="47" spans="2:32" x14ac:dyDescent="0.3">
      <c r="B47" t="str">
        <f t="shared" si="13"/>
        <v>MarinusPortland</v>
      </c>
      <c r="C47" t="s">
        <v>64</v>
      </c>
      <c r="D47">
        <v>0</v>
      </c>
      <c r="E47" t="str">
        <f t="shared" si="14"/>
        <v>Cal-37</v>
      </c>
      <c r="F47" t="s">
        <v>44</v>
      </c>
      <c r="G47" s="105" t="s">
        <v>119</v>
      </c>
      <c r="H47" s="20" cm="1">
        <f t="array" ref="H47">INDEX(Financials!$B$5:$AI$260,FinancialWalk!K47,FinancialWalk!L47)</f>
        <v>2674674.1129752612</v>
      </c>
      <c r="K47">
        <f>SUMIFS(Financials!$A$5:$A$260,Financials!$D$5:$D$260,FinancialWalk!D47,Financials!$E$5:$E$260,FinancialWalk!E47,Financials!$F$5:$F$260,FinancialWalk!F47)</f>
        <v>255</v>
      </c>
      <c r="L47">
        <f t="shared" si="0"/>
        <v>16</v>
      </c>
    </row>
    <row r="48" spans="2:32" x14ac:dyDescent="0.3">
      <c r="B48" t="str">
        <f t="shared" si="13"/>
        <v>MarinusPortland</v>
      </c>
      <c r="C48" t="s">
        <v>64</v>
      </c>
      <c r="D48" t="s">
        <v>24</v>
      </c>
      <c r="E48" t="str">
        <f t="shared" si="14"/>
        <v>Cal-37</v>
      </c>
      <c r="F48" t="s">
        <v>44</v>
      </c>
      <c r="G48" s="105" t="s">
        <v>119</v>
      </c>
      <c r="H48" s="20" cm="1">
        <f t="array" ref="H48">INDEX(Financials!$B$5:$AI$260,FinancialWalk!K48,FinancialWalk!L48)</f>
        <v>11861086.730475305</v>
      </c>
      <c r="K48">
        <f>SUMIFS(Financials!$A$5:$A$260,Financials!$D$5:$D$260,FinancialWalk!D48,Financials!$E$5:$E$260,FinancialWalk!E48,Financials!$F$5:$F$260,FinancialWalk!F48)</f>
        <v>256</v>
      </c>
      <c r="L48">
        <f t="shared" si="0"/>
        <v>16</v>
      </c>
    </row>
    <row r="49" spans="2:12" x14ac:dyDescent="0.3">
      <c r="B49" t="str">
        <f>$B$2</f>
        <v>MarinusPortland</v>
      </c>
      <c r="C49" t="s">
        <v>64</v>
      </c>
      <c r="D49">
        <v>1</v>
      </c>
      <c r="E49" t="s">
        <v>18</v>
      </c>
      <c r="F49" t="s">
        <v>34</v>
      </c>
      <c r="G49" s="105" t="str">
        <f>$P$16</f>
        <v>Merchant NPV</v>
      </c>
      <c r="H49" s="20" cm="1">
        <f t="array" ref="H49">INDEX(Financials!$B$5:$AI$260,FinancialWalk!K49,FinancialWalk!L49)</f>
        <v>105111641.18370737</v>
      </c>
      <c r="K49">
        <f>SUMIFS(Financials!$A$5:$A$260,Financials!$D$5:$D$260,FinancialWalk!D49,Financials!$E$5:$E$260,FinancialWalk!E49,Financials!$F$5:$F$260,FinancialWalk!F49)</f>
        <v>121</v>
      </c>
      <c r="L49">
        <f t="shared" si="0"/>
        <v>17</v>
      </c>
    </row>
    <row r="50" spans="2:12" x14ac:dyDescent="0.3">
      <c r="B50" t="str">
        <f>B49</f>
        <v>MarinusPortland</v>
      </c>
      <c r="C50" t="s">
        <v>64</v>
      </c>
      <c r="D50">
        <v>0.95</v>
      </c>
      <c r="E50" t="str">
        <f>E49</f>
        <v>Cal-37</v>
      </c>
      <c r="F50" t="s">
        <v>34</v>
      </c>
      <c r="G50" s="105" t="str">
        <f t="shared" ref="G50:G92" si="15">$P$16</f>
        <v>Merchant NPV</v>
      </c>
      <c r="H50" s="20" cm="1">
        <f t="array" ref="H50">INDEX(Financials!$B$5:$AI$260,FinancialWalk!K50,FinancialWalk!L50)</f>
        <v>40875985.716373011</v>
      </c>
      <c r="K50">
        <f>SUMIFS(Financials!$A$5:$A$260,Financials!$D$5:$D$260,FinancialWalk!D50,Financials!$E$5:$E$260,FinancialWalk!E50,Financials!$F$5:$F$260,FinancialWalk!F50)</f>
        <v>122</v>
      </c>
      <c r="L50">
        <f t="shared" si="0"/>
        <v>17</v>
      </c>
    </row>
    <row r="51" spans="2:12" x14ac:dyDescent="0.3">
      <c r="B51" t="str">
        <f t="shared" ref="B51:B70" si="16">B50</f>
        <v>MarinusPortland</v>
      </c>
      <c r="C51" t="s">
        <v>64</v>
      </c>
      <c r="D51">
        <v>0.95</v>
      </c>
      <c r="E51" t="str">
        <f t="shared" ref="E51:E70" si="17">E50</f>
        <v>Cal-37</v>
      </c>
      <c r="F51" t="s">
        <v>34</v>
      </c>
      <c r="G51" s="105" t="str">
        <f t="shared" si="15"/>
        <v>Merchant NPV</v>
      </c>
      <c r="H51" s="20" cm="1">
        <f t="array" ref="H51">INDEX(Financials!$B$5:$AI$260,FinancialWalk!K51,FinancialWalk!L51)</f>
        <v>40875985.716373011</v>
      </c>
      <c r="K51">
        <f>SUMIFS(Financials!$A$5:$A$260,Financials!$D$5:$D$260,FinancialWalk!D51,Financials!$E$5:$E$260,FinancialWalk!E51,Financials!$F$5:$F$260,FinancialWalk!F51)</f>
        <v>122</v>
      </c>
      <c r="L51">
        <f t="shared" si="0"/>
        <v>17</v>
      </c>
    </row>
    <row r="52" spans="2:12" x14ac:dyDescent="0.3">
      <c r="B52" t="str">
        <f t="shared" si="16"/>
        <v>MarinusPortland</v>
      </c>
      <c r="C52" t="s">
        <v>64</v>
      </c>
      <c r="D52">
        <v>0.95</v>
      </c>
      <c r="E52" t="str">
        <f t="shared" si="17"/>
        <v>Cal-37</v>
      </c>
      <c r="F52" t="s">
        <v>34</v>
      </c>
      <c r="G52" s="105" t="str">
        <f t="shared" si="15"/>
        <v>Merchant NPV</v>
      </c>
      <c r="H52" s="20" cm="1">
        <f t="array" ref="H52">INDEX(Financials!$B$5:$AI$260,FinancialWalk!K52,FinancialWalk!L52)</f>
        <v>40875985.716373011</v>
      </c>
      <c r="K52">
        <f>SUMIFS(Financials!$A$5:$A$260,Financials!$D$5:$D$260,FinancialWalk!D52,Financials!$E$5:$E$260,FinancialWalk!E52,Financials!$F$5:$F$260,FinancialWalk!F52)</f>
        <v>122</v>
      </c>
      <c r="L52">
        <f t="shared" si="0"/>
        <v>17</v>
      </c>
    </row>
    <row r="53" spans="2:12" x14ac:dyDescent="0.3">
      <c r="B53" t="str">
        <f t="shared" si="16"/>
        <v>MarinusPortland</v>
      </c>
      <c r="C53" t="s">
        <v>64</v>
      </c>
      <c r="D53">
        <v>0.75</v>
      </c>
      <c r="E53" t="str">
        <f t="shared" si="17"/>
        <v>Cal-37</v>
      </c>
      <c r="F53" t="s">
        <v>34</v>
      </c>
      <c r="G53" s="105" t="str">
        <f t="shared" si="15"/>
        <v>Merchant NPV</v>
      </c>
      <c r="H53" s="20" cm="1">
        <f t="array" ref="H53">INDEX(Financials!$B$5:$AI$260,FinancialWalk!K53,FinancialWalk!L53)</f>
        <v>14303798.675663728</v>
      </c>
      <c r="K53">
        <f>SUMIFS(Financials!$A$5:$A$260,Financials!$D$5:$D$260,FinancialWalk!D53,Financials!$E$5:$E$260,FinancialWalk!E53,Financials!$F$5:$F$260,FinancialWalk!F53)</f>
        <v>123</v>
      </c>
      <c r="L53">
        <f t="shared" si="0"/>
        <v>17</v>
      </c>
    </row>
    <row r="54" spans="2:12" x14ac:dyDescent="0.3">
      <c r="B54" t="str">
        <f t="shared" si="16"/>
        <v>MarinusPortland</v>
      </c>
      <c r="C54" t="s">
        <v>64</v>
      </c>
      <c r="D54">
        <v>0.75</v>
      </c>
      <c r="E54" t="str">
        <f t="shared" si="17"/>
        <v>Cal-37</v>
      </c>
      <c r="F54" t="s">
        <v>34</v>
      </c>
      <c r="G54" s="105" t="str">
        <f t="shared" si="15"/>
        <v>Merchant NPV</v>
      </c>
      <c r="H54" s="20" cm="1">
        <f t="array" ref="H54">INDEX(Financials!$B$5:$AI$260,FinancialWalk!K54,FinancialWalk!L54)</f>
        <v>14303798.675663728</v>
      </c>
      <c r="K54">
        <f>SUMIFS(Financials!$A$5:$A$260,Financials!$D$5:$D$260,FinancialWalk!D54,Financials!$E$5:$E$260,FinancialWalk!E54,Financials!$F$5:$F$260,FinancialWalk!F54)</f>
        <v>123</v>
      </c>
      <c r="L54">
        <f t="shared" si="0"/>
        <v>17</v>
      </c>
    </row>
    <row r="55" spans="2:12" x14ac:dyDescent="0.3">
      <c r="B55" t="str">
        <f t="shared" si="16"/>
        <v>MarinusPortland</v>
      </c>
      <c r="C55" t="s">
        <v>64</v>
      </c>
      <c r="D55">
        <v>0.75</v>
      </c>
      <c r="E55" t="str">
        <f t="shared" si="17"/>
        <v>Cal-37</v>
      </c>
      <c r="F55" t="s">
        <v>34</v>
      </c>
      <c r="G55" s="105" t="str">
        <f t="shared" si="15"/>
        <v>Merchant NPV</v>
      </c>
      <c r="H55" s="20" cm="1">
        <f t="array" ref="H55">INDEX(Financials!$B$5:$AI$260,FinancialWalk!K55,FinancialWalk!L55)</f>
        <v>14303798.675663728</v>
      </c>
      <c r="K55">
        <f>SUMIFS(Financials!$A$5:$A$260,Financials!$D$5:$D$260,FinancialWalk!D55,Financials!$E$5:$E$260,FinancialWalk!E55,Financials!$F$5:$F$260,FinancialWalk!F55)</f>
        <v>123</v>
      </c>
      <c r="L55">
        <f t="shared" si="0"/>
        <v>17</v>
      </c>
    </row>
    <row r="56" spans="2:12" x14ac:dyDescent="0.3">
      <c r="B56" t="str">
        <f t="shared" si="16"/>
        <v>MarinusPortland</v>
      </c>
      <c r="C56" t="s">
        <v>64</v>
      </c>
      <c r="D56">
        <v>0.75</v>
      </c>
      <c r="E56" t="str">
        <f t="shared" si="17"/>
        <v>Cal-37</v>
      </c>
      <c r="F56" t="s">
        <v>34</v>
      </c>
      <c r="G56" s="105" t="str">
        <f t="shared" si="15"/>
        <v>Merchant NPV</v>
      </c>
      <c r="H56" s="20" cm="1">
        <f t="array" ref="H56">INDEX(Financials!$B$5:$AI$260,FinancialWalk!K56,FinancialWalk!L56)</f>
        <v>14303798.675663728</v>
      </c>
      <c r="K56">
        <f>SUMIFS(Financials!$A$5:$A$260,Financials!$D$5:$D$260,FinancialWalk!D56,Financials!$E$5:$E$260,FinancialWalk!E56,Financials!$F$5:$F$260,FinancialWalk!F56)</f>
        <v>123</v>
      </c>
      <c r="L56">
        <f t="shared" si="0"/>
        <v>17</v>
      </c>
    </row>
    <row r="57" spans="2:12" x14ac:dyDescent="0.3">
      <c r="B57" t="str">
        <f t="shared" si="16"/>
        <v>MarinusPortland</v>
      </c>
      <c r="C57" t="s">
        <v>64</v>
      </c>
      <c r="D57">
        <v>0.5</v>
      </c>
      <c r="E57" t="str">
        <f t="shared" si="17"/>
        <v>Cal-37</v>
      </c>
      <c r="F57" t="s">
        <v>34</v>
      </c>
      <c r="G57" s="105" t="str">
        <f t="shared" si="15"/>
        <v>Merchant NPV</v>
      </c>
      <c r="H57" s="20" cm="1">
        <f t="array" ref="H57">INDEX(Financials!$B$5:$AI$260,FinancialWalk!K57,FinancialWalk!L57)</f>
        <v>-1700959.9468414448</v>
      </c>
      <c r="K57">
        <f>SUMIFS(Financials!$A$5:$A$260,Financials!$D$5:$D$260,FinancialWalk!D57,Financials!$E$5:$E$260,FinancialWalk!E57,Financials!$F$5:$F$260,FinancialWalk!F57)</f>
        <v>124</v>
      </c>
      <c r="L57">
        <f t="shared" si="0"/>
        <v>17</v>
      </c>
    </row>
    <row r="58" spans="2:12" x14ac:dyDescent="0.3">
      <c r="B58" t="str">
        <f t="shared" si="16"/>
        <v>MarinusPortland</v>
      </c>
      <c r="C58" t="s">
        <v>64</v>
      </c>
      <c r="D58">
        <v>0.5</v>
      </c>
      <c r="E58" t="str">
        <f t="shared" si="17"/>
        <v>Cal-37</v>
      </c>
      <c r="F58" t="s">
        <v>34</v>
      </c>
      <c r="G58" s="105" t="str">
        <f t="shared" si="15"/>
        <v>Merchant NPV</v>
      </c>
      <c r="H58" s="20" cm="1">
        <f t="array" ref="H58">INDEX(Financials!$B$5:$AI$260,FinancialWalk!K58,FinancialWalk!L58)</f>
        <v>-1700959.9468414448</v>
      </c>
      <c r="K58">
        <f>SUMIFS(Financials!$A$5:$A$260,Financials!$D$5:$D$260,FinancialWalk!D58,Financials!$E$5:$E$260,FinancialWalk!E58,Financials!$F$5:$F$260,FinancialWalk!F58)</f>
        <v>124</v>
      </c>
      <c r="L58">
        <f t="shared" si="0"/>
        <v>17</v>
      </c>
    </row>
    <row r="59" spans="2:12" x14ac:dyDescent="0.3">
      <c r="B59" t="str">
        <f t="shared" si="16"/>
        <v>MarinusPortland</v>
      </c>
      <c r="C59" t="s">
        <v>64</v>
      </c>
      <c r="D59">
        <v>0.5</v>
      </c>
      <c r="E59" t="str">
        <f t="shared" si="17"/>
        <v>Cal-37</v>
      </c>
      <c r="F59" t="s">
        <v>34</v>
      </c>
      <c r="G59" s="105" t="str">
        <f t="shared" si="15"/>
        <v>Merchant NPV</v>
      </c>
      <c r="H59" s="20" cm="1">
        <f t="array" ref="H59">INDEX(Financials!$B$5:$AI$260,FinancialWalk!K59,FinancialWalk!L59)</f>
        <v>-1700959.9468414448</v>
      </c>
      <c r="K59">
        <f>SUMIFS(Financials!$A$5:$A$260,Financials!$D$5:$D$260,FinancialWalk!D59,Financials!$E$5:$E$260,FinancialWalk!E59,Financials!$F$5:$F$260,FinancialWalk!F59)</f>
        <v>124</v>
      </c>
      <c r="L59">
        <f t="shared" si="0"/>
        <v>17</v>
      </c>
    </row>
    <row r="60" spans="2:12" x14ac:dyDescent="0.3">
      <c r="B60" t="str">
        <f t="shared" si="16"/>
        <v>MarinusPortland</v>
      </c>
      <c r="C60" t="s">
        <v>64</v>
      </c>
      <c r="D60">
        <v>0.5</v>
      </c>
      <c r="E60" t="str">
        <f t="shared" si="17"/>
        <v>Cal-37</v>
      </c>
      <c r="F60" t="s">
        <v>34</v>
      </c>
      <c r="G60" s="105" t="str">
        <f t="shared" si="15"/>
        <v>Merchant NPV</v>
      </c>
      <c r="H60" s="20" cm="1">
        <f t="array" ref="H60">INDEX(Financials!$B$5:$AI$260,FinancialWalk!K60,FinancialWalk!L60)</f>
        <v>-1700959.9468414448</v>
      </c>
      <c r="K60">
        <f>SUMIFS(Financials!$A$5:$A$260,Financials!$D$5:$D$260,FinancialWalk!D60,Financials!$E$5:$E$260,FinancialWalk!E60,Financials!$F$5:$F$260,FinancialWalk!F60)</f>
        <v>124</v>
      </c>
      <c r="L60">
        <f t="shared" si="0"/>
        <v>17</v>
      </c>
    </row>
    <row r="61" spans="2:12" x14ac:dyDescent="0.3">
      <c r="B61" t="str">
        <f t="shared" si="16"/>
        <v>MarinusPortland</v>
      </c>
      <c r="C61" t="s">
        <v>64</v>
      </c>
      <c r="D61">
        <v>0.5</v>
      </c>
      <c r="E61" t="str">
        <f t="shared" si="17"/>
        <v>Cal-37</v>
      </c>
      <c r="F61" t="s">
        <v>34</v>
      </c>
      <c r="G61" s="105" t="str">
        <f t="shared" si="15"/>
        <v>Merchant NPV</v>
      </c>
      <c r="H61" s="20" cm="1">
        <f t="array" ref="H61">INDEX(Financials!$B$5:$AI$260,FinancialWalk!K61,FinancialWalk!L61)</f>
        <v>-1700959.9468414448</v>
      </c>
      <c r="K61">
        <f>SUMIFS(Financials!$A$5:$A$260,Financials!$D$5:$D$260,FinancialWalk!D61,Financials!$E$5:$E$260,FinancialWalk!E61,Financials!$F$5:$F$260,FinancialWalk!F61)</f>
        <v>124</v>
      </c>
      <c r="L61">
        <f t="shared" si="0"/>
        <v>17</v>
      </c>
    </row>
    <row r="62" spans="2:12" x14ac:dyDescent="0.3">
      <c r="B62" t="str">
        <f t="shared" si="16"/>
        <v>MarinusPortland</v>
      </c>
      <c r="C62" t="s">
        <v>64</v>
      </c>
      <c r="D62">
        <v>0.25</v>
      </c>
      <c r="E62" t="str">
        <f t="shared" si="17"/>
        <v>Cal-37</v>
      </c>
      <c r="F62" t="s">
        <v>34</v>
      </c>
      <c r="G62" s="105" t="str">
        <f t="shared" si="15"/>
        <v>Merchant NPV</v>
      </c>
      <c r="H62" s="20" cm="1">
        <f t="array" ref="H62">INDEX(Financials!$B$5:$AI$260,FinancialWalk!K62,FinancialWalk!L62)</f>
        <v>-17260555.353741746</v>
      </c>
      <c r="K62">
        <f>SUMIFS(Financials!$A$5:$A$260,Financials!$D$5:$D$260,FinancialWalk!D62,Financials!$E$5:$E$260,FinancialWalk!E62,Financials!$F$5:$F$260,FinancialWalk!F62)</f>
        <v>125</v>
      </c>
      <c r="L62">
        <f t="shared" si="0"/>
        <v>17</v>
      </c>
    </row>
    <row r="63" spans="2:12" x14ac:dyDescent="0.3">
      <c r="B63" t="str">
        <f t="shared" si="16"/>
        <v>MarinusPortland</v>
      </c>
      <c r="C63" t="s">
        <v>64</v>
      </c>
      <c r="D63">
        <v>0.25</v>
      </c>
      <c r="E63" t="str">
        <f t="shared" si="17"/>
        <v>Cal-37</v>
      </c>
      <c r="F63" t="s">
        <v>34</v>
      </c>
      <c r="G63" s="105" t="str">
        <f t="shared" si="15"/>
        <v>Merchant NPV</v>
      </c>
      <c r="H63" s="20" cm="1">
        <f t="array" ref="H63">INDEX(Financials!$B$5:$AI$260,FinancialWalk!K63,FinancialWalk!L63)</f>
        <v>-17260555.353741746</v>
      </c>
      <c r="K63">
        <f>SUMIFS(Financials!$A$5:$A$260,Financials!$D$5:$D$260,FinancialWalk!D63,Financials!$E$5:$E$260,FinancialWalk!E63,Financials!$F$5:$F$260,FinancialWalk!F63)</f>
        <v>125</v>
      </c>
      <c r="L63">
        <f t="shared" si="0"/>
        <v>17</v>
      </c>
    </row>
    <row r="64" spans="2:12" x14ac:dyDescent="0.3">
      <c r="B64" t="str">
        <f t="shared" si="16"/>
        <v>MarinusPortland</v>
      </c>
      <c r="C64" t="s">
        <v>64</v>
      </c>
      <c r="D64">
        <v>0.25</v>
      </c>
      <c r="E64" t="str">
        <f t="shared" si="17"/>
        <v>Cal-37</v>
      </c>
      <c r="F64" t="s">
        <v>34</v>
      </c>
      <c r="G64" s="105" t="str">
        <f t="shared" si="15"/>
        <v>Merchant NPV</v>
      </c>
      <c r="H64" s="20" cm="1">
        <f t="array" ref="H64">INDEX(Financials!$B$5:$AI$260,FinancialWalk!K64,FinancialWalk!L64)</f>
        <v>-17260555.353741746</v>
      </c>
      <c r="K64">
        <f>SUMIFS(Financials!$A$5:$A$260,Financials!$D$5:$D$260,FinancialWalk!D64,Financials!$E$5:$E$260,FinancialWalk!E64,Financials!$F$5:$F$260,FinancialWalk!F64)</f>
        <v>125</v>
      </c>
      <c r="L64">
        <f t="shared" si="0"/>
        <v>17</v>
      </c>
    </row>
    <row r="65" spans="2:12" x14ac:dyDescent="0.3">
      <c r="B65" t="str">
        <f t="shared" si="16"/>
        <v>MarinusPortland</v>
      </c>
      <c r="C65" t="s">
        <v>64</v>
      </c>
      <c r="D65">
        <v>0.25</v>
      </c>
      <c r="E65" t="str">
        <f t="shared" si="17"/>
        <v>Cal-37</v>
      </c>
      <c r="F65" t="s">
        <v>34</v>
      </c>
      <c r="G65" s="105" t="str">
        <f t="shared" si="15"/>
        <v>Merchant NPV</v>
      </c>
      <c r="H65" s="20" cm="1">
        <f t="array" ref="H65">INDEX(Financials!$B$5:$AI$260,FinancialWalk!K65,FinancialWalk!L65)</f>
        <v>-17260555.353741746</v>
      </c>
      <c r="K65">
        <f>SUMIFS(Financials!$A$5:$A$260,Financials!$D$5:$D$260,FinancialWalk!D65,Financials!$E$5:$E$260,FinancialWalk!E65,Financials!$F$5:$F$260,FinancialWalk!F65)</f>
        <v>125</v>
      </c>
      <c r="L65">
        <f t="shared" si="0"/>
        <v>17</v>
      </c>
    </row>
    <row r="66" spans="2:12" x14ac:dyDescent="0.3">
      <c r="B66" t="str">
        <f t="shared" si="16"/>
        <v>MarinusPortland</v>
      </c>
      <c r="C66" t="s">
        <v>64</v>
      </c>
      <c r="D66">
        <v>0.05</v>
      </c>
      <c r="E66" t="str">
        <f t="shared" si="17"/>
        <v>Cal-37</v>
      </c>
      <c r="F66" t="s">
        <v>34</v>
      </c>
      <c r="G66" s="105" t="str">
        <f t="shared" si="15"/>
        <v>Merchant NPV</v>
      </c>
      <c r="H66" s="20" cm="1">
        <f t="array" ref="H66">INDEX(Financials!$B$5:$AI$260,FinancialWalk!K66,FinancialWalk!L66)</f>
        <v>-37749461.133728862</v>
      </c>
      <c r="K66">
        <f>SUMIFS(Financials!$A$5:$A$260,Financials!$D$5:$D$260,FinancialWalk!D66,Financials!$E$5:$E$260,FinancialWalk!E66,Financials!$F$5:$F$260,FinancialWalk!F66)</f>
        <v>126</v>
      </c>
      <c r="L66">
        <f t="shared" si="0"/>
        <v>17</v>
      </c>
    </row>
    <row r="67" spans="2:12" x14ac:dyDescent="0.3">
      <c r="B67" t="str">
        <f t="shared" si="16"/>
        <v>MarinusPortland</v>
      </c>
      <c r="C67" t="s">
        <v>64</v>
      </c>
      <c r="D67">
        <v>0.05</v>
      </c>
      <c r="E67" t="str">
        <f t="shared" si="17"/>
        <v>Cal-37</v>
      </c>
      <c r="F67" t="s">
        <v>34</v>
      </c>
      <c r="G67" s="105" t="str">
        <f t="shared" si="15"/>
        <v>Merchant NPV</v>
      </c>
      <c r="H67" s="20" cm="1">
        <f t="array" ref="H67">INDEX(Financials!$B$5:$AI$260,FinancialWalk!K67,FinancialWalk!L67)</f>
        <v>-37749461.133728862</v>
      </c>
      <c r="K67">
        <f>SUMIFS(Financials!$A$5:$A$260,Financials!$D$5:$D$260,FinancialWalk!D67,Financials!$E$5:$E$260,FinancialWalk!E67,Financials!$F$5:$F$260,FinancialWalk!F67)</f>
        <v>126</v>
      </c>
      <c r="L67">
        <f t="shared" si="0"/>
        <v>17</v>
      </c>
    </row>
    <row r="68" spans="2:12" x14ac:dyDescent="0.3">
      <c r="B68" t="str">
        <f t="shared" si="16"/>
        <v>MarinusPortland</v>
      </c>
      <c r="C68" t="s">
        <v>64</v>
      </c>
      <c r="D68">
        <v>0.05</v>
      </c>
      <c r="E68" t="str">
        <f t="shared" si="17"/>
        <v>Cal-37</v>
      </c>
      <c r="F68" t="s">
        <v>34</v>
      </c>
      <c r="G68" s="105" t="str">
        <f t="shared" si="15"/>
        <v>Merchant NPV</v>
      </c>
      <c r="H68" s="20" cm="1">
        <f t="array" ref="H68">INDEX(Financials!$B$5:$AI$260,FinancialWalk!K68,FinancialWalk!L68)</f>
        <v>-37749461.133728862</v>
      </c>
      <c r="K68">
        <f>SUMIFS(Financials!$A$5:$A$260,Financials!$D$5:$D$260,FinancialWalk!D68,Financials!$E$5:$E$260,FinancialWalk!E68,Financials!$F$5:$F$260,FinancialWalk!F68)</f>
        <v>126</v>
      </c>
      <c r="L68">
        <f t="shared" si="0"/>
        <v>17</v>
      </c>
    </row>
    <row r="69" spans="2:12" x14ac:dyDescent="0.3">
      <c r="B69" t="str">
        <f t="shared" si="16"/>
        <v>MarinusPortland</v>
      </c>
      <c r="C69" t="s">
        <v>64</v>
      </c>
      <c r="D69">
        <v>0</v>
      </c>
      <c r="E69" t="str">
        <f t="shared" si="17"/>
        <v>Cal-37</v>
      </c>
      <c r="F69" t="s">
        <v>34</v>
      </c>
      <c r="G69" s="105" t="str">
        <f t="shared" si="15"/>
        <v>Merchant NPV</v>
      </c>
      <c r="H69" s="20" cm="1">
        <f t="array" ref="H69">INDEX(Financials!$B$5:$AI$260,FinancialWalk!K69,FinancialWalk!L69)</f>
        <v>-65717755.779421195</v>
      </c>
      <c r="K69">
        <f>SUMIFS(Financials!$A$5:$A$260,Financials!$D$5:$D$260,FinancialWalk!D69,Financials!$E$5:$E$260,FinancialWalk!E69,Financials!$F$5:$F$260,FinancialWalk!F69)</f>
        <v>127</v>
      </c>
      <c r="L69">
        <f t="shared" ref="L69:L132" si="18">VLOOKUP(G69,$P$5:$Q$33,2,FALSE)</f>
        <v>17</v>
      </c>
    </row>
    <row r="70" spans="2:12" x14ac:dyDescent="0.3">
      <c r="B70" t="str">
        <f t="shared" si="16"/>
        <v>MarinusPortland</v>
      </c>
      <c r="C70" t="s">
        <v>64</v>
      </c>
      <c r="D70" t="s">
        <v>24</v>
      </c>
      <c r="E70" t="str">
        <f t="shared" si="17"/>
        <v>Cal-37</v>
      </c>
      <c r="F70" t="s">
        <v>34</v>
      </c>
      <c r="G70" s="105" t="str">
        <f t="shared" si="15"/>
        <v>Merchant NPV</v>
      </c>
      <c r="H70" s="20" cm="1">
        <f t="array" ref="H70">INDEX(Financials!$B$5:$AI$260,FinancialWalk!K70,FinancialWalk!L70)</f>
        <v>-839599.03585351631</v>
      </c>
      <c r="K70">
        <f>SUMIFS(Financials!$A$5:$A$260,Financials!$D$5:$D$260,FinancialWalk!D70,Financials!$E$5:$E$260,FinancialWalk!E70,Financials!$F$5:$F$260,FinancialWalk!F70)</f>
        <v>128</v>
      </c>
      <c r="L70">
        <f t="shared" si="18"/>
        <v>17</v>
      </c>
    </row>
    <row r="71" spans="2:12" x14ac:dyDescent="0.3">
      <c r="B71" t="str">
        <f>$B$2</f>
        <v>MarinusPortland</v>
      </c>
      <c r="C71" t="s">
        <v>64</v>
      </c>
      <c r="D71">
        <v>1</v>
      </c>
      <c r="E71" t="s">
        <v>18</v>
      </c>
      <c r="F71" t="s">
        <v>44</v>
      </c>
      <c r="G71" s="105" t="str">
        <f t="shared" si="15"/>
        <v>Merchant NPV</v>
      </c>
      <c r="H71" s="20" cm="1">
        <f t="array" ref="H71">INDEX(Financials!$B$5:$AI$260,FinancialWalk!K71,FinancialWalk!L71)</f>
        <v>81976795.309790716</v>
      </c>
      <c r="K71">
        <f>SUMIFS(Financials!$A$5:$A$260,Financials!$D$5:$D$260,FinancialWalk!D71,Financials!$E$5:$E$260,FinancialWalk!E71,Financials!$F$5:$F$260,FinancialWalk!F71)</f>
        <v>249</v>
      </c>
      <c r="L71">
        <f t="shared" si="18"/>
        <v>17</v>
      </c>
    </row>
    <row r="72" spans="2:12" x14ac:dyDescent="0.3">
      <c r="B72" t="str">
        <f>B71</f>
        <v>MarinusPortland</v>
      </c>
      <c r="C72" t="s">
        <v>64</v>
      </c>
      <c r="D72">
        <v>0.95</v>
      </c>
      <c r="E72" t="str">
        <f>E71</f>
        <v>Cal-37</v>
      </c>
      <c r="F72" t="s">
        <v>44</v>
      </c>
      <c r="G72" s="105" t="str">
        <f t="shared" si="15"/>
        <v>Merchant NPV</v>
      </c>
      <c r="H72" s="20" cm="1">
        <f t="array" ref="H72">INDEX(Financials!$B$5:$AI$260,FinancialWalk!K72,FinancialWalk!L72)</f>
        <v>32122947.567321531</v>
      </c>
      <c r="K72">
        <f>SUMIFS(Financials!$A$5:$A$260,Financials!$D$5:$D$260,FinancialWalk!D72,Financials!$E$5:$E$260,FinancialWalk!E72,Financials!$F$5:$F$260,FinancialWalk!F72)</f>
        <v>250</v>
      </c>
      <c r="L72">
        <f t="shared" si="18"/>
        <v>17</v>
      </c>
    </row>
    <row r="73" spans="2:12" x14ac:dyDescent="0.3">
      <c r="B73" t="str">
        <f t="shared" ref="B73:B92" si="19">B72</f>
        <v>MarinusPortland</v>
      </c>
      <c r="C73" t="s">
        <v>64</v>
      </c>
      <c r="D73">
        <v>0.95</v>
      </c>
      <c r="E73" t="str">
        <f t="shared" ref="E73:E92" si="20">E72</f>
        <v>Cal-37</v>
      </c>
      <c r="F73" t="s">
        <v>44</v>
      </c>
      <c r="G73" s="105" t="str">
        <f t="shared" si="15"/>
        <v>Merchant NPV</v>
      </c>
      <c r="H73" s="20" cm="1">
        <f t="array" ref="H73">INDEX(Financials!$B$5:$AI$260,FinancialWalk!K73,FinancialWalk!L73)</f>
        <v>32122947.567321531</v>
      </c>
      <c r="K73">
        <f>SUMIFS(Financials!$A$5:$A$260,Financials!$D$5:$D$260,FinancialWalk!D73,Financials!$E$5:$E$260,FinancialWalk!E73,Financials!$F$5:$F$260,FinancialWalk!F73)</f>
        <v>250</v>
      </c>
      <c r="L73">
        <f t="shared" si="18"/>
        <v>17</v>
      </c>
    </row>
    <row r="74" spans="2:12" x14ac:dyDescent="0.3">
      <c r="B74" t="str">
        <f t="shared" si="19"/>
        <v>MarinusPortland</v>
      </c>
      <c r="C74" t="s">
        <v>64</v>
      </c>
      <c r="D74">
        <v>0.95</v>
      </c>
      <c r="E74" t="str">
        <f t="shared" si="20"/>
        <v>Cal-37</v>
      </c>
      <c r="F74" t="s">
        <v>44</v>
      </c>
      <c r="G74" s="105" t="str">
        <f t="shared" si="15"/>
        <v>Merchant NPV</v>
      </c>
      <c r="H74" s="20" cm="1">
        <f t="array" ref="H74">INDEX(Financials!$B$5:$AI$260,FinancialWalk!K74,FinancialWalk!L74)</f>
        <v>32122947.567321531</v>
      </c>
      <c r="K74">
        <f>SUMIFS(Financials!$A$5:$A$260,Financials!$D$5:$D$260,FinancialWalk!D74,Financials!$E$5:$E$260,FinancialWalk!E74,Financials!$F$5:$F$260,FinancialWalk!F74)</f>
        <v>250</v>
      </c>
      <c r="L74">
        <f t="shared" si="18"/>
        <v>17</v>
      </c>
    </row>
    <row r="75" spans="2:12" x14ac:dyDescent="0.3">
      <c r="B75" t="str">
        <f t="shared" si="19"/>
        <v>MarinusPortland</v>
      </c>
      <c r="C75" t="s">
        <v>64</v>
      </c>
      <c r="D75">
        <v>0.75</v>
      </c>
      <c r="E75" t="str">
        <f t="shared" si="20"/>
        <v>Cal-37</v>
      </c>
      <c r="F75" t="s">
        <v>44</v>
      </c>
      <c r="G75" s="105" t="str">
        <f t="shared" si="15"/>
        <v>Merchant NPV</v>
      </c>
      <c r="H75" s="20" cm="1">
        <f t="array" ref="H75">INDEX(Financials!$B$5:$AI$260,FinancialWalk!K75,FinancialWalk!L75)</f>
        <v>12854685.292024098</v>
      </c>
      <c r="K75">
        <f>SUMIFS(Financials!$A$5:$A$260,Financials!$D$5:$D$260,FinancialWalk!D75,Financials!$E$5:$E$260,FinancialWalk!E75,Financials!$F$5:$F$260,FinancialWalk!F75)</f>
        <v>251</v>
      </c>
      <c r="L75">
        <f t="shared" si="18"/>
        <v>17</v>
      </c>
    </row>
    <row r="76" spans="2:12" x14ac:dyDescent="0.3">
      <c r="B76" t="str">
        <f t="shared" si="19"/>
        <v>MarinusPortland</v>
      </c>
      <c r="C76" t="s">
        <v>64</v>
      </c>
      <c r="D76">
        <v>0.75</v>
      </c>
      <c r="E76" t="str">
        <f t="shared" si="20"/>
        <v>Cal-37</v>
      </c>
      <c r="F76" t="s">
        <v>44</v>
      </c>
      <c r="G76" s="105" t="str">
        <f t="shared" si="15"/>
        <v>Merchant NPV</v>
      </c>
      <c r="H76" s="20" cm="1">
        <f t="array" ref="H76">INDEX(Financials!$B$5:$AI$260,FinancialWalk!K76,FinancialWalk!L76)</f>
        <v>12854685.292024098</v>
      </c>
      <c r="K76">
        <f>SUMIFS(Financials!$A$5:$A$260,Financials!$D$5:$D$260,FinancialWalk!D76,Financials!$E$5:$E$260,FinancialWalk!E76,Financials!$F$5:$F$260,FinancialWalk!F76)</f>
        <v>251</v>
      </c>
      <c r="L76">
        <f t="shared" si="18"/>
        <v>17</v>
      </c>
    </row>
    <row r="77" spans="2:12" x14ac:dyDescent="0.3">
      <c r="B77" t="str">
        <f t="shared" si="19"/>
        <v>MarinusPortland</v>
      </c>
      <c r="C77" t="s">
        <v>64</v>
      </c>
      <c r="D77">
        <v>0.75</v>
      </c>
      <c r="E77" t="str">
        <f t="shared" si="20"/>
        <v>Cal-37</v>
      </c>
      <c r="F77" t="s">
        <v>44</v>
      </c>
      <c r="G77" s="105" t="str">
        <f t="shared" si="15"/>
        <v>Merchant NPV</v>
      </c>
      <c r="H77" s="20" cm="1">
        <f t="array" ref="H77">INDEX(Financials!$B$5:$AI$260,FinancialWalk!K77,FinancialWalk!L77)</f>
        <v>12854685.292024098</v>
      </c>
      <c r="K77">
        <f>SUMIFS(Financials!$A$5:$A$260,Financials!$D$5:$D$260,FinancialWalk!D77,Financials!$E$5:$E$260,FinancialWalk!E77,Financials!$F$5:$F$260,FinancialWalk!F77)</f>
        <v>251</v>
      </c>
      <c r="L77">
        <f t="shared" si="18"/>
        <v>17</v>
      </c>
    </row>
    <row r="78" spans="2:12" x14ac:dyDescent="0.3">
      <c r="B78" t="str">
        <f t="shared" si="19"/>
        <v>MarinusPortland</v>
      </c>
      <c r="C78" t="s">
        <v>64</v>
      </c>
      <c r="D78">
        <v>0.75</v>
      </c>
      <c r="E78" t="str">
        <f t="shared" si="20"/>
        <v>Cal-37</v>
      </c>
      <c r="F78" t="s">
        <v>44</v>
      </c>
      <c r="G78" s="105" t="str">
        <f t="shared" si="15"/>
        <v>Merchant NPV</v>
      </c>
      <c r="H78" s="20" cm="1">
        <f t="array" ref="H78">INDEX(Financials!$B$5:$AI$260,FinancialWalk!K78,FinancialWalk!L78)</f>
        <v>12854685.292024098</v>
      </c>
      <c r="K78">
        <f>SUMIFS(Financials!$A$5:$A$260,Financials!$D$5:$D$260,FinancialWalk!D78,Financials!$E$5:$E$260,FinancialWalk!E78,Financials!$F$5:$F$260,FinancialWalk!F78)</f>
        <v>251</v>
      </c>
      <c r="L78">
        <f t="shared" si="18"/>
        <v>17</v>
      </c>
    </row>
    <row r="79" spans="2:12" x14ac:dyDescent="0.3">
      <c r="B79" t="str">
        <f t="shared" si="19"/>
        <v>MarinusPortland</v>
      </c>
      <c r="C79" t="s">
        <v>64</v>
      </c>
      <c r="D79">
        <v>0.5</v>
      </c>
      <c r="E79" t="str">
        <f t="shared" si="20"/>
        <v>Cal-37</v>
      </c>
      <c r="F79" t="s">
        <v>44</v>
      </c>
      <c r="G79" s="105" t="str">
        <f t="shared" si="15"/>
        <v>Merchant NPV</v>
      </c>
      <c r="H79" s="20" cm="1">
        <f t="array" ref="H79">INDEX(Financials!$B$5:$AI$260,FinancialWalk!K79,FinancialWalk!L79)</f>
        <v>-889375.73065171437</v>
      </c>
      <c r="K79">
        <f>SUMIFS(Financials!$A$5:$A$260,Financials!$D$5:$D$260,FinancialWalk!D79,Financials!$E$5:$E$260,FinancialWalk!E79,Financials!$F$5:$F$260,FinancialWalk!F79)</f>
        <v>252</v>
      </c>
      <c r="L79">
        <f t="shared" si="18"/>
        <v>17</v>
      </c>
    </row>
    <row r="80" spans="2:12" x14ac:dyDescent="0.3">
      <c r="B80" t="str">
        <f t="shared" si="19"/>
        <v>MarinusPortland</v>
      </c>
      <c r="C80" t="s">
        <v>64</v>
      </c>
      <c r="D80">
        <v>0.5</v>
      </c>
      <c r="E80" t="str">
        <f t="shared" si="20"/>
        <v>Cal-37</v>
      </c>
      <c r="F80" t="s">
        <v>44</v>
      </c>
      <c r="G80" s="105" t="str">
        <f t="shared" si="15"/>
        <v>Merchant NPV</v>
      </c>
      <c r="H80" s="20" cm="1">
        <f t="array" ref="H80">INDEX(Financials!$B$5:$AI$260,FinancialWalk!K80,FinancialWalk!L80)</f>
        <v>-889375.73065171437</v>
      </c>
      <c r="K80">
        <f>SUMIFS(Financials!$A$5:$A$260,Financials!$D$5:$D$260,FinancialWalk!D80,Financials!$E$5:$E$260,FinancialWalk!E80,Financials!$F$5:$F$260,FinancialWalk!F80)</f>
        <v>252</v>
      </c>
      <c r="L80">
        <f t="shared" si="18"/>
        <v>17</v>
      </c>
    </row>
    <row r="81" spans="2:12" x14ac:dyDescent="0.3">
      <c r="B81" t="str">
        <f t="shared" si="19"/>
        <v>MarinusPortland</v>
      </c>
      <c r="C81" t="s">
        <v>64</v>
      </c>
      <c r="D81">
        <v>0.5</v>
      </c>
      <c r="E81" t="str">
        <f t="shared" si="20"/>
        <v>Cal-37</v>
      </c>
      <c r="F81" t="s">
        <v>44</v>
      </c>
      <c r="G81" s="105" t="str">
        <f t="shared" si="15"/>
        <v>Merchant NPV</v>
      </c>
      <c r="H81" s="20" cm="1">
        <f t="array" ref="H81">INDEX(Financials!$B$5:$AI$260,FinancialWalk!K81,FinancialWalk!L81)</f>
        <v>-889375.73065171437</v>
      </c>
      <c r="K81">
        <f>SUMIFS(Financials!$A$5:$A$260,Financials!$D$5:$D$260,FinancialWalk!D81,Financials!$E$5:$E$260,FinancialWalk!E81,Financials!$F$5:$F$260,FinancialWalk!F81)</f>
        <v>252</v>
      </c>
      <c r="L81">
        <f t="shared" si="18"/>
        <v>17</v>
      </c>
    </row>
    <row r="82" spans="2:12" x14ac:dyDescent="0.3">
      <c r="B82" t="str">
        <f t="shared" si="19"/>
        <v>MarinusPortland</v>
      </c>
      <c r="C82" t="s">
        <v>64</v>
      </c>
      <c r="D82">
        <v>0.5</v>
      </c>
      <c r="E82" t="str">
        <f t="shared" si="20"/>
        <v>Cal-37</v>
      </c>
      <c r="F82" t="s">
        <v>44</v>
      </c>
      <c r="G82" s="105" t="str">
        <f t="shared" si="15"/>
        <v>Merchant NPV</v>
      </c>
      <c r="H82" s="20" cm="1">
        <f t="array" ref="H82">INDEX(Financials!$B$5:$AI$260,FinancialWalk!K82,FinancialWalk!L82)</f>
        <v>-889375.73065171437</v>
      </c>
      <c r="K82">
        <f>SUMIFS(Financials!$A$5:$A$260,Financials!$D$5:$D$260,FinancialWalk!D82,Financials!$E$5:$E$260,FinancialWalk!E82,Financials!$F$5:$F$260,FinancialWalk!F82)</f>
        <v>252</v>
      </c>
      <c r="L82">
        <f t="shared" si="18"/>
        <v>17</v>
      </c>
    </row>
    <row r="83" spans="2:12" x14ac:dyDescent="0.3">
      <c r="B83" t="str">
        <f t="shared" si="19"/>
        <v>MarinusPortland</v>
      </c>
      <c r="C83" t="s">
        <v>64</v>
      </c>
      <c r="D83">
        <v>0.5</v>
      </c>
      <c r="E83" t="str">
        <f t="shared" si="20"/>
        <v>Cal-37</v>
      </c>
      <c r="F83" t="s">
        <v>44</v>
      </c>
      <c r="G83" s="105" t="str">
        <f t="shared" si="15"/>
        <v>Merchant NPV</v>
      </c>
      <c r="H83" s="20" cm="1">
        <f t="array" ref="H83">INDEX(Financials!$B$5:$AI$260,FinancialWalk!K83,FinancialWalk!L83)</f>
        <v>-889375.73065171437</v>
      </c>
      <c r="K83">
        <f>SUMIFS(Financials!$A$5:$A$260,Financials!$D$5:$D$260,FinancialWalk!D83,Financials!$E$5:$E$260,FinancialWalk!E83,Financials!$F$5:$F$260,FinancialWalk!F83)</f>
        <v>252</v>
      </c>
      <c r="L83">
        <f t="shared" si="18"/>
        <v>17</v>
      </c>
    </row>
    <row r="84" spans="2:12" x14ac:dyDescent="0.3">
      <c r="B84" t="str">
        <f t="shared" si="19"/>
        <v>MarinusPortland</v>
      </c>
      <c r="C84" t="s">
        <v>64</v>
      </c>
      <c r="D84">
        <v>0.25</v>
      </c>
      <c r="E84" t="str">
        <f t="shared" si="20"/>
        <v>Cal-37</v>
      </c>
      <c r="F84" t="s">
        <v>44</v>
      </c>
      <c r="G84" s="105" t="str">
        <f t="shared" si="15"/>
        <v>Merchant NPV</v>
      </c>
      <c r="H84" s="20" cm="1">
        <f t="array" ref="H84">INDEX(Financials!$B$5:$AI$260,FinancialWalk!K84,FinancialWalk!L84)</f>
        <v>-15337416.882411242</v>
      </c>
      <c r="K84">
        <f>SUMIFS(Financials!$A$5:$A$260,Financials!$D$5:$D$260,FinancialWalk!D84,Financials!$E$5:$E$260,FinancialWalk!E84,Financials!$F$5:$F$260,FinancialWalk!F84)</f>
        <v>253</v>
      </c>
      <c r="L84">
        <f t="shared" si="18"/>
        <v>17</v>
      </c>
    </row>
    <row r="85" spans="2:12" x14ac:dyDescent="0.3">
      <c r="B85" t="str">
        <f t="shared" si="19"/>
        <v>MarinusPortland</v>
      </c>
      <c r="C85" t="s">
        <v>64</v>
      </c>
      <c r="D85">
        <v>0.25</v>
      </c>
      <c r="E85" t="str">
        <f t="shared" si="20"/>
        <v>Cal-37</v>
      </c>
      <c r="F85" t="s">
        <v>44</v>
      </c>
      <c r="G85" s="105" t="str">
        <f t="shared" si="15"/>
        <v>Merchant NPV</v>
      </c>
      <c r="H85" s="20" cm="1">
        <f t="array" ref="H85">INDEX(Financials!$B$5:$AI$260,FinancialWalk!K85,FinancialWalk!L85)</f>
        <v>-15337416.882411242</v>
      </c>
      <c r="K85">
        <f>SUMIFS(Financials!$A$5:$A$260,Financials!$D$5:$D$260,FinancialWalk!D85,Financials!$E$5:$E$260,FinancialWalk!E85,Financials!$F$5:$F$260,FinancialWalk!F85)</f>
        <v>253</v>
      </c>
      <c r="L85">
        <f t="shared" si="18"/>
        <v>17</v>
      </c>
    </row>
    <row r="86" spans="2:12" x14ac:dyDescent="0.3">
      <c r="B86" t="str">
        <f t="shared" si="19"/>
        <v>MarinusPortland</v>
      </c>
      <c r="C86" t="s">
        <v>64</v>
      </c>
      <c r="D86">
        <v>0.25</v>
      </c>
      <c r="E86" t="str">
        <f t="shared" si="20"/>
        <v>Cal-37</v>
      </c>
      <c r="F86" t="s">
        <v>44</v>
      </c>
      <c r="G86" s="105" t="str">
        <f t="shared" si="15"/>
        <v>Merchant NPV</v>
      </c>
      <c r="H86" s="20" cm="1">
        <f t="array" ref="H86">INDEX(Financials!$B$5:$AI$260,FinancialWalk!K86,FinancialWalk!L86)</f>
        <v>-15337416.882411242</v>
      </c>
      <c r="K86">
        <f>SUMIFS(Financials!$A$5:$A$260,Financials!$D$5:$D$260,FinancialWalk!D86,Financials!$E$5:$E$260,FinancialWalk!E86,Financials!$F$5:$F$260,FinancialWalk!F86)</f>
        <v>253</v>
      </c>
      <c r="L86">
        <f t="shared" si="18"/>
        <v>17</v>
      </c>
    </row>
    <row r="87" spans="2:12" x14ac:dyDescent="0.3">
      <c r="B87" t="str">
        <f t="shared" si="19"/>
        <v>MarinusPortland</v>
      </c>
      <c r="C87" t="s">
        <v>64</v>
      </c>
      <c r="D87">
        <v>0.25</v>
      </c>
      <c r="E87" t="str">
        <f t="shared" si="20"/>
        <v>Cal-37</v>
      </c>
      <c r="F87" t="s">
        <v>44</v>
      </c>
      <c r="G87" s="105" t="str">
        <f t="shared" si="15"/>
        <v>Merchant NPV</v>
      </c>
      <c r="H87" s="20" cm="1">
        <f t="array" ref="H87">INDEX(Financials!$B$5:$AI$260,FinancialWalk!K87,FinancialWalk!L87)</f>
        <v>-15337416.882411242</v>
      </c>
      <c r="K87">
        <f>SUMIFS(Financials!$A$5:$A$260,Financials!$D$5:$D$260,FinancialWalk!D87,Financials!$E$5:$E$260,FinancialWalk!E87,Financials!$F$5:$F$260,FinancialWalk!F87)</f>
        <v>253</v>
      </c>
      <c r="L87">
        <f t="shared" si="18"/>
        <v>17</v>
      </c>
    </row>
    <row r="88" spans="2:12" x14ac:dyDescent="0.3">
      <c r="B88" t="str">
        <f t="shared" si="19"/>
        <v>MarinusPortland</v>
      </c>
      <c r="C88" t="s">
        <v>64</v>
      </c>
      <c r="D88">
        <v>0.05</v>
      </c>
      <c r="E88" t="str">
        <f t="shared" si="20"/>
        <v>Cal-37</v>
      </c>
      <c r="F88" t="s">
        <v>44</v>
      </c>
      <c r="G88" s="105" t="str">
        <f t="shared" si="15"/>
        <v>Merchant NPV</v>
      </c>
      <c r="H88" s="20" cm="1">
        <f t="array" ref="H88">INDEX(Financials!$B$5:$AI$260,FinancialWalk!K88,FinancialWalk!L88)</f>
        <v>-33775634.190112993</v>
      </c>
      <c r="K88">
        <f>SUMIFS(Financials!$A$5:$A$260,Financials!$D$5:$D$260,FinancialWalk!D88,Financials!$E$5:$E$260,FinancialWalk!E88,Financials!$F$5:$F$260,FinancialWalk!F88)</f>
        <v>254</v>
      </c>
      <c r="L88">
        <f t="shared" si="18"/>
        <v>17</v>
      </c>
    </row>
    <row r="89" spans="2:12" x14ac:dyDescent="0.3">
      <c r="B89" t="str">
        <f t="shared" si="19"/>
        <v>MarinusPortland</v>
      </c>
      <c r="C89" t="s">
        <v>64</v>
      </c>
      <c r="D89">
        <v>0.05</v>
      </c>
      <c r="E89" t="str">
        <f t="shared" si="20"/>
        <v>Cal-37</v>
      </c>
      <c r="F89" t="s">
        <v>44</v>
      </c>
      <c r="G89" s="105" t="str">
        <f t="shared" si="15"/>
        <v>Merchant NPV</v>
      </c>
      <c r="H89" s="20" cm="1">
        <f t="array" ref="H89">INDEX(Financials!$B$5:$AI$260,FinancialWalk!K89,FinancialWalk!L89)</f>
        <v>-33775634.190112993</v>
      </c>
      <c r="K89">
        <f>SUMIFS(Financials!$A$5:$A$260,Financials!$D$5:$D$260,FinancialWalk!D89,Financials!$E$5:$E$260,FinancialWalk!E89,Financials!$F$5:$F$260,FinancialWalk!F89)</f>
        <v>254</v>
      </c>
      <c r="L89">
        <f t="shared" si="18"/>
        <v>17</v>
      </c>
    </row>
    <row r="90" spans="2:12" x14ac:dyDescent="0.3">
      <c r="B90" t="str">
        <f t="shared" si="19"/>
        <v>MarinusPortland</v>
      </c>
      <c r="C90" t="s">
        <v>64</v>
      </c>
      <c r="D90">
        <v>0.05</v>
      </c>
      <c r="E90" t="str">
        <f t="shared" si="20"/>
        <v>Cal-37</v>
      </c>
      <c r="F90" t="s">
        <v>44</v>
      </c>
      <c r="G90" s="105" t="str">
        <f t="shared" si="15"/>
        <v>Merchant NPV</v>
      </c>
      <c r="H90" s="20" cm="1">
        <f t="array" ref="H90">INDEX(Financials!$B$5:$AI$260,FinancialWalk!K90,FinancialWalk!L90)</f>
        <v>-33775634.190112993</v>
      </c>
      <c r="K90">
        <f>SUMIFS(Financials!$A$5:$A$260,Financials!$D$5:$D$260,FinancialWalk!D90,Financials!$E$5:$E$260,FinancialWalk!E90,Financials!$F$5:$F$260,FinancialWalk!F90)</f>
        <v>254</v>
      </c>
      <c r="L90">
        <f t="shared" si="18"/>
        <v>17</v>
      </c>
    </row>
    <row r="91" spans="2:12" x14ac:dyDescent="0.3">
      <c r="B91" t="str">
        <f t="shared" si="19"/>
        <v>MarinusPortland</v>
      </c>
      <c r="C91" t="s">
        <v>64</v>
      </c>
      <c r="D91">
        <v>0</v>
      </c>
      <c r="E91" t="str">
        <f t="shared" si="20"/>
        <v>Cal-37</v>
      </c>
      <c r="F91" t="s">
        <v>44</v>
      </c>
      <c r="G91" s="105" t="str">
        <f t="shared" si="15"/>
        <v>Merchant NPV</v>
      </c>
      <c r="H91" s="20" cm="1">
        <f t="array" ref="H91">INDEX(Financials!$B$5:$AI$260,FinancialWalk!K91,FinancialWalk!L91)</f>
        <v>-55330262.240157597</v>
      </c>
      <c r="K91">
        <f>SUMIFS(Financials!$A$5:$A$260,Financials!$D$5:$D$260,FinancialWalk!D91,Financials!$E$5:$E$260,FinancialWalk!E91,Financials!$F$5:$F$260,FinancialWalk!F91)</f>
        <v>255</v>
      </c>
      <c r="L91">
        <f t="shared" si="18"/>
        <v>17</v>
      </c>
    </row>
    <row r="92" spans="2:12" x14ac:dyDescent="0.3">
      <c r="B92" t="str">
        <f t="shared" si="19"/>
        <v>MarinusPortland</v>
      </c>
      <c r="C92" t="s">
        <v>64</v>
      </c>
      <c r="D92" t="s">
        <v>24</v>
      </c>
      <c r="E92" t="str">
        <f t="shared" si="20"/>
        <v>Cal-37</v>
      </c>
      <c r="F92" t="s">
        <v>44</v>
      </c>
      <c r="G92" s="105" t="str">
        <f t="shared" si="15"/>
        <v>Merchant NPV</v>
      </c>
      <c r="H92" s="20" cm="1">
        <f t="array" ref="H92">INDEX(Financials!$B$5:$AI$260,FinancialWalk!K92,FinancialWalk!L92)</f>
        <v>-1175508.2007178743</v>
      </c>
      <c r="K92">
        <f>SUMIFS(Financials!$A$5:$A$260,Financials!$D$5:$D$260,FinancialWalk!D92,Financials!$E$5:$E$260,FinancialWalk!E92,Financials!$F$5:$F$260,FinancialWalk!F92)</f>
        <v>256</v>
      </c>
      <c r="L92">
        <f t="shared" si="18"/>
        <v>17</v>
      </c>
    </row>
    <row r="93" spans="2:12" x14ac:dyDescent="0.3">
      <c r="B93" t="str">
        <f>$B$2</f>
        <v>MarinusPortland</v>
      </c>
      <c r="C93" t="s">
        <v>64</v>
      </c>
      <c r="D93">
        <v>1</v>
      </c>
      <c r="E93" t="s">
        <v>18</v>
      </c>
      <c r="F93" t="s">
        <v>34</v>
      </c>
      <c r="G93" s="105" t="str">
        <f>$P$17</f>
        <v>Merchant ROI</v>
      </c>
      <c r="H93" s="13" cm="1">
        <f t="array" ref="H93">INDEX(Financials!$B$5:$AI$260,FinancialWalk!K93,FinancialWalk!L93)</f>
        <v>1.5186386069055269</v>
      </c>
      <c r="K93">
        <f>SUMIFS(Financials!$A$5:$A$260,Financials!$D$5:$D$260,FinancialWalk!D93,Financials!$E$5:$E$260,FinancialWalk!E93,Financials!$F$5:$F$260,FinancialWalk!F93)</f>
        <v>121</v>
      </c>
      <c r="L93">
        <f t="shared" si="18"/>
        <v>18</v>
      </c>
    </row>
    <row r="94" spans="2:12" x14ac:dyDescent="0.3">
      <c r="B94" t="str">
        <f>B93</f>
        <v>MarinusPortland</v>
      </c>
      <c r="C94" t="s">
        <v>64</v>
      </c>
      <c r="D94">
        <v>0.95</v>
      </c>
      <c r="E94" t="str">
        <f>E93</f>
        <v>Cal-37</v>
      </c>
      <c r="F94" t="s">
        <v>34</v>
      </c>
      <c r="G94" s="105" t="str">
        <f t="shared" ref="G94:G136" si="21">$P$17</f>
        <v>Merchant ROI</v>
      </c>
      <c r="H94" s="13" cm="1">
        <f t="array" ref="H94">INDEX(Financials!$B$5:$AI$260,FinancialWalk!K94,FinancialWalk!L94)</f>
        <v>0.5905706476003999</v>
      </c>
      <c r="K94">
        <f>SUMIFS(Financials!$A$5:$A$260,Financials!$D$5:$D$260,FinancialWalk!D94,Financials!$E$5:$E$260,FinancialWalk!E94,Financials!$F$5:$F$260,FinancialWalk!F94)</f>
        <v>122</v>
      </c>
      <c r="L94">
        <f t="shared" si="18"/>
        <v>18</v>
      </c>
    </row>
    <row r="95" spans="2:12" x14ac:dyDescent="0.3">
      <c r="B95" t="str">
        <f t="shared" ref="B95:B114" si="22">B94</f>
        <v>MarinusPortland</v>
      </c>
      <c r="C95" t="s">
        <v>64</v>
      </c>
      <c r="D95">
        <v>0.95</v>
      </c>
      <c r="E95" t="str">
        <f t="shared" ref="E95:E114" si="23">E94</f>
        <v>Cal-37</v>
      </c>
      <c r="F95" t="s">
        <v>34</v>
      </c>
      <c r="G95" s="105" t="str">
        <f t="shared" si="21"/>
        <v>Merchant ROI</v>
      </c>
      <c r="H95" s="13" cm="1">
        <f t="array" ref="H95">INDEX(Financials!$B$5:$AI$260,FinancialWalk!K95,FinancialWalk!L95)</f>
        <v>0.5905706476003999</v>
      </c>
      <c r="K95">
        <f>SUMIFS(Financials!$A$5:$A$260,Financials!$D$5:$D$260,FinancialWalk!D95,Financials!$E$5:$E$260,FinancialWalk!E95,Financials!$F$5:$F$260,FinancialWalk!F95)</f>
        <v>122</v>
      </c>
      <c r="L95">
        <f t="shared" si="18"/>
        <v>18</v>
      </c>
    </row>
    <row r="96" spans="2:12" x14ac:dyDescent="0.3">
      <c r="B96" t="str">
        <f t="shared" si="22"/>
        <v>MarinusPortland</v>
      </c>
      <c r="C96" t="s">
        <v>64</v>
      </c>
      <c r="D96">
        <v>0.95</v>
      </c>
      <c r="E96" t="str">
        <f t="shared" si="23"/>
        <v>Cal-37</v>
      </c>
      <c r="F96" t="s">
        <v>34</v>
      </c>
      <c r="G96" s="105" t="str">
        <f t="shared" si="21"/>
        <v>Merchant ROI</v>
      </c>
      <c r="H96" s="13" cm="1">
        <f t="array" ref="H96">INDEX(Financials!$B$5:$AI$260,FinancialWalk!K96,FinancialWalk!L96)</f>
        <v>0.5905706476003999</v>
      </c>
      <c r="K96">
        <f>SUMIFS(Financials!$A$5:$A$260,Financials!$D$5:$D$260,FinancialWalk!D96,Financials!$E$5:$E$260,FinancialWalk!E96,Financials!$F$5:$F$260,FinancialWalk!F96)</f>
        <v>122</v>
      </c>
      <c r="L96">
        <f t="shared" si="18"/>
        <v>18</v>
      </c>
    </row>
    <row r="97" spans="2:12" x14ac:dyDescent="0.3">
      <c r="B97" t="str">
        <f t="shared" si="22"/>
        <v>MarinusPortland</v>
      </c>
      <c r="C97" t="s">
        <v>64</v>
      </c>
      <c r="D97">
        <v>0.75</v>
      </c>
      <c r="E97" t="str">
        <f t="shared" si="23"/>
        <v>Cal-37</v>
      </c>
      <c r="F97" t="s">
        <v>34</v>
      </c>
      <c r="G97" s="105" t="str">
        <f t="shared" si="21"/>
        <v>Merchant ROI</v>
      </c>
      <c r="H97" s="13" cm="1">
        <f t="array" ref="H97">INDEX(Financials!$B$5:$AI$260,FinancialWalk!K97,FinancialWalk!L97)</f>
        <v>0.20665932573826187</v>
      </c>
      <c r="K97">
        <f>SUMIFS(Financials!$A$5:$A$260,Financials!$D$5:$D$260,FinancialWalk!D97,Financials!$E$5:$E$260,FinancialWalk!E97,Financials!$F$5:$F$260,FinancialWalk!F97)</f>
        <v>123</v>
      </c>
      <c r="L97">
        <f t="shared" si="18"/>
        <v>18</v>
      </c>
    </row>
    <row r="98" spans="2:12" x14ac:dyDescent="0.3">
      <c r="B98" t="str">
        <f t="shared" si="22"/>
        <v>MarinusPortland</v>
      </c>
      <c r="C98" t="s">
        <v>64</v>
      </c>
      <c r="D98">
        <v>0.75</v>
      </c>
      <c r="E98" t="str">
        <f t="shared" si="23"/>
        <v>Cal-37</v>
      </c>
      <c r="F98" t="s">
        <v>34</v>
      </c>
      <c r="G98" s="105" t="str">
        <f t="shared" si="21"/>
        <v>Merchant ROI</v>
      </c>
      <c r="H98" s="13" cm="1">
        <f t="array" ref="H98">INDEX(Financials!$B$5:$AI$260,FinancialWalk!K98,FinancialWalk!L98)</f>
        <v>0.20665932573826187</v>
      </c>
      <c r="K98">
        <f>SUMIFS(Financials!$A$5:$A$260,Financials!$D$5:$D$260,FinancialWalk!D98,Financials!$E$5:$E$260,FinancialWalk!E98,Financials!$F$5:$F$260,FinancialWalk!F98)</f>
        <v>123</v>
      </c>
      <c r="L98">
        <f t="shared" si="18"/>
        <v>18</v>
      </c>
    </row>
    <row r="99" spans="2:12" x14ac:dyDescent="0.3">
      <c r="B99" t="str">
        <f t="shared" si="22"/>
        <v>MarinusPortland</v>
      </c>
      <c r="C99" t="s">
        <v>64</v>
      </c>
      <c r="D99">
        <v>0.75</v>
      </c>
      <c r="E99" t="str">
        <f t="shared" si="23"/>
        <v>Cal-37</v>
      </c>
      <c r="F99" t="s">
        <v>34</v>
      </c>
      <c r="G99" s="105" t="str">
        <f t="shared" si="21"/>
        <v>Merchant ROI</v>
      </c>
      <c r="H99" s="13" cm="1">
        <f t="array" ref="H99">INDEX(Financials!$B$5:$AI$260,FinancialWalk!K99,FinancialWalk!L99)</f>
        <v>0.20665932573826187</v>
      </c>
      <c r="K99">
        <f>SUMIFS(Financials!$A$5:$A$260,Financials!$D$5:$D$260,FinancialWalk!D99,Financials!$E$5:$E$260,FinancialWalk!E99,Financials!$F$5:$F$260,FinancialWalk!F99)</f>
        <v>123</v>
      </c>
      <c r="L99">
        <f t="shared" si="18"/>
        <v>18</v>
      </c>
    </row>
    <row r="100" spans="2:12" x14ac:dyDescent="0.3">
      <c r="B100" t="str">
        <f t="shared" si="22"/>
        <v>MarinusPortland</v>
      </c>
      <c r="C100" t="s">
        <v>64</v>
      </c>
      <c r="D100">
        <v>0.75</v>
      </c>
      <c r="E100" t="str">
        <f t="shared" si="23"/>
        <v>Cal-37</v>
      </c>
      <c r="F100" t="s">
        <v>34</v>
      </c>
      <c r="G100" s="105" t="str">
        <f t="shared" si="21"/>
        <v>Merchant ROI</v>
      </c>
      <c r="H100" s="13" cm="1">
        <f t="array" ref="H100">INDEX(Financials!$B$5:$AI$260,FinancialWalk!K100,FinancialWalk!L100)</f>
        <v>0.20665932573826187</v>
      </c>
      <c r="K100">
        <f>SUMIFS(Financials!$A$5:$A$260,Financials!$D$5:$D$260,FinancialWalk!D100,Financials!$E$5:$E$260,FinancialWalk!E100,Financials!$F$5:$F$260,FinancialWalk!F100)</f>
        <v>123</v>
      </c>
      <c r="L100">
        <f t="shared" si="18"/>
        <v>18</v>
      </c>
    </row>
    <row r="101" spans="2:12" x14ac:dyDescent="0.3">
      <c r="B101" t="str">
        <f t="shared" si="22"/>
        <v>MarinusPortland</v>
      </c>
      <c r="C101" t="s">
        <v>64</v>
      </c>
      <c r="D101">
        <v>0.5</v>
      </c>
      <c r="E101" t="str">
        <f t="shared" si="23"/>
        <v>Cal-37</v>
      </c>
      <c r="F101" t="s">
        <v>34</v>
      </c>
      <c r="G101" s="105" t="str">
        <f t="shared" si="21"/>
        <v>Merchant ROI</v>
      </c>
      <c r="H101" s="13" cm="1">
        <f t="array" ref="H101">INDEX(Financials!$B$5:$AI$260,FinancialWalk!K101,FinancialWalk!L101)</f>
        <v>-2.4575236529308285E-2</v>
      </c>
      <c r="K101">
        <f>SUMIFS(Financials!$A$5:$A$260,Financials!$D$5:$D$260,FinancialWalk!D101,Financials!$E$5:$E$260,FinancialWalk!E101,Financials!$F$5:$F$260,FinancialWalk!F101)</f>
        <v>124</v>
      </c>
      <c r="L101">
        <f t="shared" si="18"/>
        <v>18</v>
      </c>
    </row>
    <row r="102" spans="2:12" x14ac:dyDescent="0.3">
      <c r="B102" t="str">
        <f t="shared" si="22"/>
        <v>MarinusPortland</v>
      </c>
      <c r="C102" t="s">
        <v>64</v>
      </c>
      <c r="D102">
        <v>0.5</v>
      </c>
      <c r="E102" t="str">
        <f t="shared" si="23"/>
        <v>Cal-37</v>
      </c>
      <c r="F102" t="s">
        <v>34</v>
      </c>
      <c r="G102" s="105" t="str">
        <f t="shared" si="21"/>
        <v>Merchant ROI</v>
      </c>
      <c r="H102" s="13" cm="1">
        <f t="array" ref="H102">INDEX(Financials!$B$5:$AI$260,FinancialWalk!K102,FinancialWalk!L102)</f>
        <v>-2.4575236529308285E-2</v>
      </c>
      <c r="K102">
        <f>SUMIFS(Financials!$A$5:$A$260,Financials!$D$5:$D$260,FinancialWalk!D102,Financials!$E$5:$E$260,FinancialWalk!E102,Financials!$F$5:$F$260,FinancialWalk!F102)</f>
        <v>124</v>
      </c>
      <c r="L102">
        <f t="shared" si="18"/>
        <v>18</v>
      </c>
    </row>
    <row r="103" spans="2:12" x14ac:dyDescent="0.3">
      <c r="B103" t="str">
        <f t="shared" si="22"/>
        <v>MarinusPortland</v>
      </c>
      <c r="C103" t="s">
        <v>64</v>
      </c>
      <c r="D103">
        <v>0.5</v>
      </c>
      <c r="E103" t="str">
        <f t="shared" si="23"/>
        <v>Cal-37</v>
      </c>
      <c r="F103" t="s">
        <v>34</v>
      </c>
      <c r="G103" s="105" t="str">
        <f t="shared" si="21"/>
        <v>Merchant ROI</v>
      </c>
      <c r="H103" s="13" cm="1">
        <f t="array" ref="H103">INDEX(Financials!$B$5:$AI$260,FinancialWalk!K103,FinancialWalk!L103)</f>
        <v>-2.4575236529308285E-2</v>
      </c>
      <c r="K103">
        <f>SUMIFS(Financials!$A$5:$A$260,Financials!$D$5:$D$260,FinancialWalk!D103,Financials!$E$5:$E$260,FinancialWalk!E103,Financials!$F$5:$F$260,FinancialWalk!F103)</f>
        <v>124</v>
      </c>
      <c r="L103">
        <f t="shared" si="18"/>
        <v>18</v>
      </c>
    </row>
    <row r="104" spans="2:12" x14ac:dyDescent="0.3">
      <c r="B104" t="str">
        <f t="shared" si="22"/>
        <v>MarinusPortland</v>
      </c>
      <c r="C104" t="s">
        <v>64</v>
      </c>
      <c r="D104">
        <v>0.5</v>
      </c>
      <c r="E104" t="str">
        <f t="shared" si="23"/>
        <v>Cal-37</v>
      </c>
      <c r="F104" t="s">
        <v>34</v>
      </c>
      <c r="G104" s="105" t="str">
        <f t="shared" si="21"/>
        <v>Merchant ROI</v>
      </c>
      <c r="H104" s="13" cm="1">
        <f t="array" ref="H104">INDEX(Financials!$B$5:$AI$260,FinancialWalk!K104,FinancialWalk!L104)</f>
        <v>-2.4575236529308285E-2</v>
      </c>
      <c r="K104">
        <f>SUMIFS(Financials!$A$5:$A$260,Financials!$D$5:$D$260,FinancialWalk!D104,Financials!$E$5:$E$260,FinancialWalk!E104,Financials!$F$5:$F$260,FinancialWalk!F104)</f>
        <v>124</v>
      </c>
      <c r="L104">
        <f t="shared" si="18"/>
        <v>18</v>
      </c>
    </row>
    <row r="105" spans="2:12" x14ac:dyDescent="0.3">
      <c r="B105" t="str">
        <f t="shared" si="22"/>
        <v>MarinusPortland</v>
      </c>
      <c r="C105" t="s">
        <v>64</v>
      </c>
      <c r="D105">
        <v>0.5</v>
      </c>
      <c r="E105" t="str">
        <f t="shared" si="23"/>
        <v>Cal-37</v>
      </c>
      <c r="F105" t="s">
        <v>34</v>
      </c>
      <c r="G105" s="105" t="str">
        <f t="shared" si="21"/>
        <v>Merchant ROI</v>
      </c>
      <c r="H105" s="13" cm="1">
        <f t="array" ref="H105">INDEX(Financials!$B$5:$AI$260,FinancialWalk!K105,FinancialWalk!L105)</f>
        <v>-2.4575236529308285E-2</v>
      </c>
      <c r="K105">
        <f>SUMIFS(Financials!$A$5:$A$260,Financials!$D$5:$D$260,FinancialWalk!D105,Financials!$E$5:$E$260,FinancialWalk!E105,Financials!$F$5:$F$260,FinancialWalk!F105)</f>
        <v>124</v>
      </c>
      <c r="L105">
        <f t="shared" si="18"/>
        <v>18</v>
      </c>
    </row>
    <row r="106" spans="2:12" x14ac:dyDescent="0.3">
      <c r="B106" t="str">
        <f t="shared" si="22"/>
        <v>MarinusPortland</v>
      </c>
      <c r="C106" t="s">
        <v>64</v>
      </c>
      <c r="D106">
        <v>0.25</v>
      </c>
      <c r="E106" t="str">
        <f t="shared" si="23"/>
        <v>Cal-37</v>
      </c>
      <c r="F106" t="s">
        <v>34</v>
      </c>
      <c r="G106" s="105" t="str">
        <f t="shared" si="21"/>
        <v>Merchant ROI</v>
      </c>
      <c r="H106" s="13" cm="1">
        <f t="array" ref="H106">INDEX(Financials!$B$5:$AI$260,FinancialWalk!K106,FinancialWalk!L106)</f>
        <v>-0.249378141580051</v>
      </c>
      <c r="K106">
        <f>SUMIFS(Financials!$A$5:$A$260,Financials!$D$5:$D$260,FinancialWalk!D106,Financials!$E$5:$E$260,FinancialWalk!E106,Financials!$F$5:$F$260,FinancialWalk!F106)</f>
        <v>125</v>
      </c>
      <c r="L106">
        <f t="shared" si="18"/>
        <v>18</v>
      </c>
    </row>
    <row r="107" spans="2:12" x14ac:dyDescent="0.3">
      <c r="B107" t="str">
        <f t="shared" si="22"/>
        <v>MarinusPortland</v>
      </c>
      <c r="C107" t="s">
        <v>64</v>
      </c>
      <c r="D107">
        <v>0.25</v>
      </c>
      <c r="E107" t="str">
        <f t="shared" si="23"/>
        <v>Cal-37</v>
      </c>
      <c r="F107" t="s">
        <v>34</v>
      </c>
      <c r="G107" s="105" t="str">
        <f t="shared" si="21"/>
        <v>Merchant ROI</v>
      </c>
      <c r="H107" s="13" cm="1">
        <f t="array" ref="H107">INDEX(Financials!$B$5:$AI$260,FinancialWalk!K107,FinancialWalk!L107)</f>
        <v>-0.249378141580051</v>
      </c>
      <c r="K107">
        <f>SUMIFS(Financials!$A$5:$A$260,Financials!$D$5:$D$260,FinancialWalk!D107,Financials!$E$5:$E$260,FinancialWalk!E107,Financials!$F$5:$F$260,FinancialWalk!F107)</f>
        <v>125</v>
      </c>
      <c r="L107">
        <f t="shared" si="18"/>
        <v>18</v>
      </c>
    </row>
    <row r="108" spans="2:12" x14ac:dyDescent="0.3">
      <c r="B108" t="str">
        <f t="shared" si="22"/>
        <v>MarinusPortland</v>
      </c>
      <c r="C108" t="s">
        <v>64</v>
      </c>
      <c r="D108">
        <v>0.25</v>
      </c>
      <c r="E108" t="str">
        <f t="shared" si="23"/>
        <v>Cal-37</v>
      </c>
      <c r="F108" t="s">
        <v>34</v>
      </c>
      <c r="G108" s="105" t="str">
        <f t="shared" si="21"/>
        <v>Merchant ROI</v>
      </c>
      <c r="H108" s="13" cm="1">
        <f t="array" ref="H108">INDEX(Financials!$B$5:$AI$260,FinancialWalk!K108,FinancialWalk!L108)</f>
        <v>-0.249378141580051</v>
      </c>
      <c r="K108">
        <f>SUMIFS(Financials!$A$5:$A$260,Financials!$D$5:$D$260,FinancialWalk!D108,Financials!$E$5:$E$260,FinancialWalk!E108,Financials!$F$5:$F$260,FinancialWalk!F108)</f>
        <v>125</v>
      </c>
      <c r="L108">
        <f t="shared" si="18"/>
        <v>18</v>
      </c>
    </row>
    <row r="109" spans="2:12" x14ac:dyDescent="0.3">
      <c r="B109" t="str">
        <f t="shared" si="22"/>
        <v>MarinusPortland</v>
      </c>
      <c r="C109" t="s">
        <v>64</v>
      </c>
      <c r="D109">
        <v>0.25</v>
      </c>
      <c r="E109" t="str">
        <f t="shared" si="23"/>
        <v>Cal-37</v>
      </c>
      <c r="F109" t="s">
        <v>34</v>
      </c>
      <c r="G109" s="105" t="str">
        <f t="shared" si="21"/>
        <v>Merchant ROI</v>
      </c>
      <c r="H109" s="13" cm="1">
        <f t="array" ref="H109">INDEX(Financials!$B$5:$AI$260,FinancialWalk!K109,FinancialWalk!L109)</f>
        <v>-0.249378141580051</v>
      </c>
      <c r="K109">
        <f>SUMIFS(Financials!$A$5:$A$260,Financials!$D$5:$D$260,FinancialWalk!D109,Financials!$E$5:$E$260,FinancialWalk!E109,Financials!$F$5:$F$260,FinancialWalk!F109)</f>
        <v>125</v>
      </c>
      <c r="L109">
        <f t="shared" si="18"/>
        <v>18</v>
      </c>
    </row>
    <row r="110" spans="2:12" x14ac:dyDescent="0.3">
      <c r="B110" t="str">
        <f t="shared" si="22"/>
        <v>MarinusPortland</v>
      </c>
      <c r="C110" t="s">
        <v>64</v>
      </c>
      <c r="D110">
        <v>0.05</v>
      </c>
      <c r="E110" t="str">
        <f t="shared" si="23"/>
        <v>Cal-37</v>
      </c>
      <c r="F110" t="s">
        <v>34</v>
      </c>
      <c r="G110" s="105" t="str">
        <f t="shared" si="21"/>
        <v>Merchant ROI</v>
      </c>
      <c r="H110" s="13" cm="1">
        <f t="array" ref="H110">INDEX(Financials!$B$5:$AI$260,FinancialWalk!K110,FinancialWalk!L110)</f>
        <v>-0.54539904830680463</v>
      </c>
      <c r="K110">
        <f>SUMIFS(Financials!$A$5:$A$260,Financials!$D$5:$D$260,FinancialWalk!D110,Financials!$E$5:$E$260,FinancialWalk!E110,Financials!$F$5:$F$260,FinancialWalk!F110)</f>
        <v>126</v>
      </c>
      <c r="L110">
        <f t="shared" si="18"/>
        <v>18</v>
      </c>
    </row>
    <row r="111" spans="2:12" x14ac:dyDescent="0.3">
      <c r="B111" t="str">
        <f t="shared" si="22"/>
        <v>MarinusPortland</v>
      </c>
      <c r="C111" t="s">
        <v>64</v>
      </c>
      <c r="D111">
        <v>0.05</v>
      </c>
      <c r="E111" t="str">
        <f t="shared" si="23"/>
        <v>Cal-37</v>
      </c>
      <c r="F111" t="s">
        <v>34</v>
      </c>
      <c r="G111" s="105" t="str">
        <f t="shared" si="21"/>
        <v>Merchant ROI</v>
      </c>
      <c r="H111" s="13" cm="1">
        <f t="array" ref="H111">INDEX(Financials!$B$5:$AI$260,FinancialWalk!K111,FinancialWalk!L111)</f>
        <v>-0.54539904830680463</v>
      </c>
      <c r="K111">
        <f>SUMIFS(Financials!$A$5:$A$260,Financials!$D$5:$D$260,FinancialWalk!D111,Financials!$E$5:$E$260,FinancialWalk!E111,Financials!$F$5:$F$260,FinancialWalk!F111)</f>
        <v>126</v>
      </c>
      <c r="L111">
        <f t="shared" si="18"/>
        <v>18</v>
      </c>
    </row>
    <row r="112" spans="2:12" x14ac:dyDescent="0.3">
      <c r="B112" t="str">
        <f t="shared" si="22"/>
        <v>MarinusPortland</v>
      </c>
      <c r="C112" t="s">
        <v>64</v>
      </c>
      <c r="D112">
        <v>0.05</v>
      </c>
      <c r="E112" t="str">
        <f t="shared" si="23"/>
        <v>Cal-37</v>
      </c>
      <c r="F112" t="s">
        <v>34</v>
      </c>
      <c r="G112" s="105" t="str">
        <f t="shared" si="21"/>
        <v>Merchant ROI</v>
      </c>
      <c r="H112" s="13" cm="1">
        <f t="array" ref="H112">INDEX(Financials!$B$5:$AI$260,FinancialWalk!K112,FinancialWalk!L112)</f>
        <v>-0.54539904830680463</v>
      </c>
      <c r="K112">
        <f>SUMIFS(Financials!$A$5:$A$260,Financials!$D$5:$D$260,FinancialWalk!D112,Financials!$E$5:$E$260,FinancialWalk!E112,Financials!$F$5:$F$260,FinancialWalk!F112)</f>
        <v>126</v>
      </c>
      <c r="L112">
        <f t="shared" si="18"/>
        <v>18</v>
      </c>
    </row>
    <row r="113" spans="2:12" x14ac:dyDescent="0.3">
      <c r="B113" t="str">
        <f t="shared" si="22"/>
        <v>MarinusPortland</v>
      </c>
      <c r="C113" t="s">
        <v>64</v>
      </c>
      <c r="D113">
        <v>0</v>
      </c>
      <c r="E113" t="str">
        <f t="shared" si="23"/>
        <v>Cal-37</v>
      </c>
      <c r="F113" t="s">
        <v>34</v>
      </c>
      <c r="G113" s="105" t="str">
        <f t="shared" si="21"/>
        <v>Merchant ROI</v>
      </c>
      <c r="H113" s="13" cm="1">
        <f t="array" ref="H113">INDEX(Financials!$B$5:$AI$260,FinancialWalk!K113,FinancialWalk!L113)</f>
        <v>-0.94948114178325071</v>
      </c>
      <c r="K113">
        <f>SUMIFS(Financials!$A$5:$A$260,Financials!$D$5:$D$260,FinancialWalk!D113,Financials!$E$5:$E$260,FinancialWalk!E113,Financials!$F$5:$F$260,FinancialWalk!F113)</f>
        <v>127</v>
      </c>
      <c r="L113">
        <f t="shared" si="18"/>
        <v>18</v>
      </c>
    </row>
    <row r="114" spans="2:12" x14ac:dyDescent="0.3">
      <c r="B114" t="str">
        <f t="shared" si="22"/>
        <v>MarinusPortland</v>
      </c>
      <c r="C114" t="s">
        <v>64</v>
      </c>
      <c r="D114" t="s">
        <v>24</v>
      </c>
      <c r="E114" t="str">
        <f t="shared" si="23"/>
        <v>Cal-37</v>
      </c>
      <c r="F114" t="s">
        <v>34</v>
      </c>
      <c r="G114" s="105" t="str">
        <f t="shared" si="21"/>
        <v>Merchant ROI</v>
      </c>
      <c r="H114" s="13" cm="1">
        <f t="array" ref="H114">INDEX(Financials!$B$5:$AI$260,FinancialWalk!K114,FinancialWalk!L114)</f>
        <v>-1.213041196777968E-2</v>
      </c>
      <c r="K114">
        <f>SUMIFS(Financials!$A$5:$A$260,Financials!$D$5:$D$260,FinancialWalk!D114,Financials!$E$5:$E$260,FinancialWalk!E114,Financials!$F$5:$F$260,FinancialWalk!F114)</f>
        <v>128</v>
      </c>
      <c r="L114">
        <f t="shared" si="18"/>
        <v>18</v>
      </c>
    </row>
    <row r="115" spans="2:12" x14ac:dyDescent="0.3">
      <c r="B115" t="str">
        <f>$B$2</f>
        <v>MarinusPortland</v>
      </c>
      <c r="C115" t="s">
        <v>64</v>
      </c>
      <c r="D115">
        <v>1</v>
      </c>
      <c r="E115" t="s">
        <v>18</v>
      </c>
      <c r="F115" t="s">
        <v>44</v>
      </c>
      <c r="G115" s="105" t="str">
        <f t="shared" si="21"/>
        <v>Merchant ROI</v>
      </c>
      <c r="H115" s="13" cm="1">
        <f t="array" ref="H115">INDEX(Financials!$B$5:$AI$260,FinancialWalk!K115,FinancialWalk!L115)</f>
        <v>1.1530159069937</v>
      </c>
      <c r="K115">
        <f>SUMIFS(Financials!$A$5:$A$260,Financials!$D$5:$D$260,FinancialWalk!D115,Financials!$E$5:$E$260,FinancialWalk!E115,Financials!$F$5:$F$260,FinancialWalk!F115)</f>
        <v>249</v>
      </c>
      <c r="L115">
        <f t="shared" si="18"/>
        <v>18</v>
      </c>
    </row>
    <row r="116" spans="2:12" x14ac:dyDescent="0.3">
      <c r="B116" t="str">
        <f>B115</f>
        <v>MarinusPortland</v>
      </c>
      <c r="C116" t="s">
        <v>64</v>
      </c>
      <c r="D116">
        <v>0.95</v>
      </c>
      <c r="E116" t="str">
        <f>E115</f>
        <v>Cal-37</v>
      </c>
      <c r="F116" t="s">
        <v>44</v>
      </c>
      <c r="G116" s="105" t="str">
        <f t="shared" si="21"/>
        <v>Merchant ROI</v>
      </c>
      <c r="H116" s="13" cm="1">
        <f t="array" ref="H116">INDEX(Financials!$B$5:$AI$260,FinancialWalk!K116,FinancialWalk!L116)</f>
        <v>0.45181406988012279</v>
      </c>
      <c r="K116">
        <f>SUMIFS(Financials!$A$5:$A$260,Financials!$D$5:$D$260,FinancialWalk!D116,Financials!$E$5:$E$260,FinancialWalk!E116,Financials!$F$5:$F$260,FinancialWalk!F116)</f>
        <v>250</v>
      </c>
      <c r="L116">
        <f t="shared" si="18"/>
        <v>18</v>
      </c>
    </row>
    <row r="117" spans="2:12" x14ac:dyDescent="0.3">
      <c r="B117" t="str">
        <f t="shared" ref="B117:B136" si="24">B116</f>
        <v>MarinusPortland</v>
      </c>
      <c r="C117" t="s">
        <v>64</v>
      </c>
      <c r="D117">
        <v>0.95</v>
      </c>
      <c r="E117" t="str">
        <f t="shared" ref="E117:E136" si="25">E116</f>
        <v>Cal-37</v>
      </c>
      <c r="F117" t="s">
        <v>44</v>
      </c>
      <c r="G117" s="105" t="str">
        <f t="shared" si="21"/>
        <v>Merchant ROI</v>
      </c>
      <c r="H117" s="13" cm="1">
        <f t="array" ref="H117">INDEX(Financials!$B$5:$AI$260,FinancialWalk!K117,FinancialWalk!L117)</f>
        <v>0.45181406988012279</v>
      </c>
      <c r="K117">
        <f>SUMIFS(Financials!$A$5:$A$260,Financials!$D$5:$D$260,FinancialWalk!D117,Financials!$E$5:$E$260,FinancialWalk!E117,Financials!$F$5:$F$260,FinancialWalk!F117)</f>
        <v>250</v>
      </c>
      <c r="L117">
        <f t="shared" si="18"/>
        <v>18</v>
      </c>
    </row>
    <row r="118" spans="2:12" x14ac:dyDescent="0.3">
      <c r="B118" t="str">
        <f t="shared" si="24"/>
        <v>MarinusPortland</v>
      </c>
      <c r="C118" t="s">
        <v>64</v>
      </c>
      <c r="D118">
        <v>0.95</v>
      </c>
      <c r="E118" t="str">
        <f t="shared" si="25"/>
        <v>Cal-37</v>
      </c>
      <c r="F118" t="s">
        <v>44</v>
      </c>
      <c r="G118" s="105" t="str">
        <f t="shared" si="21"/>
        <v>Merchant ROI</v>
      </c>
      <c r="H118" s="13" cm="1">
        <f t="array" ref="H118">INDEX(Financials!$B$5:$AI$260,FinancialWalk!K118,FinancialWalk!L118)</f>
        <v>0.45181406988012279</v>
      </c>
      <c r="K118">
        <f>SUMIFS(Financials!$A$5:$A$260,Financials!$D$5:$D$260,FinancialWalk!D118,Financials!$E$5:$E$260,FinancialWalk!E118,Financials!$F$5:$F$260,FinancialWalk!F118)</f>
        <v>250</v>
      </c>
      <c r="L118">
        <f t="shared" si="18"/>
        <v>18</v>
      </c>
    </row>
    <row r="119" spans="2:12" x14ac:dyDescent="0.3">
      <c r="B119" t="str">
        <f t="shared" si="24"/>
        <v>MarinusPortland</v>
      </c>
      <c r="C119" t="s">
        <v>64</v>
      </c>
      <c r="D119">
        <v>0.75</v>
      </c>
      <c r="E119" t="str">
        <f t="shared" si="25"/>
        <v>Cal-37</v>
      </c>
      <c r="F119" t="s">
        <v>44</v>
      </c>
      <c r="G119" s="105" t="str">
        <f t="shared" si="21"/>
        <v>Merchant ROI</v>
      </c>
      <c r="H119" s="13" cm="1">
        <f t="array" ref="H119">INDEX(Financials!$B$5:$AI$260,FinancialWalk!K119,FinancialWalk!L119)</f>
        <v>0.18080307439551188</v>
      </c>
      <c r="K119">
        <f>SUMIFS(Financials!$A$5:$A$260,Financials!$D$5:$D$260,FinancialWalk!D119,Financials!$E$5:$E$260,FinancialWalk!E119,Financials!$F$5:$F$260,FinancialWalk!F119)</f>
        <v>251</v>
      </c>
      <c r="L119">
        <f t="shared" si="18"/>
        <v>18</v>
      </c>
    </row>
    <row r="120" spans="2:12" x14ac:dyDescent="0.3">
      <c r="B120" t="str">
        <f t="shared" si="24"/>
        <v>MarinusPortland</v>
      </c>
      <c r="C120" t="s">
        <v>64</v>
      </c>
      <c r="D120">
        <v>0.75</v>
      </c>
      <c r="E120" t="str">
        <f t="shared" si="25"/>
        <v>Cal-37</v>
      </c>
      <c r="F120" t="s">
        <v>44</v>
      </c>
      <c r="G120" s="105" t="str">
        <f t="shared" si="21"/>
        <v>Merchant ROI</v>
      </c>
      <c r="H120" s="13" cm="1">
        <f t="array" ref="H120">INDEX(Financials!$B$5:$AI$260,FinancialWalk!K120,FinancialWalk!L120)</f>
        <v>0.18080307439551188</v>
      </c>
      <c r="K120">
        <f>SUMIFS(Financials!$A$5:$A$260,Financials!$D$5:$D$260,FinancialWalk!D120,Financials!$E$5:$E$260,FinancialWalk!E120,Financials!$F$5:$F$260,FinancialWalk!F120)</f>
        <v>251</v>
      </c>
      <c r="L120">
        <f t="shared" si="18"/>
        <v>18</v>
      </c>
    </row>
    <row r="121" spans="2:12" x14ac:dyDescent="0.3">
      <c r="B121" t="str">
        <f t="shared" si="24"/>
        <v>MarinusPortland</v>
      </c>
      <c r="C121" t="s">
        <v>64</v>
      </c>
      <c r="D121">
        <v>0.75</v>
      </c>
      <c r="E121" t="str">
        <f t="shared" si="25"/>
        <v>Cal-37</v>
      </c>
      <c r="F121" t="s">
        <v>44</v>
      </c>
      <c r="G121" s="105" t="str">
        <f t="shared" si="21"/>
        <v>Merchant ROI</v>
      </c>
      <c r="H121" s="13" cm="1">
        <f t="array" ref="H121">INDEX(Financials!$B$5:$AI$260,FinancialWalk!K121,FinancialWalk!L121)</f>
        <v>0.18080307439551188</v>
      </c>
      <c r="K121">
        <f>SUMIFS(Financials!$A$5:$A$260,Financials!$D$5:$D$260,FinancialWalk!D121,Financials!$E$5:$E$260,FinancialWalk!E121,Financials!$F$5:$F$260,FinancialWalk!F121)</f>
        <v>251</v>
      </c>
      <c r="L121">
        <f t="shared" si="18"/>
        <v>18</v>
      </c>
    </row>
    <row r="122" spans="2:12" x14ac:dyDescent="0.3">
      <c r="B122" t="str">
        <f t="shared" si="24"/>
        <v>MarinusPortland</v>
      </c>
      <c r="C122" t="s">
        <v>64</v>
      </c>
      <c r="D122">
        <v>0.75</v>
      </c>
      <c r="E122" t="str">
        <f t="shared" si="25"/>
        <v>Cal-37</v>
      </c>
      <c r="F122" t="s">
        <v>44</v>
      </c>
      <c r="G122" s="105" t="str">
        <f t="shared" si="21"/>
        <v>Merchant ROI</v>
      </c>
      <c r="H122" s="13" cm="1">
        <f t="array" ref="H122">INDEX(Financials!$B$5:$AI$260,FinancialWalk!K122,FinancialWalk!L122)</f>
        <v>0.18080307439551188</v>
      </c>
      <c r="K122">
        <f>SUMIFS(Financials!$A$5:$A$260,Financials!$D$5:$D$260,FinancialWalk!D122,Financials!$E$5:$E$260,FinancialWalk!E122,Financials!$F$5:$F$260,FinancialWalk!F122)</f>
        <v>251</v>
      </c>
      <c r="L122">
        <f t="shared" si="18"/>
        <v>18</v>
      </c>
    </row>
    <row r="123" spans="2:12" x14ac:dyDescent="0.3">
      <c r="B123" t="str">
        <f t="shared" si="24"/>
        <v>MarinusPortland</v>
      </c>
      <c r="C123" t="s">
        <v>64</v>
      </c>
      <c r="D123">
        <v>0.5</v>
      </c>
      <c r="E123" t="str">
        <f t="shared" si="25"/>
        <v>Cal-37</v>
      </c>
      <c r="F123" t="s">
        <v>44</v>
      </c>
      <c r="G123" s="105" t="str">
        <f t="shared" si="21"/>
        <v>Merchant ROI</v>
      </c>
      <c r="H123" s="13" cm="1">
        <f t="array" ref="H123">INDEX(Financials!$B$5:$AI$260,FinancialWalk!K123,FinancialWalk!L123)</f>
        <v>-1.2509202889187557E-2</v>
      </c>
      <c r="K123">
        <f>SUMIFS(Financials!$A$5:$A$260,Financials!$D$5:$D$260,FinancialWalk!D123,Financials!$E$5:$E$260,FinancialWalk!E123,Financials!$F$5:$F$260,FinancialWalk!F123)</f>
        <v>252</v>
      </c>
      <c r="L123">
        <f t="shared" si="18"/>
        <v>18</v>
      </c>
    </row>
    <row r="124" spans="2:12" x14ac:dyDescent="0.3">
      <c r="B124" t="str">
        <f t="shared" si="24"/>
        <v>MarinusPortland</v>
      </c>
      <c r="C124" t="s">
        <v>64</v>
      </c>
      <c r="D124">
        <v>0.5</v>
      </c>
      <c r="E124" t="str">
        <f t="shared" si="25"/>
        <v>Cal-37</v>
      </c>
      <c r="F124" t="s">
        <v>44</v>
      </c>
      <c r="G124" s="105" t="str">
        <f t="shared" si="21"/>
        <v>Merchant ROI</v>
      </c>
      <c r="H124" s="13" cm="1">
        <f t="array" ref="H124">INDEX(Financials!$B$5:$AI$260,FinancialWalk!K124,FinancialWalk!L124)</f>
        <v>-1.2509202889187557E-2</v>
      </c>
      <c r="K124">
        <f>SUMIFS(Financials!$A$5:$A$260,Financials!$D$5:$D$260,FinancialWalk!D124,Financials!$E$5:$E$260,FinancialWalk!E124,Financials!$F$5:$F$260,FinancialWalk!F124)</f>
        <v>252</v>
      </c>
      <c r="L124">
        <f t="shared" si="18"/>
        <v>18</v>
      </c>
    </row>
    <row r="125" spans="2:12" x14ac:dyDescent="0.3">
      <c r="B125" t="str">
        <f t="shared" si="24"/>
        <v>MarinusPortland</v>
      </c>
      <c r="C125" t="s">
        <v>64</v>
      </c>
      <c r="D125">
        <v>0.5</v>
      </c>
      <c r="E125" t="str">
        <f t="shared" si="25"/>
        <v>Cal-37</v>
      </c>
      <c r="F125" t="s">
        <v>44</v>
      </c>
      <c r="G125" s="105" t="str">
        <f t="shared" si="21"/>
        <v>Merchant ROI</v>
      </c>
      <c r="H125" s="13" cm="1">
        <f t="array" ref="H125">INDEX(Financials!$B$5:$AI$260,FinancialWalk!K125,FinancialWalk!L125)</f>
        <v>-1.2509202889187557E-2</v>
      </c>
      <c r="K125">
        <f>SUMIFS(Financials!$A$5:$A$260,Financials!$D$5:$D$260,FinancialWalk!D125,Financials!$E$5:$E$260,FinancialWalk!E125,Financials!$F$5:$F$260,FinancialWalk!F125)</f>
        <v>252</v>
      </c>
      <c r="L125">
        <f t="shared" si="18"/>
        <v>18</v>
      </c>
    </row>
    <row r="126" spans="2:12" x14ac:dyDescent="0.3">
      <c r="B126" t="str">
        <f t="shared" si="24"/>
        <v>MarinusPortland</v>
      </c>
      <c r="C126" t="s">
        <v>64</v>
      </c>
      <c r="D126">
        <v>0.5</v>
      </c>
      <c r="E126" t="str">
        <f t="shared" si="25"/>
        <v>Cal-37</v>
      </c>
      <c r="F126" t="s">
        <v>44</v>
      </c>
      <c r="G126" s="105" t="str">
        <f t="shared" si="21"/>
        <v>Merchant ROI</v>
      </c>
      <c r="H126" s="13" cm="1">
        <f t="array" ref="H126">INDEX(Financials!$B$5:$AI$260,FinancialWalk!K126,FinancialWalk!L126)</f>
        <v>-1.2509202889187557E-2</v>
      </c>
      <c r="K126">
        <f>SUMIFS(Financials!$A$5:$A$260,Financials!$D$5:$D$260,FinancialWalk!D126,Financials!$E$5:$E$260,FinancialWalk!E126,Financials!$F$5:$F$260,FinancialWalk!F126)</f>
        <v>252</v>
      </c>
      <c r="L126">
        <f t="shared" si="18"/>
        <v>18</v>
      </c>
    </row>
    <row r="127" spans="2:12" x14ac:dyDescent="0.3">
      <c r="B127" t="str">
        <f t="shared" si="24"/>
        <v>MarinusPortland</v>
      </c>
      <c r="C127" t="s">
        <v>64</v>
      </c>
      <c r="D127">
        <v>0.5</v>
      </c>
      <c r="E127" t="str">
        <f t="shared" si="25"/>
        <v>Cal-37</v>
      </c>
      <c r="F127" t="s">
        <v>44</v>
      </c>
      <c r="G127" s="105" t="str">
        <f t="shared" si="21"/>
        <v>Merchant ROI</v>
      </c>
      <c r="H127" s="13" cm="1">
        <f t="array" ref="H127">INDEX(Financials!$B$5:$AI$260,FinancialWalk!K127,FinancialWalk!L127)</f>
        <v>-1.2509202889187557E-2</v>
      </c>
      <c r="K127">
        <f>SUMIFS(Financials!$A$5:$A$260,Financials!$D$5:$D$260,FinancialWalk!D127,Financials!$E$5:$E$260,FinancialWalk!E127,Financials!$F$5:$F$260,FinancialWalk!F127)</f>
        <v>252</v>
      </c>
      <c r="L127">
        <f t="shared" si="18"/>
        <v>18</v>
      </c>
    </row>
    <row r="128" spans="2:12" x14ac:dyDescent="0.3">
      <c r="B128" t="str">
        <f t="shared" si="24"/>
        <v>MarinusPortland</v>
      </c>
      <c r="C128" t="s">
        <v>64</v>
      </c>
      <c r="D128">
        <v>0.25</v>
      </c>
      <c r="E128" t="str">
        <f t="shared" si="25"/>
        <v>Cal-37</v>
      </c>
      <c r="F128" t="s">
        <v>44</v>
      </c>
      <c r="G128" s="105" t="str">
        <f t="shared" si="21"/>
        <v>Merchant ROI</v>
      </c>
      <c r="H128" s="13" cm="1">
        <f t="array" ref="H128">INDEX(Financials!$B$5:$AI$260,FinancialWalk!K128,FinancialWalk!L128)</f>
        <v>-0.21572306615286535</v>
      </c>
      <c r="K128">
        <f>SUMIFS(Financials!$A$5:$A$260,Financials!$D$5:$D$260,FinancialWalk!D128,Financials!$E$5:$E$260,FinancialWalk!E128,Financials!$F$5:$F$260,FinancialWalk!F128)</f>
        <v>253</v>
      </c>
      <c r="L128">
        <f t="shared" si="18"/>
        <v>18</v>
      </c>
    </row>
    <row r="129" spans="1:12" x14ac:dyDescent="0.3">
      <c r="B129" t="str">
        <f t="shared" si="24"/>
        <v>MarinusPortland</v>
      </c>
      <c r="C129" t="s">
        <v>64</v>
      </c>
      <c r="D129">
        <v>0.25</v>
      </c>
      <c r="E129" t="str">
        <f t="shared" si="25"/>
        <v>Cal-37</v>
      </c>
      <c r="F129" t="s">
        <v>44</v>
      </c>
      <c r="G129" s="105" t="str">
        <f t="shared" si="21"/>
        <v>Merchant ROI</v>
      </c>
      <c r="H129" s="13" cm="1">
        <f t="array" ref="H129">INDEX(Financials!$B$5:$AI$260,FinancialWalk!K129,FinancialWalk!L129)</f>
        <v>-0.21572306615286535</v>
      </c>
      <c r="K129">
        <f>SUMIFS(Financials!$A$5:$A$260,Financials!$D$5:$D$260,FinancialWalk!D129,Financials!$E$5:$E$260,FinancialWalk!E129,Financials!$F$5:$F$260,FinancialWalk!F129)</f>
        <v>253</v>
      </c>
      <c r="L129">
        <f t="shared" si="18"/>
        <v>18</v>
      </c>
    </row>
    <row r="130" spans="1:12" x14ac:dyDescent="0.3">
      <c r="B130" t="str">
        <f t="shared" si="24"/>
        <v>MarinusPortland</v>
      </c>
      <c r="C130" t="s">
        <v>64</v>
      </c>
      <c r="D130">
        <v>0.25</v>
      </c>
      <c r="E130" t="str">
        <f t="shared" si="25"/>
        <v>Cal-37</v>
      </c>
      <c r="F130" t="s">
        <v>44</v>
      </c>
      <c r="G130" s="105" t="str">
        <f t="shared" si="21"/>
        <v>Merchant ROI</v>
      </c>
      <c r="H130" s="13" cm="1">
        <f t="array" ref="H130">INDEX(Financials!$B$5:$AI$260,FinancialWalk!K130,FinancialWalk!L130)</f>
        <v>-0.21572306615286535</v>
      </c>
      <c r="K130">
        <f>SUMIFS(Financials!$A$5:$A$260,Financials!$D$5:$D$260,FinancialWalk!D130,Financials!$E$5:$E$260,FinancialWalk!E130,Financials!$F$5:$F$260,FinancialWalk!F130)</f>
        <v>253</v>
      </c>
      <c r="L130">
        <f t="shared" si="18"/>
        <v>18</v>
      </c>
    </row>
    <row r="131" spans="1:12" x14ac:dyDescent="0.3">
      <c r="B131" t="str">
        <f t="shared" si="24"/>
        <v>MarinusPortland</v>
      </c>
      <c r="C131" t="s">
        <v>64</v>
      </c>
      <c r="D131">
        <v>0.25</v>
      </c>
      <c r="E131" t="str">
        <f t="shared" si="25"/>
        <v>Cal-37</v>
      </c>
      <c r="F131" t="s">
        <v>44</v>
      </c>
      <c r="G131" s="105" t="str">
        <f t="shared" si="21"/>
        <v>Merchant ROI</v>
      </c>
      <c r="H131" s="13" cm="1">
        <f t="array" ref="H131">INDEX(Financials!$B$5:$AI$260,FinancialWalk!K131,FinancialWalk!L131)</f>
        <v>-0.21572306615286535</v>
      </c>
      <c r="K131">
        <f>SUMIFS(Financials!$A$5:$A$260,Financials!$D$5:$D$260,FinancialWalk!D131,Financials!$E$5:$E$260,FinancialWalk!E131,Financials!$F$5:$F$260,FinancialWalk!F131)</f>
        <v>253</v>
      </c>
      <c r="L131">
        <f t="shared" si="18"/>
        <v>18</v>
      </c>
    </row>
    <row r="132" spans="1:12" x14ac:dyDescent="0.3">
      <c r="B132" t="str">
        <f t="shared" si="24"/>
        <v>MarinusPortland</v>
      </c>
      <c r="C132" t="s">
        <v>64</v>
      </c>
      <c r="D132">
        <v>0.05</v>
      </c>
      <c r="E132" t="str">
        <f t="shared" si="25"/>
        <v>Cal-37</v>
      </c>
      <c r="F132" t="s">
        <v>44</v>
      </c>
      <c r="G132" s="105" t="str">
        <f t="shared" si="21"/>
        <v>Merchant ROI</v>
      </c>
      <c r="H132" s="13" cm="1">
        <f t="array" ref="H132">INDEX(Financials!$B$5:$AI$260,FinancialWalk!K132,FinancialWalk!L132)</f>
        <v>-0.47505935481902628</v>
      </c>
      <c r="K132">
        <f>SUMIFS(Financials!$A$5:$A$260,Financials!$D$5:$D$260,FinancialWalk!D132,Financials!$E$5:$E$260,FinancialWalk!E132,Financials!$F$5:$F$260,FinancialWalk!F132)</f>
        <v>254</v>
      </c>
      <c r="L132">
        <f t="shared" si="18"/>
        <v>18</v>
      </c>
    </row>
    <row r="133" spans="1:12" x14ac:dyDescent="0.3">
      <c r="B133" t="str">
        <f t="shared" si="24"/>
        <v>MarinusPortland</v>
      </c>
      <c r="C133" t="s">
        <v>64</v>
      </c>
      <c r="D133">
        <v>0.05</v>
      </c>
      <c r="E133" t="str">
        <f t="shared" si="25"/>
        <v>Cal-37</v>
      </c>
      <c r="F133" t="s">
        <v>44</v>
      </c>
      <c r="G133" s="105" t="str">
        <f t="shared" si="21"/>
        <v>Merchant ROI</v>
      </c>
      <c r="H133" s="13" cm="1">
        <f t="array" ref="H133">INDEX(Financials!$B$5:$AI$260,FinancialWalk!K133,FinancialWalk!L133)</f>
        <v>-0.47505935481902628</v>
      </c>
      <c r="K133">
        <f>SUMIFS(Financials!$A$5:$A$260,Financials!$D$5:$D$260,FinancialWalk!D133,Financials!$E$5:$E$260,FinancialWalk!E133,Financials!$F$5:$F$260,FinancialWalk!F133)</f>
        <v>254</v>
      </c>
      <c r="L133">
        <f t="shared" ref="L133:L196" si="26">VLOOKUP(G133,$P$5:$Q$33,2,FALSE)</f>
        <v>18</v>
      </c>
    </row>
    <row r="134" spans="1:12" x14ac:dyDescent="0.3">
      <c r="B134" t="str">
        <f t="shared" si="24"/>
        <v>MarinusPortland</v>
      </c>
      <c r="C134" t="s">
        <v>64</v>
      </c>
      <c r="D134">
        <v>0.05</v>
      </c>
      <c r="E134" t="str">
        <f t="shared" si="25"/>
        <v>Cal-37</v>
      </c>
      <c r="F134" t="s">
        <v>44</v>
      </c>
      <c r="G134" s="105" t="str">
        <f t="shared" si="21"/>
        <v>Merchant ROI</v>
      </c>
      <c r="H134" s="13" cm="1">
        <f t="array" ref="H134">INDEX(Financials!$B$5:$AI$260,FinancialWalk!K134,FinancialWalk!L134)</f>
        <v>-0.47505935481902628</v>
      </c>
      <c r="K134">
        <f>SUMIFS(Financials!$A$5:$A$260,Financials!$D$5:$D$260,FinancialWalk!D134,Financials!$E$5:$E$260,FinancialWalk!E134,Financials!$F$5:$F$260,FinancialWalk!F134)</f>
        <v>254</v>
      </c>
      <c r="L134">
        <f t="shared" si="26"/>
        <v>18</v>
      </c>
    </row>
    <row r="135" spans="1:12" x14ac:dyDescent="0.3">
      <c r="B135" t="str">
        <f t="shared" si="24"/>
        <v>MarinusPortland</v>
      </c>
      <c r="C135" t="s">
        <v>64</v>
      </c>
      <c r="D135">
        <v>0</v>
      </c>
      <c r="E135" t="str">
        <f t="shared" si="25"/>
        <v>Cal-37</v>
      </c>
      <c r="F135" t="s">
        <v>44</v>
      </c>
      <c r="G135" s="105" t="str">
        <f t="shared" si="21"/>
        <v>Merchant ROI</v>
      </c>
      <c r="H135" s="13" cm="1">
        <f t="array" ref="H135">INDEX(Financials!$B$5:$AI$260,FinancialWalk!K135,FinancialWalk!L135)</f>
        <v>-0.77822842744640897</v>
      </c>
      <c r="K135">
        <f>SUMIFS(Financials!$A$5:$A$260,Financials!$D$5:$D$260,FinancialWalk!D135,Financials!$E$5:$E$260,FinancialWalk!E135,Financials!$F$5:$F$260,FinancialWalk!F135)</f>
        <v>255</v>
      </c>
      <c r="L135">
        <f t="shared" si="26"/>
        <v>18</v>
      </c>
    </row>
    <row r="136" spans="1:12" x14ac:dyDescent="0.3">
      <c r="B136" t="str">
        <f t="shared" si="24"/>
        <v>MarinusPortland</v>
      </c>
      <c r="C136" t="s">
        <v>64</v>
      </c>
      <c r="D136" t="s">
        <v>24</v>
      </c>
      <c r="E136" t="str">
        <f t="shared" si="25"/>
        <v>Cal-37</v>
      </c>
      <c r="F136" t="s">
        <v>44</v>
      </c>
      <c r="G136" s="105" t="str">
        <f t="shared" si="21"/>
        <v>Merchant ROI</v>
      </c>
      <c r="H136" s="13" cm="1">
        <f t="array" ref="H136">INDEX(Financials!$B$5:$AI$260,FinancialWalk!K136,FinancialWalk!L136)</f>
        <v>-1.6533698946235527E-2</v>
      </c>
      <c r="K136">
        <f>SUMIFS(Financials!$A$5:$A$260,Financials!$D$5:$D$260,FinancialWalk!D136,Financials!$E$5:$E$260,FinancialWalk!E136,Financials!$F$5:$F$260,FinancialWalk!F136)</f>
        <v>256</v>
      </c>
      <c r="L136">
        <f t="shared" si="26"/>
        <v>18</v>
      </c>
    </row>
    <row r="137" spans="1:12" x14ac:dyDescent="0.3">
      <c r="A137">
        <v>1</v>
      </c>
      <c r="B137" t="str">
        <f>$B$2</f>
        <v>MarinusPortland</v>
      </c>
      <c r="C137" t="s">
        <v>64</v>
      </c>
      <c r="D137">
        <v>1</v>
      </c>
      <c r="E137" t="s">
        <v>18</v>
      </c>
      <c r="F137" t="s">
        <v>34</v>
      </c>
      <c r="G137" s="105" t="str">
        <f t="shared" ref="G137:G180" si="27">$P$23</f>
        <v>Merchant with PPA EBIT Discounted</v>
      </c>
      <c r="H137" s="20" cm="1">
        <f t="array" ref="H137">INDEX(Financials!$B$5:$AI$260,FinancialWalk!K137,FinancialWalk!L137)</f>
        <v>240814485.50329593</v>
      </c>
      <c r="K137">
        <f>SUMIFS(Financials!$A$5:$A$260,Financials!$D$5:$D$260,FinancialWalk!D137,Financials!$E$5:$E$260,FinancialWalk!E137,Financials!$F$5:$F$260,FinancialWalk!F137)</f>
        <v>121</v>
      </c>
      <c r="L137">
        <f t="shared" si="26"/>
        <v>24</v>
      </c>
    </row>
    <row r="138" spans="1:12" x14ac:dyDescent="0.3">
      <c r="B138" t="str">
        <f>B137</f>
        <v>MarinusPortland</v>
      </c>
      <c r="C138" t="s">
        <v>64</v>
      </c>
      <c r="D138">
        <v>0.95</v>
      </c>
      <c r="E138" t="str">
        <f>E137</f>
        <v>Cal-37</v>
      </c>
      <c r="F138" t="s">
        <v>34</v>
      </c>
      <c r="G138" s="105" t="str">
        <f t="shared" si="27"/>
        <v>Merchant with PPA EBIT Discounted</v>
      </c>
      <c r="H138" s="20" cm="1">
        <f t="array" ref="H138">INDEX(Financials!$B$5:$AI$260,FinancialWalk!K138,FinancialWalk!L138)</f>
        <v>117910574.1343597</v>
      </c>
      <c r="K138">
        <f>SUMIFS(Financials!$A$5:$A$260,Financials!$D$5:$D$260,FinancialWalk!D138,Financials!$E$5:$E$260,FinancialWalk!E138,Financials!$F$5:$F$260,FinancialWalk!F138)</f>
        <v>122</v>
      </c>
      <c r="L138">
        <f t="shared" si="26"/>
        <v>24</v>
      </c>
    </row>
    <row r="139" spans="1:12" x14ac:dyDescent="0.3">
      <c r="B139" t="str">
        <f t="shared" ref="B139:B158" si="28">B138</f>
        <v>MarinusPortland</v>
      </c>
      <c r="C139" t="s">
        <v>64</v>
      </c>
      <c r="D139">
        <v>0.95</v>
      </c>
      <c r="E139" t="str">
        <f t="shared" ref="E139:E158" si="29">E138</f>
        <v>Cal-37</v>
      </c>
      <c r="F139" t="s">
        <v>34</v>
      </c>
      <c r="G139" s="105" t="str">
        <f t="shared" si="27"/>
        <v>Merchant with PPA EBIT Discounted</v>
      </c>
      <c r="H139" s="20" cm="1">
        <f t="array" ref="H139">INDEX(Financials!$B$5:$AI$260,FinancialWalk!K139,FinancialWalk!L139)</f>
        <v>117910574.1343597</v>
      </c>
      <c r="K139">
        <f>SUMIFS(Financials!$A$5:$A$260,Financials!$D$5:$D$260,FinancialWalk!D139,Financials!$E$5:$E$260,FinancialWalk!E139,Financials!$F$5:$F$260,FinancialWalk!F139)</f>
        <v>122</v>
      </c>
      <c r="L139">
        <f t="shared" si="26"/>
        <v>24</v>
      </c>
    </row>
    <row r="140" spans="1:12" x14ac:dyDescent="0.3">
      <c r="B140" t="str">
        <f t="shared" si="28"/>
        <v>MarinusPortland</v>
      </c>
      <c r="C140" t="s">
        <v>64</v>
      </c>
      <c r="D140">
        <v>0.95</v>
      </c>
      <c r="E140" t="str">
        <f t="shared" si="29"/>
        <v>Cal-37</v>
      </c>
      <c r="F140" t="s">
        <v>34</v>
      </c>
      <c r="G140" s="105" t="str">
        <f t="shared" si="27"/>
        <v>Merchant with PPA EBIT Discounted</v>
      </c>
      <c r="H140" s="20" cm="1">
        <f t="array" ref="H140">INDEX(Financials!$B$5:$AI$260,FinancialWalk!K140,FinancialWalk!L140)</f>
        <v>117910574.1343597</v>
      </c>
      <c r="K140">
        <f>SUMIFS(Financials!$A$5:$A$260,Financials!$D$5:$D$260,FinancialWalk!D140,Financials!$E$5:$E$260,FinancialWalk!E140,Financials!$F$5:$F$260,FinancialWalk!F140)</f>
        <v>122</v>
      </c>
      <c r="L140">
        <f t="shared" si="26"/>
        <v>24</v>
      </c>
    </row>
    <row r="141" spans="1:12" x14ac:dyDescent="0.3">
      <c r="B141" t="str">
        <f t="shared" si="28"/>
        <v>MarinusPortland</v>
      </c>
      <c r="C141" t="s">
        <v>64</v>
      </c>
      <c r="D141">
        <v>0.75</v>
      </c>
      <c r="E141" t="str">
        <f t="shared" si="29"/>
        <v>Cal-37</v>
      </c>
      <c r="F141" t="s">
        <v>34</v>
      </c>
      <c r="G141" s="105" t="str">
        <f t="shared" si="27"/>
        <v>Merchant with PPA EBIT Discounted</v>
      </c>
      <c r="H141" s="20" cm="1">
        <f t="array" ref="H141">INDEX(Financials!$B$5:$AI$260,FinancialWalk!K141,FinancialWalk!L141)</f>
        <v>58937211.4397173</v>
      </c>
      <c r="K141">
        <f>SUMIFS(Financials!$A$5:$A$260,Financials!$D$5:$D$260,FinancialWalk!D141,Financials!$E$5:$E$260,FinancialWalk!E141,Financials!$F$5:$F$260,FinancialWalk!F141)</f>
        <v>123</v>
      </c>
      <c r="L141">
        <f t="shared" si="26"/>
        <v>24</v>
      </c>
    </row>
    <row r="142" spans="1:12" x14ac:dyDescent="0.3">
      <c r="B142" t="str">
        <f t="shared" si="28"/>
        <v>MarinusPortland</v>
      </c>
      <c r="C142" t="s">
        <v>64</v>
      </c>
      <c r="D142">
        <v>0.75</v>
      </c>
      <c r="E142" t="str">
        <f t="shared" si="29"/>
        <v>Cal-37</v>
      </c>
      <c r="F142" t="s">
        <v>34</v>
      </c>
      <c r="G142" s="105" t="str">
        <f t="shared" si="27"/>
        <v>Merchant with PPA EBIT Discounted</v>
      </c>
      <c r="H142" s="20" cm="1">
        <f t="array" ref="H142">INDEX(Financials!$B$5:$AI$260,FinancialWalk!K142,FinancialWalk!L142)</f>
        <v>58937211.4397173</v>
      </c>
      <c r="K142">
        <f>SUMIFS(Financials!$A$5:$A$260,Financials!$D$5:$D$260,FinancialWalk!D142,Financials!$E$5:$E$260,FinancialWalk!E142,Financials!$F$5:$F$260,FinancialWalk!F142)</f>
        <v>123</v>
      </c>
      <c r="L142">
        <f t="shared" si="26"/>
        <v>24</v>
      </c>
    </row>
    <row r="143" spans="1:12" x14ac:dyDescent="0.3">
      <c r="B143" t="str">
        <f t="shared" si="28"/>
        <v>MarinusPortland</v>
      </c>
      <c r="C143" t="s">
        <v>64</v>
      </c>
      <c r="D143">
        <v>0.75</v>
      </c>
      <c r="E143" t="str">
        <f t="shared" si="29"/>
        <v>Cal-37</v>
      </c>
      <c r="F143" t="s">
        <v>34</v>
      </c>
      <c r="G143" s="105" t="str">
        <f t="shared" si="27"/>
        <v>Merchant with PPA EBIT Discounted</v>
      </c>
      <c r="H143" s="20" cm="1">
        <f t="array" ref="H143">INDEX(Financials!$B$5:$AI$260,FinancialWalk!K143,FinancialWalk!L143)</f>
        <v>58937211.4397173</v>
      </c>
      <c r="K143">
        <f>SUMIFS(Financials!$A$5:$A$260,Financials!$D$5:$D$260,FinancialWalk!D143,Financials!$E$5:$E$260,FinancialWalk!E143,Financials!$F$5:$F$260,FinancialWalk!F143)</f>
        <v>123</v>
      </c>
      <c r="L143">
        <f t="shared" si="26"/>
        <v>24</v>
      </c>
    </row>
    <row r="144" spans="1:12" x14ac:dyDescent="0.3">
      <c r="B144" t="str">
        <f t="shared" si="28"/>
        <v>MarinusPortland</v>
      </c>
      <c r="C144" t="s">
        <v>64</v>
      </c>
      <c r="D144">
        <v>0.75</v>
      </c>
      <c r="E144" t="str">
        <f t="shared" si="29"/>
        <v>Cal-37</v>
      </c>
      <c r="F144" t="s">
        <v>34</v>
      </c>
      <c r="G144" s="105" t="str">
        <f t="shared" si="27"/>
        <v>Merchant with PPA EBIT Discounted</v>
      </c>
      <c r="H144" s="20" cm="1">
        <f t="array" ref="H144">INDEX(Financials!$B$5:$AI$260,FinancialWalk!K144,FinancialWalk!L144)</f>
        <v>58937211.4397173</v>
      </c>
      <c r="K144">
        <f>SUMIFS(Financials!$A$5:$A$260,Financials!$D$5:$D$260,FinancialWalk!D144,Financials!$E$5:$E$260,FinancialWalk!E144,Financials!$F$5:$F$260,FinancialWalk!F144)</f>
        <v>123</v>
      </c>
      <c r="L144">
        <f t="shared" si="26"/>
        <v>24</v>
      </c>
    </row>
    <row r="145" spans="2:12" x14ac:dyDescent="0.3">
      <c r="B145" t="str">
        <f t="shared" si="28"/>
        <v>MarinusPortland</v>
      </c>
      <c r="C145" t="s">
        <v>64</v>
      </c>
      <c r="D145">
        <v>0.5</v>
      </c>
      <c r="E145" t="str">
        <f t="shared" si="29"/>
        <v>Cal-37</v>
      </c>
      <c r="F145" t="s">
        <v>34</v>
      </c>
      <c r="G145" s="105" t="str">
        <f t="shared" si="27"/>
        <v>Merchant with PPA EBIT Discounted</v>
      </c>
      <c r="H145" s="20" cm="1">
        <f t="array" ref="H145">INDEX(Financials!$B$5:$AI$260,FinancialWalk!K145,FinancialWalk!L145)</f>
        <v>17758756.427623492</v>
      </c>
      <c r="K145">
        <f>SUMIFS(Financials!$A$5:$A$260,Financials!$D$5:$D$260,FinancialWalk!D145,Financials!$E$5:$E$260,FinancialWalk!E145,Financials!$F$5:$F$260,FinancialWalk!F145)</f>
        <v>124</v>
      </c>
      <c r="L145">
        <f t="shared" si="26"/>
        <v>24</v>
      </c>
    </row>
    <row r="146" spans="2:12" x14ac:dyDescent="0.3">
      <c r="B146" t="str">
        <f t="shared" si="28"/>
        <v>MarinusPortland</v>
      </c>
      <c r="C146" t="s">
        <v>64</v>
      </c>
      <c r="D146">
        <v>0.5</v>
      </c>
      <c r="E146" t="str">
        <f t="shared" si="29"/>
        <v>Cal-37</v>
      </c>
      <c r="F146" t="s">
        <v>34</v>
      </c>
      <c r="G146" s="105" t="str">
        <f t="shared" si="27"/>
        <v>Merchant with PPA EBIT Discounted</v>
      </c>
      <c r="H146" s="20" cm="1">
        <f t="array" ref="H146">INDEX(Financials!$B$5:$AI$260,FinancialWalk!K146,FinancialWalk!L146)</f>
        <v>17758756.427623492</v>
      </c>
      <c r="K146">
        <f>SUMIFS(Financials!$A$5:$A$260,Financials!$D$5:$D$260,FinancialWalk!D146,Financials!$E$5:$E$260,FinancialWalk!E146,Financials!$F$5:$F$260,FinancialWalk!F146)</f>
        <v>124</v>
      </c>
      <c r="L146">
        <f t="shared" si="26"/>
        <v>24</v>
      </c>
    </row>
    <row r="147" spans="2:12" x14ac:dyDescent="0.3">
      <c r="B147" t="str">
        <f t="shared" si="28"/>
        <v>MarinusPortland</v>
      </c>
      <c r="C147" t="s">
        <v>64</v>
      </c>
      <c r="D147">
        <v>0.5</v>
      </c>
      <c r="E147" t="str">
        <f t="shared" si="29"/>
        <v>Cal-37</v>
      </c>
      <c r="F147" t="s">
        <v>34</v>
      </c>
      <c r="G147" s="105" t="str">
        <f t="shared" si="27"/>
        <v>Merchant with PPA EBIT Discounted</v>
      </c>
      <c r="H147" s="20" cm="1">
        <f t="array" ref="H147">INDEX(Financials!$B$5:$AI$260,FinancialWalk!K147,FinancialWalk!L147)</f>
        <v>17758756.427623492</v>
      </c>
      <c r="K147">
        <f>SUMIFS(Financials!$A$5:$A$260,Financials!$D$5:$D$260,FinancialWalk!D147,Financials!$E$5:$E$260,FinancialWalk!E147,Financials!$F$5:$F$260,FinancialWalk!F147)</f>
        <v>124</v>
      </c>
      <c r="L147">
        <f t="shared" si="26"/>
        <v>24</v>
      </c>
    </row>
    <row r="148" spans="2:12" x14ac:dyDescent="0.3">
      <c r="B148" t="str">
        <f t="shared" si="28"/>
        <v>MarinusPortland</v>
      </c>
      <c r="C148" t="s">
        <v>64</v>
      </c>
      <c r="D148">
        <v>0.5</v>
      </c>
      <c r="E148" t="str">
        <f t="shared" si="29"/>
        <v>Cal-37</v>
      </c>
      <c r="F148" t="s">
        <v>34</v>
      </c>
      <c r="G148" s="105" t="str">
        <f t="shared" si="27"/>
        <v>Merchant with PPA EBIT Discounted</v>
      </c>
      <c r="H148" s="20" cm="1">
        <f t="array" ref="H148">INDEX(Financials!$B$5:$AI$260,FinancialWalk!K148,FinancialWalk!L148)</f>
        <v>17758756.427623492</v>
      </c>
      <c r="K148">
        <f>SUMIFS(Financials!$A$5:$A$260,Financials!$D$5:$D$260,FinancialWalk!D148,Financials!$E$5:$E$260,FinancialWalk!E148,Financials!$F$5:$F$260,FinancialWalk!F148)</f>
        <v>124</v>
      </c>
      <c r="L148">
        <f t="shared" si="26"/>
        <v>24</v>
      </c>
    </row>
    <row r="149" spans="2:12" x14ac:dyDescent="0.3">
      <c r="B149" t="str">
        <f t="shared" si="28"/>
        <v>MarinusPortland</v>
      </c>
      <c r="C149" t="s">
        <v>64</v>
      </c>
      <c r="D149">
        <v>0.5</v>
      </c>
      <c r="E149" t="str">
        <f t="shared" si="29"/>
        <v>Cal-37</v>
      </c>
      <c r="F149" t="s">
        <v>34</v>
      </c>
      <c r="G149" s="105" t="str">
        <f t="shared" si="27"/>
        <v>Merchant with PPA EBIT Discounted</v>
      </c>
      <c r="H149" s="20" cm="1">
        <f t="array" ref="H149">INDEX(Financials!$B$5:$AI$260,FinancialWalk!K149,FinancialWalk!L149)</f>
        <v>17758756.427623492</v>
      </c>
      <c r="K149">
        <f>SUMIFS(Financials!$A$5:$A$260,Financials!$D$5:$D$260,FinancialWalk!D149,Financials!$E$5:$E$260,FinancialWalk!E149,Financials!$F$5:$F$260,FinancialWalk!F149)</f>
        <v>124</v>
      </c>
      <c r="L149">
        <f t="shared" si="26"/>
        <v>24</v>
      </c>
    </row>
    <row r="150" spans="2:12" x14ac:dyDescent="0.3">
      <c r="B150" t="str">
        <f t="shared" si="28"/>
        <v>MarinusPortland</v>
      </c>
      <c r="C150" t="s">
        <v>64</v>
      </c>
      <c r="D150">
        <v>0.25</v>
      </c>
      <c r="E150" t="str">
        <f t="shared" si="29"/>
        <v>Cal-37</v>
      </c>
      <c r="F150" t="s">
        <v>34</v>
      </c>
      <c r="G150" s="105" t="str">
        <f t="shared" si="27"/>
        <v>Merchant with PPA EBIT Discounted</v>
      </c>
      <c r="H150" s="20" cm="1">
        <f t="array" ref="H150">INDEX(Financials!$B$5:$AI$260,FinancialWalk!K150,FinancialWalk!L150)</f>
        <v>-19970015.203905135</v>
      </c>
      <c r="K150">
        <f>SUMIFS(Financials!$A$5:$A$260,Financials!$D$5:$D$260,FinancialWalk!D150,Financials!$E$5:$E$260,FinancialWalk!E150,Financials!$F$5:$F$260,FinancialWalk!F150)</f>
        <v>125</v>
      </c>
      <c r="L150">
        <f t="shared" si="26"/>
        <v>24</v>
      </c>
    </row>
    <row r="151" spans="2:12" x14ac:dyDescent="0.3">
      <c r="B151" t="str">
        <f t="shared" si="28"/>
        <v>MarinusPortland</v>
      </c>
      <c r="C151" t="s">
        <v>64</v>
      </c>
      <c r="D151">
        <v>0.25</v>
      </c>
      <c r="E151" t="str">
        <f t="shared" si="29"/>
        <v>Cal-37</v>
      </c>
      <c r="F151" t="s">
        <v>34</v>
      </c>
      <c r="G151" s="105" t="str">
        <f t="shared" si="27"/>
        <v>Merchant with PPA EBIT Discounted</v>
      </c>
      <c r="H151" s="20" cm="1">
        <f t="array" ref="H151">INDEX(Financials!$B$5:$AI$260,FinancialWalk!K151,FinancialWalk!L151)</f>
        <v>-19970015.203905135</v>
      </c>
      <c r="K151">
        <f>SUMIFS(Financials!$A$5:$A$260,Financials!$D$5:$D$260,FinancialWalk!D151,Financials!$E$5:$E$260,FinancialWalk!E151,Financials!$F$5:$F$260,FinancialWalk!F151)</f>
        <v>125</v>
      </c>
      <c r="L151">
        <f t="shared" si="26"/>
        <v>24</v>
      </c>
    </row>
    <row r="152" spans="2:12" x14ac:dyDescent="0.3">
      <c r="B152" t="str">
        <f t="shared" si="28"/>
        <v>MarinusPortland</v>
      </c>
      <c r="C152" t="s">
        <v>64</v>
      </c>
      <c r="D152">
        <v>0.25</v>
      </c>
      <c r="E152" t="str">
        <f t="shared" si="29"/>
        <v>Cal-37</v>
      </c>
      <c r="F152" t="s">
        <v>34</v>
      </c>
      <c r="G152" s="105" t="str">
        <f t="shared" si="27"/>
        <v>Merchant with PPA EBIT Discounted</v>
      </c>
      <c r="H152" s="20" cm="1">
        <f t="array" ref="H152">INDEX(Financials!$B$5:$AI$260,FinancialWalk!K152,FinancialWalk!L152)</f>
        <v>-19970015.203905135</v>
      </c>
      <c r="K152">
        <f>SUMIFS(Financials!$A$5:$A$260,Financials!$D$5:$D$260,FinancialWalk!D152,Financials!$E$5:$E$260,FinancialWalk!E152,Financials!$F$5:$F$260,FinancialWalk!F152)</f>
        <v>125</v>
      </c>
      <c r="L152">
        <f t="shared" si="26"/>
        <v>24</v>
      </c>
    </row>
    <row r="153" spans="2:12" x14ac:dyDescent="0.3">
      <c r="B153" t="str">
        <f t="shared" si="28"/>
        <v>MarinusPortland</v>
      </c>
      <c r="C153" t="s">
        <v>64</v>
      </c>
      <c r="D153">
        <v>0.25</v>
      </c>
      <c r="E153" t="str">
        <f t="shared" si="29"/>
        <v>Cal-37</v>
      </c>
      <c r="F153" t="s">
        <v>34</v>
      </c>
      <c r="G153" s="105" t="str">
        <f t="shared" si="27"/>
        <v>Merchant with PPA EBIT Discounted</v>
      </c>
      <c r="H153" s="20" cm="1">
        <f t="array" ref="H153">INDEX(Financials!$B$5:$AI$260,FinancialWalk!K153,FinancialWalk!L153)</f>
        <v>-19970015.203905135</v>
      </c>
      <c r="K153">
        <f>SUMIFS(Financials!$A$5:$A$260,Financials!$D$5:$D$260,FinancialWalk!D153,Financials!$E$5:$E$260,FinancialWalk!E153,Financials!$F$5:$F$260,FinancialWalk!F153)</f>
        <v>125</v>
      </c>
      <c r="L153">
        <f t="shared" si="26"/>
        <v>24</v>
      </c>
    </row>
    <row r="154" spans="2:12" x14ac:dyDescent="0.3">
      <c r="B154" t="str">
        <f t="shared" si="28"/>
        <v>MarinusPortland</v>
      </c>
      <c r="C154" t="s">
        <v>64</v>
      </c>
      <c r="D154">
        <v>0.05</v>
      </c>
      <c r="E154" t="str">
        <f t="shared" si="29"/>
        <v>Cal-37</v>
      </c>
      <c r="F154" t="s">
        <v>34</v>
      </c>
      <c r="G154" s="105" t="str">
        <f t="shared" si="27"/>
        <v>Merchant with PPA EBIT Discounted</v>
      </c>
      <c r="H154" s="20" cm="1">
        <f t="array" ref="H154">INDEX(Financials!$B$5:$AI$260,FinancialWalk!K154,FinancialWalk!L154)</f>
        <v>-66911672.433085911</v>
      </c>
      <c r="K154">
        <f>SUMIFS(Financials!$A$5:$A$260,Financials!$D$5:$D$260,FinancialWalk!D154,Financials!$E$5:$E$260,FinancialWalk!E154,Financials!$F$5:$F$260,FinancialWalk!F154)</f>
        <v>126</v>
      </c>
      <c r="L154">
        <f t="shared" si="26"/>
        <v>24</v>
      </c>
    </row>
    <row r="155" spans="2:12" x14ac:dyDescent="0.3">
      <c r="B155" t="str">
        <f t="shared" si="28"/>
        <v>MarinusPortland</v>
      </c>
      <c r="C155" t="s">
        <v>64</v>
      </c>
      <c r="D155">
        <v>0.05</v>
      </c>
      <c r="E155" t="str">
        <f t="shared" si="29"/>
        <v>Cal-37</v>
      </c>
      <c r="F155" t="s">
        <v>34</v>
      </c>
      <c r="G155" s="105" t="str">
        <f t="shared" si="27"/>
        <v>Merchant with PPA EBIT Discounted</v>
      </c>
      <c r="H155" s="20" cm="1">
        <f t="array" ref="H155">INDEX(Financials!$B$5:$AI$260,FinancialWalk!K155,FinancialWalk!L155)</f>
        <v>-66911672.433085911</v>
      </c>
      <c r="K155">
        <f>SUMIFS(Financials!$A$5:$A$260,Financials!$D$5:$D$260,FinancialWalk!D155,Financials!$E$5:$E$260,FinancialWalk!E155,Financials!$F$5:$F$260,FinancialWalk!F155)</f>
        <v>126</v>
      </c>
      <c r="L155">
        <f t="shared" si="26"/>
        <v>24</v>
      </c>
    </row>
    <row r="156" spans="2:12" x14ac:dyDescent="0.3">
      <c r="B156" t="str">
        <f t="shared" si="28"/>
        <v>MarinusPortland</v>
      </c>
      <c r="C156" t="s">
        <v>64</v>
      </c>
      <c r="D156">
        <v>0.05</v>
      </c>
      <c r="E156" t="str">
        <f t="shared" si="29"/>
        <v>Cal-37</v>
      </c>
      <c r="F156" t="s">
        <v>34</v>
      </c>
      <c r="G156" s="105" t="str">
        <f t="shared" si="27"/>
        <v>Merchant with PPA EBIT Discounted</v>
      </c>
      <c r="H156" s="20" cm="1">
        <f t="array" ref="H156">INDEX(Financials!$B$5:$AI$260,FinancialWalk!K156,FinancialWalk!L156)</f>
        <v>-66911672.433085911</v>
      </c>
      <c r="K156">
        <f>SUMIFS(Financials!$A$5:$A$260,Financials!$D$5:$D$260,FinancialWalk!D156,Financials!$E$5:$E$260,FinancialWalk!E156,Financials!$F$5:$F$260,FinancialWalk!F156)</f>
        <v>126</v>
      </c>
      <c r="L156">
        <f t="shared" si="26"/>
        <v>24</v>
      </c>
    </row>
    <row r="157" spans="2:12" x14ac:dyDescent="0.3">
      <c r="B157" t="str">
        <f t="shared" si="28"/>
        <v>MarinusPortland</v>
      </c>
      <c r="C157" t="s">
        <v>64</v>
      </c>
      <c r="D157">
        <v>0</v>
      </c>
      <c r="E157" t="str">
        <f t="shared" si="29"/>
        <v>Cal-37</v>
      </c>
      <c r="F157" t="s">
        <v>34</v>
      </c>
      <c r="G157" s="105" t="str">
        <f t="shared" si="27"/>
        <v>Merchant with PPA EBIT Discounted</v>
      </c>
      <c r="H157" s="20" cm="1">
        <f t="array" ref="H157">INDEX(Financials!$B$5:$AI$260,FinancialWalk!K157,FinancialWalk!L157)</f>
        <v>-123333231.93204196</v>
      </c>
      <c r="K157">
        <f>SUMIFS(Financials!$A$5:$A$260,Financials!$D$5:$D$260,FinancialWalk!D157,Financials!$E$5:$E$260,FinancialWalk!E157,Financials!$F$5:$F$260,FinancialWalk!F157)</f>
        <v>127</v>
      </c>
      <c r="L157">
        <f t="shared" si="26"/>
        <v>24</v>
      </c>
    </row>
    <row r="158" spans="2:12" x14ac:dyDescent="0.3">
      <c r="B158" t="str">
        <f t="shared" si="28"/>
        <v>MarinusPortland</v>
      </c>
      <c r="C158" t="s">
        <v>64</v>
      </c>
      <c r="D158" t="s">
        <v>24</v>
      </c>
      <c r="E158" t="str">
        <f t="shared" si="29"/>
        <v>Cal-37</v>
      </c>
      <c r="F158" t="s">
        <v>34</v>
      </c>
      <c r="G158" s="105" t="str">
        <f t="shared" si="27"/>
        <v>Merchant with PPA EBIT Discounted</v>
      </c>
      <c r="H158" s="20" cm="1">
        <f t="array" ref="H158">INDEX(Financials!$B$5:$AI$260,FinancialWalk!K158,FinancialWalk!L158)</f>
        <v>20781328.283586867</v>
      </c>
      <c r="K158">
        <f>SUMIFS(Financials!$A$5:$A$260,Financials!$D$5:$D$260,FinancialWalk!D158,Financials!$E$5:$E$260,FinancialWalk!E158,Financials!$F$5:$F$260,FinancialWalk!F158)</f>
        <v>128</v>
      </c>
      <c r="L158">
        <f t="shared" si="26"/>
        <v>24</v>
      </c>
    </row>
    <row r="159" spans="2:12" x14ac:dyDescent="0.3">
      <c r="B159" t="str">
        <f>$B$2</f>
        <v>MarinusPortland</v>
      </c>
      <c r="C159" t="s">
        <v>64</v>
      </c>
      <c r="D159">
        <v>1</v>
      </c>
      <c r="E159" t="s">
        <v>18</v>
      </c>
      <c r="F159" t="s">
        <v>44</v>
      </c>
      <c r="G159" s="105" t="str">
        <f t="shared" si="27"/>
        <v>Merchant with PPA EBIT Discounted</v>
      </c>
      <c r="H159" s="20" cm="1">
        <f t="array" ref="H159">INDEX(Financials!$B$5:$AI$260,FinancialWalk!K159,FinancialWalk!L159)</f>
        <v>232291439.58873075</v>
      </c>
      <c r="K159">
        <f>SUMIFS(Financials!$A$5:$A$260,Financials!$D$5:$D$260,FinancialWalk!D159,Financials!$E$5:$E$260,FinancialWalk!E159,Financials!$F$5:$F$260,FinancialWalk!F159)</f>
        <v>249</v>
      </c>
      <c r="L159">
        <f t="shared" si="26"/>
        <v>24</v>
      </c>
    </row>
    <row r="160" spans="2:12" x14ac:dyDescent="0.3">
      <c r="B160" t="str">
        <f>B159</f>
        <v>MarinusPortland</v>
      </c>
      <c r="C160" t="s">
        <v>64</v>
      </c>
      <c r="D160">
        <v>0.95</v>
      </c>
      <c r="E160" t="str">
        <f>E159</f>
        <v>Cal-37</v>
      </c>
      <c r="F160" t="s">
        <v>44</v>
      </c>
      <c r="G160" s="105" t="str">
        <f t="shared" si="27"/>
        <v>Merchant with PPA EBIT Discounted</v>
      </c>
      <c r="H160" s="20" cm="1">
        <f t="array" ref="H160">INDEX(Financials!$B$5:$AI$260,FinancialWalk!K160,FinancialWalk!L160)</f>
        <v>113639371.57780245</v>
      </c>
      <c r="K160">
        <f>SUMIFS(Financials!$A$5:$A$260,Financials!$D$5:$D$260,FinancialWalk!D160,Financials!$E$5:$E$260,FinancialWalk!E160,Financials!$F$5:$F$260,FinancialWalk!F160)</f>
        <v>250</v>
      </c>
      <c r="L160">
        <f t="shared" si="26"/>
        <v>24</v>
      </c>
    </row>
    <row r="161" spans="2:12" x14ac:dyDescent="0.3">
      <c r="B161" t="str">
        <f t="shared" ref="B161:B180" si="30">B160</f>
        <v>MarinusPortland</v>
      </c>
      <c r="C161" t="s">
        <v>64</v>
      </c>
      <c r="D161">
        <v>0.95</v>
      </c>
      <c r="E161" t="str">
        <f t="shared" ref="E161:E180" si="31">E160</f>
        <v>Cal-37</v>
      </c>
      <c r="F161" t="s">
        <v>44</v>
      </c>
      <c r="G161" s="105" t="str">
        <f t="shared" si="27"/>
        <v>Merchant with PPA EBIT Discounted</v>
      </c>
      <c r="H161" s="20" cm="1">
        <f t="array" ref="H161">INDEX(Financials!$B$5:$AI$260,FinancialWalk!K161,FinancialWalk!L161)</f>
        <v>113639371.57780245</v>
      </c>
      <c r="K161">
        <f>SUMIFS(Financials!$A$5:$A$260,Financials!$D$5:$D$260,FinancialWalk!D161,Financials!$E$5:$E$260,FinancialWalk!E161,Financials!$F$5:$F$260,FinancialWalk!F161)</f>
        <v>250</v>
      </c>
      <c r="L161">
        <f t="shared" si="26"/>
        <v>24</v>
      </c>
    </row>
    <row r="162" spans="2:12" x14ac:dyDescent="0.3">
      <c r="B162" t="str">
        <f t="shared" si="30"/>
        <v>MarinusPortland</v>
      </c>
      <c r="C162" t="s">
        <v>64</v>
      </c>
      <c r="D162">
        <v>0.95</v>
      </c>
      <c r="E162" t="str">
        <f t="shared" si="31"/>
        <v>Cal-37</v>
      </c>
      <c r="F162" t="s">
        <v>44</v>
      </c>
      <c r="G162" s="105" t="str">
        <f t="shared" si="27"/>
        <v>Merchant with PPA EBIT Discounted</v>
      </c>
      <c r="H162" s="20" cm="1">
        <f t="array" ref="H162">INDEX(Financials!$B$5:$AI$260,FinancialWalk!K162,FinancialWalk!L162)</f>
        <v>113639371.57780245</v>
      </c>
      <c r="K162">
        <f>SUMIFS(Financials!$A$5:$A$260,Financials!$D$5:$D$260,FinancialWalk!D162,Financials!$E$5:$E$260,FinancialWalk!E162,Financials!$F$5:$F$260,FinancialWalk!F162)</f>
        <v>250</v>
      </c>
      <c r="L162">
        <f t="shared" si="26"/>
        <v>24</v>
      </c>
    </row>
    <row r="163" spans="2:12" x14ac:dyDescent="0.3">
      <c r="B163" t="str">
        <f t="shared" si="30"/>
        <v>MarinusPortland</v>
      </c>
      <c r="C163" t="s">
        <v>64</v>
      </c>
      <c r="D163">
        <v>0.75</v>
      </c>
      <c r="E163" t="str">
        <f t="shared" si="31"/>
        <v>Cal-37</v>
      </c>
      <c r="F163" t="s">
        <v>44</v>
      </c>
      <c r="G163" s="105" t="str">
        <f t="shared" si="27"/>
        <v>Merchant with PPA EBIT Discounted</v>
      </c>
      <c r="H163" s="20" cm="1">
        <f t="array" ref="H163">INDEX(Financials!$B$5:$AI$260,FinancialWalk!K163,FinancialWalk!L163)</f>
        <v>56654648.687193632</v>
      </c>
      <c r="K163">
        <f>SUMIFS(Financials!$A$5:$A$260,Financials!$D$5:$D$260,FinancialWalk!D163,Financials!$E$5:$E$260,FinancialWalk!E163,Financials!$F$5:$F$260,FinancialWalk!F163)</f>
        <v>251</v>
      </c>
      <c r="L163">
        <f t="shared" si="26"/>
        <v>24</v>
      </c>
    </row>
    <row r="164" spans="2:12" x14ac:dyDescent="0.3">
      <c r="B164" t="str">
        <f t="shared" si="30"/>
        <v>MarinusPortland</v>
      </c>
      <c r="C164" t="s">
        <v>64</v>
      </c>
      <c r="D164">
        <v>0.75</v>
      </c>
      <c r="E164" t="str">
        <f t="shared" si="31"/>
        <v>Cal-37</v>
      </c>
      <c r="F164" t="s">
        <v>44</v>
      </c>
      <c r="G164" s="105" t="str">
        <f t="shared" si="27"/>
        <v>Merchant with PPA EBIT Discounted</v>
      </c>
      <c r="H164" s="20" cm="1">
        <f t="array" ref="H164">INDEX(Financials!$B$5:$AI$260,FinancialWalk!K164,FinancialWalk!L164)</f>
        <v>56654648.687193632</v>
      </c>
      <c r="K164">
        <f>SUMIFS(Financials!$A$5:$A$260,Financials!$D$5:$D$260,FinancialWalk!D164,Financials!$E$5:$E$260,FinancialWalk!E164,Financials!$F$5:$F$260,FinancialWalk!F164)</f>
        <v>251</v>
      </c>
      <c r="L164">
        <f t="shared" si="26"/>
        <v>24</v>
      </c>
    </row>
    <row r="165" spans="2:12" x14ac:dyDescent="0.3">
      <c r="B165" t="str">
        <f t="shared" si="30"/>
        <v>MarinusPortland</v>
      </c>
      <c r="C165" t="s">
        <v>64</v>
      </c>
      <c r="D165">
        <v>0.75</v>
      </c>
      <c r="E165" t="str">
        <f t="shared" si="31"/>
        <v>Cal-37</v>
      </c>
      <c r="F165" t="s">
        <v>44</v>
      </c>
      <c r="G165" s="105" t="str">
        <f t="shared" si="27"/>
        <v>Merchant with PPA EBIT Discounted</v>
      </c>
      <c r="H165" s="20" cm="1">
        <f t="array" ref="H165">INDEX(Financials!$B$5:$AI$260,FinancialWalk!K165,FinancialWalk!L165)</f>
        <v>56654648.687193632</v>
      </c>
      <c r="K165">
        <f>SUMIFS(Financials!$A$5:$A$260,Financials!$D$5:$D$260,FinancialWalk!D165,Financials!$E$5:$E$260,FinancialWalk!E165,Financials!$F$5:$F$260,FinancialWalk!F165)</f>
        <v>251</v>
      </c>
      <c r="L165">
        <f t="shared" si="26"/>
        <v>24</v>
      </c>
    </row>
    <row r="166" spans="2:12" x14ac:dyDescent="0.3">
      <c r="B166" t="str">
        <f t="shared" si="30"/>
        <v>MarinusPortland</v>
      </c>
      <c r="C166" t="s">
        <v>64</v>
      </c>
      <c r="D166">
        <v>0.75</v>
      </c>
      <c r="E166" t="str">
        <f t="shared" si="31"/>
        <v>Cal-37</v>
      </c>
      <c r="F166" t="s">
        <v>44</v>
      </c>
      <c r="G166" s="105" t="str">
        <f t="shared" si="27"/>
        <v>Merchant with PPA EBIT Discounted</v>
      </c>
      <c r="H166" s="20" cm="1">
        <f t="array" ref="H166">INDEX(Financials!$B$5:$AI$260,FinancialWalk!K166,FinancialWalk!L166)</f>
        <v>56654648.687193632</v>
      </c>
      <c r="K166">
        <f>SUMIFS(Financials!$A$5:$A$260,Financials!$D$5:$D$260,FinancialWalk!D166,Financials!$E$5:$E$260,FinancialWalk!E166,Financials!$F$5:$F$260,FinancialWalk!F166)</f>
        <v>251</v>
      </c>
      <c r="L166">
        <f t="shared" si="26"/>
        <v>24</v>
      </c>
    </row>
    <row r="167" spans="2:12" x14ac:dyDescent="0.3">
      <c r="B167" t="str">
        <f t="shared" si="30"/>
        <v>MarinusPortland</v>
      </c>
      <c r="C167" t="s">
        <v>64</v>
      </c>
      <c r="D167">
        <v>0.5</v>
      </c>
      <c r="E167" t="str">
        <f t="shared" si="31"/>
        <v>Cal-37</v>
      </c>
      <c r="F167" t="s">
        <v>44</v>
      </c>
      <c r="G167" s="105" t="str">
        <f t="shared" si="27"/>
        <v>Merchant with PPA EBIT Discounted</v>
      </c>
      <c r="H167" s="20" cm="1">
        <f t="array" ref="H167">INDEX(Financials!$B$5:$AI$260,FinancialWalk!K167,FinancialWalk!L167)</f>
        <v>16311208.814538015</v>
      </c>
      <c r="K167">
        <f>SUMIFS(Financials!$A$5:$A$260,Financials!$D$5:$D$260,FinancialWalk!D167,Financials!$E$5:$E$260,FinancialWalk!E167,Financials!$F$5:$F$260,FinancialWalk!F167)</f>
        <v>252</v>
      </c>
      <c r="L167">
        <f t="shared" si="26"/>
        <v>24</v>
      </c>
    </row>
    <row r="168" spans="2:12" x14ac:dyDescent="0.3">
      <c r="B168" t="str">
        <f t="shared" si="30"/>
        <v>MarinusPortland</v>
      </c>
      <c r="C168" t="s">
        <v>64</v>
      </c>
      <c r="D168">
        <v>0.5</v>
      </c>
      <c r="E168" t="str">
        <f t="shared" si="31"/>
        <v>Cal-37</v>
      </c>
      <c r="F168" t="s">
        <v>44</v>
      </c>
      <c r="G168" s="105" t="str">
        <f t="shared" si="27"/>
        <v>Merchant with PPA EBIT Discounted</v>
      </c>
      <c r="H168" s="20" cm="1">
        <f t="array" ref="H168">INDEX(Financials!$B$5:$AI$260,FinancialWalk!K168,FinancialWalk!L168)</f>
        <v>16311208.814538015</v>
      </c>
      <c r="K168">
        <f>SUMIFS(Financials!$A$5:$A$260,Financials!$D$5:$D$260,FinancialWalk!D168,Financials!$E$5:$E$260,FinancialWalk!E168,Financials!$F$5:$F$260,FinancialWalk!F168)</f>
        <v>252</v>
      </c>
      <c r="L168">
        <f t="shared" si="26"/>
        <v>24</v>
      </c>
    </row>
    <row r="169" spans="2:12" x14ac:dyDescent="0.3">
      <c r="B169" t="str">
        <f t="shared" si="30"/>
        <v>MarinusPortland</v>
      </c>
      <c r="C169" t="s">
        <v>64</v>
      </c>
      <c r="D169">
        <v>0.5</v>
      </c>
      <c r="E169" t="str">
        <f t="shared" si="31"/>
        <v>Cal-37</v>
      </c>
      <c r="F169" t="s">
        <v>44</v>
      </c>
      <c r="G169" s="105" t="str">
        <f t="shared" si="27"/>
        <v>Merchant with PPA EBIT Discounted</v>
      </c>
      <c r="H169" s="20" cm="1">
        <f t="array" ref="H169">INDEX(Financials!$B$5:$AI$260,FinancialWalk!K169,FinancialWalk!L169)</f>
        <v>16311208.814538015</v>
      </c>
      <c r="K169">
        <f>SUMIFS(Financials!$A$5:$A$260,Financials!$D$5:$D$260,FinancialWalk!D169,Financials!$E$5:$E$260,FinancialWalk!E169,Financials!$F$5:$F$260,FinancialWalk!F169)</f>
        <v>252</v>
      </c>
      <c r="L169">
        <f t="shared" si="26"/>
        <v>24</v>
      </c>
    </row>
    <row r="170" spans="2:12" x14ac:dyDescent="0.3">
      <c r="B170" t="str">
        <f t="shared" si="30"/>
        <v>MarinusPortland</v>
      </c>
      <c r="C170" t="s">
        <v>64</v>
      </c>
      <c r="D170">
        <v>0.5</v>
      </c>
      <c r="E170" t="str">
        <f t="shared" si="31"/>
        <v>Cal-37</v>
      </c>
      <c r="F170" t="s">
        <v>44</v>
      </c>
      <c r="G170" s="105" t="str">
        <f t="shared" si="27"/>
        <v>Merchant with PPA EBIT Discounted</v>
      </c>
      <c r="H170" s="20" cm="1">
        <f t="array" ref="H170">INDEX(Financials!$B$5:$AI$260,FinancialWalk!K170,FinancialWalk!L170)</f>
        <v>16311208.814538015</v>
      </c>
      <c r="K170">
        <f>SUMIFS(Financials!$A$5:$A$260,Financials!$D$5:$D$260,FinancialWalk!D170,Financials!$E$5:$E$260,FinancialWalk!E170,Financials!$F$5:$F$260,FinancialWalk!F170)</f>
        <v>252</v>
      </c>
      <c r="L170">
        <f t="shared" si="26"/>
        <v>24</v>
      </c>
    </row>
    <row r="171" spans="2:12" x14ac:dyDescent="0.3">
      <c r="B171" t="str">
        <f t="shared" si="30"/>
        <v>MarinusPortland</v>
      </c>
      <c r="C171" t="s">
        <v>64</v>
      </c>
      <c r="D171">
        <v>0.5</v>
      </c>
      <c r="E171" t="str">
        <f t="shared" si="31"/>
        <v>Cal-37</v>
      </c>
      <c r="F171" t="s">
        <v>44</v>
      </c>
      <c r="G171" s="105" t="str">
        <f t="shared" si="27"/>
        <v>Merchant with PPA EBIT Discounted</v>
      </c>
      <c r="H171" s="20" cm="1">
        <f t="array" ref="H171">INDEX(Financials!$B$5:$AI$260,FinancialWalk!K171,FinancialWalk!L171)</f>
        <v>16311208.814538015</v>
      </c>
      <c r="K171">
        <f>SUMIFS(Financials!$A$5:$A$260,Financials!$D$5:$D$260,FinancialWalk!D171,Financials!$E$5:$E$260,FinancialWalk!E171,Financials!$F$5:$F$260,FinancialWalk!F171)</f>
        <v>252</v>
      </c>
      <c r="L171">
        <f t="shared" si="26"/>
        <v>24</v>
      </c>
    </row>
    <row r="172" spans="2:12" x14ac:dyDescent="0.3">
      <c r="B172" t="str">
        <f t="shared" si="30"/>
        <v>MarinusPortland</v>
      </c>
      <c r="C172" t="s">
        <v>64</v>
      </c>
      <c r="D172">
        <v>0.25</v>
      </c>
      <c r="E172" t="str">
        <f t="shared" si="31"/>
        <v>Cal-37</v>
      </c>
      <c r="F172" t="s">
        <v>44</v>
      </c>
      <c r="G172" s="105" t="str">
        <f t="shared" si="27"/>
        <v>Merchant with PPA EBIT Discounted</v>
      </c>
      <c r="H172" s="20" cm="1">
        <f t="array" ref="H172">INDEX(Financials!$B$5:$AI$260,FinancialWalk!K172,FinancialWalk!L172)</f>
        <v>-20790038.837731153</v>
      </c>
      <c r="K172">
        <f>SUMIFS(Financials!$A$5:$A$260,Financials!$D$5:$D$260,FinancialWalk!D172,Financials!$E$5:$E$260,FinancialWalk!E172,Financials!$F$5:$F$260,FinancialWalk!F172)</f>
        <v>253</v>
      </c>
      <c r="L172">
        <f t="shared" si="26"/>
        <v>24</v>
      </c>
    </row>
    <row r="173" spans="2:12" x14ac:dyDescent="0.3">
      <c r="B173" t="str">
        <f t="shared" si="30"/>
        <v>MarinusPortland</v>
      </c>
      <c r="C173" t="s">
        <v>64</v>
      </c>
      <c r="D173">
        <v>0.25</v>
      </c>
      <c r="E173" t="str">
        <f t="shared" si="31"/>
        <v>Cal-37</v>
      </c>
      <c r="F173" t="s">
        <v>44</v>
      </c>
      <c r="G173" s="105" t="str">
        <f t="shared" si="27"/>
        <v>Merchant with PPA EBIT Discounted</v>
      </c>
      <c r="H173" s="20" cm="1">
        <f t="array" ref="H173">INDEX(Financials!$B$5:$AI$260,FinancialWalk!K173,FinancialWalk!L173)</f>
        <v>-20790038.837731153</v>
      </c>
      <c r="K173">
        <f>SUMIFS(Financials!$A$5:$A$260,Financials!$D$5:$D$260,FinancialWalk!D173,Financials!$E$5:$E$260,FinancialWalk!E173,Financials!$F$5:$F$260,FinancialWalk!F173)</f>
        <v>253</v>
      </c>
      <c r="L173">
        <f t="shared" si="26"/>
        <v>24</v>
      </c>
    </row>
    <row r="174" spans="2:12" x14ac:dyDescent="0.3">
      <c r="B174" t="str">
        <f t="shared" si="30"/>
        <v>MarinusPortland</v>
      </c>
      <c r="C174" t="s">
        <v>64</v>
      </c>
      <c r="D174">
        <v>0.25</v>
      </c>
      <c r="E174" t="str">
        <f t="shared" si="31"/>
        <v>Cal-37</v>
      </c>
      <c r="F174" t="s">
        <v>44</v>
      </c>
      <c r="G174" s="105" t="str">
        <f t="shared" si="27"/>
        <v>Merchant with PPA EBIT Discounted</v>
      </c>
      <c r="H174" s="20" cm="1">
        <f t="array" ref="H174">INDEX(Financials!$B$5:$AI$260,FinancialWalk!K174,FinancialWalk!L174)</f>
        <v>-20790038.837731153</v>
      </c>
      <c r="K174">
        <f>SUMIFS(Financials!$A$5:$A$260,Financials!$D$5:$D$260,FinancialWalk!D174,Financials!$E$5:$E$260,FinancialWalk!E174,Financials!$F$5:$F$260,FinancialWalk!F174)</f>
        <v>253</v>
      </c>
      <c r="L174">
        <f t="shared" si="26"/>
        <v>24</v>
      </c>
    </row>
    <row r="175" spans="2:12" x14ac:dyDescent="0.3">
      <c r="B175" t="str">
        <f t="shared" si="30"/>
        <v>MarinusPortland</v>
      </c>
      <c r="C175" t="s">
        <v>64</v>
      </c>
      <c r="D175">
        <v>0.25</v>
      </c>
      <c r="E175" t="str">
        <f t="shared" si="31"/>
        <v>Cal-37</v>
      </c>
      <c r="F175" t="s">
        <v>44</v>
      </c>
      <c r="G175" s="105" t="str">
        <f t="shared" si="27"/>
        <v>Merchant with PPA EBIT Discounted</v>
      </c>
      <c r="H175" s="20" cm="1">
        <f t="array" ref="H175">INDEX(Financials!$B$5:$AI$260,FinancialWalk!K175,FinancialWalk!L175)</f>
        <v>-20790038.837731153</v>
      </c>
      <c r="K175">
        <f>SUMIFS(Financials!$A$5:$A$260,Financials!$D$5:$D$260,FinancialWalk!D175,Financials!$E$5:$E$260,FinancialWalk!E175,Financials!$F$5:$F$260,FinancialWalk!F175)</f>
        <v>253</v>
      </c>
      <c r="L175">
        <f t="shared" si="26"/>
        <v>24</v>
      </c>
    </row>
    <row r="176" spans="2:12" x14ac:dyDescent="0.3">
      <c r="B176" t="str">
        <f t="shared" si="30"/>
        <v>MarinusPortland</v>
      </c>
      <c r="C176" t="s">
        <v>64</v>
      </c>
      <c r="D176">
        <v>0.05</v>
      </c>
      <c r="E176" t="str">
        <f t="shared" si="31"/>
        <v>Cal-37</v>
      </c>
      <c r="F176" t="s">
        <v>44</v>
      </c>
      <c r="G176" s="105" t="str">
        <f t="shared" si="27"/>
        <v>Merchant with PPA EBIT Discounted</v>
      </c>
      <c r="H176" s="20" cm="1">
        <f t="array" ref="H176">INDEX(Financials!$B$5:$AI$260,FinancialWalk!K176,FinancialWalk!L176)</f>
        <v>-66805798.330160275</v>
      </c>
      <c r="K176">
        <f>SUMIFS(Financials!$A$5:$A$260,Financials!$D$5:$D$260,FinancialWalk!D176,Financials!$E$5:$E$260,FinancialWalk!E176,Financials!$F$5:$F$260,FinancialWalk!F176)</f>
        <v>254</v>
      </c>
      <c r="L176">
        <f t="shared" si="26"/>
        <v>24</v>
      </c>
    </row>
    <row r="177" spans="2:12" x14ac:dyDescent="0.3">
      <c r="B177" t="str">
        <f t="shared" si="30"/>
        <v>MarinusPortland</v>
      </c>
      <c r="C177" t="s">
        <v>64</v>
      </c>
      <c r="D177">
        <v>0.05</v>
      </c>
      <c r="E177" t="str">
        <f t="shared" si="31"/>
        <v>Cal-37</v>
      </c>
      <c r="F177" t="s">
        <v>44</v>
      </c>
      <c r="G177" s="105" t="str">
        <f t="shared" si="27"/>
        <v>Merchant with PPA EBIT Discounted</v>
      </c>
      <c r="H177" s="20" cm="1">
        <f t="array" ref="H177">INDEX(Financials!$B$5:$AI$260,FinancialWalk!K177,FinancialWalk!L177)</f>
        <v>-66805798.330160275</v>
      </c>
      <c r="K177">
        <f>SUMIFS(Financials!$A$5:$A$260,Financials!$D$5:$D$260,FinancialWalk!D177,Financials!$E$5:$E$260,FinancialWalk!E177,Financials!$F$5:$F$260,FinancialWalk!F177)</f>
        <v>254</v>
      </c>
      <c r="L177">
        <f t="shared" si="26"/>
        <v>24</v>
      </c>
    </row>
    <row r="178" spans="2:12" x14ac:dyDescent="0.3">
      <c r="B178" t="str">
        <f t="shared" si="30"/>
        <v>MarinusPortland</v>
      </c>
      <c r="C178" t="s">
        <v>64</v>
      </c>
      <c r="D178">
        <v>0.05</v>
      </c>
      <c r="E178" t="str">
        <f t="shared" si="31"/>
        <v>Cal-37</v>
      </c>
      <c r="F178" t="s">
        <v>44</v>
      </c>
      <c r="G178" s="105" t="str">
        <f t="shared" si="27"/>
        <v>Merchant with PPA EBIT Discounted</v>
      </c>
      <c r="H178" s="20" cm="1">
        <f t="array" ref="H178">INDEX(Financials!$B$5:$AI$260,FinancialWalk!K178,FinancialWalk!L178)</f>
        <v>-66805798.330160275</v>
      </c>
      <c r="K178">
        <f>SUMIFS(Financials!$A$5:$A$260,Financials!$D$5:$D$260,FinancialWalk!D178,Financials!$E$5:$E$260,FinancialWalk!E178,Financials!$F$5:$F$260,FinancialWalk!F178)</f>
        <v>254</v>
      </c>
      <c r="L178">
        <f t="shared" si="26"/>
        <v>24</v>
      </c>
    </row>
    <row r="179" spans="2:12" x14ac:dyDescent="0.3">
      <c r="B179" t="str">
        <f t="shared" si="30"/>
        <v>MarinusPortland</v>
      </c>
      <c r="C179" t="s">
        <v>64</v>
      </c>
      <c r="D179">
        <v>0</v>
      </c>
      <c r="E179" t="str">
        <f t="shared" si="31"/>
        <v>Cal-37</v>
      </c>
      <c r="F179" t="s">
        <v>44</v>
      </c>
      <c r="G179" s="105" t="str">
        <f t="shared" si="27"/>
        <v>Merchant with PPA EBIT Discounted</v>
      </c>
      <c r="H179" s="20" cm="1">
        <f t="array" ref="H179">INDEX(Financials!$B$5:$AI$260,FinancialWalk!K179,FinancialWalk!L179)</f>
        <v>-117107728.28819886</v>
      </c>
      <c r="K179">
        <f>SUMIFS(Financials!$A$5:$A$260,Financials!$D$5:$D$260,FinancialWalk!D179,Financials!$E$5:$E$260,FinancialWalk!E179,Financials!$F$5:$F$260,FinancialWalk!F179)</f>
        <v>255</v>
      </c>
      <c r="L179">
        <f t="shared" si="26"/>
        <v>24</v>
      </c>
    </row>
    <row r="180" spans="2:12" x14ac:dyDescent="0.3">
      <c r="B180" t="str">
        <f t="shared" si="30"/>
        <v>MarinusPortland</v>
      </c>
      <c r="C180" t="s">
        <v>64</v>
      </c>
      <c r="D180" t="s">
        <v>24</v>
      </c>
      <c r="E180" t="str">
        <f t="shared" si="31"/>
        <v>Cal-37</v>
      </c>
      <c r="F180" t="s">
        <v>44</v>
      </c>
      <c r="G180" s="105" t="str">
        <f t="shared" si="27"/>
        <v>Merchant with PPA EBIT Discounted</v>
      </c>
      <c r="H180" s="20" cm="1">
        <f t="array" ref="H180">INDEX(Financials!$B$5:$AI$260,FinancialWalk!K180,FinancialWalk!L180)</f>
        <v>19114827.60673289</v>
      </c>
      <c r="K180">
        <f>SUMIFS(Financials!$A$5:$A$260,Financials!$D$5:$D$260,FinancialWalk!D180,Financials!$E$5:$E$260,FinancialWalk!E180,Financials!$F$5:$F$260,FinancialWalk!F180)</f>
        <v>256</v>
      </c>
      <c r="L180">
        <f t="shared" si="26"/>
        <v>24</v>
      </c>
    </row>
    <row r="181" spans="2:12" x14ac:dyDescent="0.3">
      <c r="B181" t="str">
        <f>$B$2</f>
        <v>MarinusPortland</v>
      </c>
      <c r="C181" t="s">
        <v>64</v>
      </c>
      <c r="D181">
        <v>1</v>
      </c>
      <c r="E181" t="s">
        <v>18</v>
      </c>
      <c r="F181" t="s">
        <v>34</v>
      </c>
      <c r="G181" s="105" t="str">
        <f t="shared" ref="G181:G224" si="32">$P$24</f>
        <v>Merchant with PPA NPV</v>
      </c>
      <c r="H181" s="20" cm="1">
        <f t="array" ref="H181">INDEX(Financials!$B$5:$AI$260,FinancialWalk!K181,FinancialWalk!L181)</f>
        <v>311436651.23887634</v>
      </c>
      <c r="K181">
        <f>SUMIFS(Financials!$A$5:$A$260,Financials!$D$5:$D$260,FinancialWalk!D181,Financials!$E$5:$E$260,FinancialWalk!E181,Financials!$F$5:$F$260,FinancialWalk!F181)</f>
        <v>121</v>
      </c>
      <c r="L181">
        <f t="shared" si="26"/>
        <v>25</v>
      </c>
    </row>
    <row r="182" spans="2:12" x14ac:dyDescent="0.3">
      <c r="B182" t="str">
        <f>B181</f>
        <v>MarinusPortland</v>
      </c>
      <c r="C182" t="s">
        <v>64</v>
      </c>
      <c r="D182">
        <v>0.95</v>
      </c>
      <c r="E182" t="str">
        <f>E181</f>
        <v>Cal-37</v>
      </c>
      <c r="F182" t="s">
        <v>34</v>
      </c>
      <c r="G182" s="105" t="str">
        <f t="shared" si="32"/>
        <v>Merchant with PPA NPV</v>
      </c>
      <c r="H182" s="20" cm="1">
        <f t="array" ref="H182">INDEX(Financials!$B$5:$AI$260,FinancialWalk!K182,FinancialWalk!L182)</f>
        <v>137005766.39012367</v>
      </c>
      <c r="K182">
        <f>SUMIFS(Financials!$A$5:$A$260,Financials!$D$5:$D$260,FinancialWalk!D182,Financials!$E$5:$E$260,FinancialWalk!E182,Financials!$F$5:$F$260,FinancialWalk!F182)</f>
        <v>122</v>
      </c>
      <c r="L182">
        <f t="shared" si="26"/>
        <v>25</v>
      </c>
    </row>
    <row r="183" spans="2:12" x14ac:dyDescent="0.3">
      <c r="B183" t="str">
        <f t="shared" ref="B183:B202" si="33">B182</f>
        <v>MarinusPortland</v>
      </c>
      <c r="C183" t="s">
        <v>64</v>
      </c>
      <c r="D183">
        <v>0.95</v>
      </c>
      <c r="E183" t="str">
        <f t="shared" ref="E183:E202" si="34">E182</f>
        <v>Cal-37</v>
      </c>
      <c r="F183" t="s">
        <v>34</v>
      </c>
      <c r="G183" s="105" t="str">
        <f t="shared" si="32"/>
        <v>Merchant with PPA NPV</v>
      </c>
      <c r="H183" s="20" cm="1">
        <f t="array" ref="H183">INDEX(Financials!$B$5:$AI$260,FinancialWalk!K183,FinancialWalk!L183)</f>
        <v>137005766.39012367</v>
      </c>
      <c r="K183">
        <f>SUMIFS(Financials!$A$5:$A$260,Financials!$D$5:$D$260,FinancialWalk!D183,Financials!$E$5:$E$260,FinancialWalk!E183,Financials!$F$5:$F$260,FinancialWalk!F183)</f>
        <v>122</v>
      </c>
      <c r="L183">
        <f t="shared" si="26"/>
        <v>25</v>
      </c>
    </row>
    <row r="184" spans="2:12" x14ac:dyDescent="0.3">
      <c r="B184" t="str">
        <f t="shared" si="33"/>
        <v>MarinusPortland</v>
      </c>
      <c r="C184" t="s">
        <v>64</v>
      </c>
      <c r="D184">
        <v>0.95</v>
      </c>
      <c r="E184" t="str">
        <f t="shared" si="34"/>
        <v>Cal-37</v>
      </c>
      <c r="F184" t="s">
        <v>34</v>
      </c>
      <c r="G184" s="105" t="str">
        <f t="shared" si="32"/>
        <v>Merchant with PPA NPV</v>
      </c>
      <c r="H184" s="20" cm="1">
        <f t="array" ref="H184">INDEX(Financials!$B$5:$AI$260,FinancialWalk!K184,FinancialWalk!L184)</f>
        <v>137005766.39012367</v>
      </c>
      <c r="K184">
        <f>SUMIFS(Financials!$A$5:$A$260,Financials!$D$5:$D$260,FinancialWalk!D184,Financials!$E$5:$E$260,FinancialWalk!E184,Financials!$F$5:$F$260,FinancialWalk!F184)</f>
        <v>122</v>
      </c>
      <c r="L184">
        <f t="shared" si="26"/>
        <v>25</v>
      </c>
    </row>
    <row r="185" spans="2:12" x14ac:dyDescent="0.3">
      <c r="B185" t="str">
        <f t="shared" si="33"/>
        <v>MarinusPortland</v>
      </c>
      <c r="C185" t="s">
        <v>64</v>
      </c>
      <c r="D185">
        <v>0.75</v>
      </c>
      <c r="E185" t="str">
        <f t="shared" si="34"/>
        <v>Cal-37</v>
      </c>
      <c r="F185" t="s">
        <v>34</v>
      </c>
      <c r="G185" s="105" t="str">
        <f t="shared" si="32"/>
        <v>Merchant with PPA NPV</v>
      </c>
      <c r="H185" s="20" cm="1">
        <f t="array" ref="H185">INDEX(Financials!$B$5:$AI$260,FinancialWalk!K185,FinancialWalk!L185)</f>
        <v>56717382.201793551</v>
      </c>
      <c r="K185">
        <f>SUMIFS(Financials!$A$5:$A$260,Financials!$D$5:$D$260,FinancialWalk!D185,Financials!$E$5:$E$260,FinancialWalk!E185,Financials!$F$5:$F$260,FinancialWalk!F185)</f>
        <v>123</v>
      </c>
      <c r="L185">
        <f t="shared" si="26"/>
        <v>25</v>
      </c>
    </row>
    <row r="186" spans="2:12" x14ac:dyDescent="0.3">
      <c r="B186" t="str">
        <f t="shared" si="33"/>
        <v>MarinusPortland</v>
      </c>
      <c r="C186" t="s">
        <v>64</v>
      </c>
      <c r="D186">
        <v>0.75</v>
      </c>
      <c r="E186" t="str">
        <f t="shared" si="34"/>
        <v>Cal-37</v>
      </c>
      <c r="F186" t="s">
        <v>34</v>
      </c>
      <c r="G186" s="105" t="str">
        <f t="shared" si="32"/>
        <v>Merchant with PPA NPV</v>
      </c>
      <c r="H186" s="20" cm="1">
        <f t="array" ref="H186">INDEX(Financials!$B$5:$AI$260,FinancialWalk!K186,FinancialWalk!L186)</f>
        <v>56717382.201793551</v>
      </c>
      <c r="K186">
        <f>SUMIFS(Financials!$A$5:$A$260,Financials!$D$5:$D$260,FinancialWalk!D186,Financials!$E$5:$E$260,FinancialWalk!E186,Financials!$F$5:$F$260,FinancialWalk!F186)</f>
        <v>123</v>
      </c>
      <c r="L186">
        <f t="shared" si="26"/>
        <v>25</v>
      </c>
    </row>
    <row r="187" spans="2:12" x14ac:dyDescent="0.3">
      <c r="B187" t="str">
        <f t="shared" si="33"/>
        <v>MarinusPortland</v>
      </c>
      <c r="C187" t="s">
        <v>64</v>
      </c>
      <c r="D187">
        <v>0.75</v>
      </c>
      <c r="E187" t="str">
        <f t="shared" si="34"/>
        <v>Cal-37</v>
      </c>
      <c r="F187" t="s">
        <v>34</v>
      </c>
      <c r="G187" s="105" t="str">
        <f t="shared" si="32"/>
        <v>Merchant with PPA NPV</v>
      </c>
      <c r="H187" s="20" cm="1">
        <f t="array" ref="H187">INDEX(Financials!$B$5:$AI$260,FinancialWalk!K187,FinancialWalk!L187)</f>
        <v>56717382.201793551</v>
      </c>
      <c r="K187">
        <f>SUMIFS(Financials!$A$5:$A$260,Financials!$D$5:$D$260,FinancialWalk!D187,Financials!$E$5:$E$260,FinancialWalk!E187,Financials!$F$5:$F$260,FinancialWalk!F187)</f>
        <v>123</v>
      </c>
      <c r="L187">
        <f t="shared" si="26"/>
        <v>25</v>
      </c>
    </row>
    <row r="188" spans="2:12" x14ac:dyDescent="0.3">
      <c r="B188" t="str">
        <f t="shared" si="33"/>
        <v>MarinusPortland</v>
      </c>
      <c r="C188" t="s">
        <v>64</v>
      </c>
      <c r="D188">
        <v>0.75</v>
      </c>
      <c r="E188" t="str">
        <f t="shared" si="34"/>
        <v>Cal-37</v>
      </c>
      <c r="F188" t="s">
        <v>34</v>
      </c>
      <c r="G188" s="105" t="str">
        <f t="shared" si="32"/>
        <v>Merchant with PPA NPV</v>
      </c>
      <c r="H188" s="20" cm="1">
        <f t="array" ref="H188">INDEX(Financials!$B$5:$AI$260,FinancialWalk!K188,FinancialWalk!L188)</f>
        <v>56717382.201793551</v>
      </c>
      <c r="K188">
        <f>SUMIFS(Financials!$A$5:$A$260,Financials!$D$5:$D$260,FinancialWalk!D188,Financials!$E$5:$E$260,FinancialWalk!E188,Financials!$F$5:$F$260,FinancialWalk!F188)</f>
        <v>123</v>
      </c>
      <c r="L188">
        <f t="shared" si="26"/>
        <v>25</v>
      </c>
    </row>
    <row r="189" spans="2:12" x14ac:dyDescent="0.3">
      <c r="B189" t="str">
        <f t="shared" si="33"/>
        <v>MarinusPortland</v>
      </c>
      <c r="C189" t="s">
        <v>64</v>
      </c>
      <c r="D189">
        <v>0.5</v>
      </c>
      <c r="E189" t="str">
        <f t="shared" si="34"/>
        <v>Cal-37</v>
      </c>
      <c r="F189" t="s">
        <v>34</v>
      </c>
      <c r="G189" s="105" t="str">
        <f t="shared" si="32"/>
        <v>Merchant with PPA NPV</v>
      </c>
      <c r="H189" s="20" cm="1">
        <f t="array" ref="H189">INDEX(Financials!$B$5:$AI$260,FinancialWalk!K189,FinancialWalk!L189)</f>
        <v>2700624.7376906909</v>
      </c>
      <c r="K189">
        <f>SUMIFS(Financials!$A$5:$A$260,Financials!$D$5:$D$260,FinancialWalk!D189,Financials!$E$5:$E$260,FinancialWalk!E189,Financials!$F$5:$F$260,FinancialWalk!F189)</f>
        <v>124</v>
      </c>
      <c r="L189">
        <f t="shared" si="26"/>
        <v>25</v>
      </c>
    </row>
    <row r="190" spans="2:12" x14ac:dyDescent="0.3">
      <c r="B190" t="str">
        <f t="shared" si="33"/>
        <v>MarinusPortland</v>
      </c>
      <c r="C190" t="s">
        <v>64</v>
      </c>
      <c r="D190">
        <v>0.5</v>
      </c>
      <c r="E190" t="str">
        <f t="shared" si="34"/>
        <v>Cal-37</v>
      </c>
      <c r="F190" t="s">
        <v>34</v>
      </c>
      <c r="G190" s="105" t="str">
        <f t="shared" si="32"/>
        <v>Merchant with PPA NPV</v>
      </c>
      <c r="H190" s="20" cm="1">
        <f t="array" ref="H190">INDEX(Financials!$B$5:$AI$260,FinancialWalk!K190,FinancialWalk!L190)</f>
        <v>2700624.7376906909</v>
      </c>
      <c r="K190">
        <f>SUMIFS(Financials!$A$5:$A$260,Financials!$D$5:$D$260,FinancialWalk!D190,Financials!$E$5:$E$260,FinancialWalk!E190,Financials!$F$5:$F$260,FinancialWalk!F190)</f>
        <v>124</v>
      </c>
      <c r="L190">
        <f t="shared" si="26"/>
        <v>25</v>
      </c>
    </row>
    <row r="191" spans="2:12" x14ac:dyDescent="0.3">
      <c r="B191" t="str">
        <f t="shared" si="33"/>
        <v>MarinusPortland</v>
      </c>
      <c r="C191" t="s">
        <v>64</v>
      </c>
      <c r="D191">
        <v>0.5</v>
      </c>
      <c r="E191" t="str">
        <f t="shared" si="34"/>
        <v>Cal-37</v>
      </c>
      <c r="F191" t="s">
        <v>34</v>
      </c>
      <c r="G191" s="105" t="str">
        <f t="shared" si="32"/>
        <v>Merchant with PPA NPV</v>
      </c>
      <c r="H191" s="20" cm="1">
        <f t="array" ref="H191">INDEX(Financials!$B$5:$AI$260,FinancialWalk!K191,FinancialWalk!L191)</f>
        <v>2700624.7376906909</v>
      </c>
      <c r="K191">
        <f>SUMIFS(Financials!$A$5:$A$260,Financials!$D$5:$D$260,FinancialWalk!D191,Financials!$E$5:$E$260,FinancialWalk!E191,Financials!$F$5:$F$260,FinancialWalk!F191)</f>
        <v>124</v>
      </c>
      <c r="L191">
        <f t="shared" si="26"/>
        <v>25</v>
      </c>
    </row>
    <row r="192" spans="2:12" x14ac:dyDescent="0.3">
      <c r="B192" t="str">
        <f t="shared" si="33"/>
        <v>MarinusPortland</v>
      </c>
      <c r="C192" t="s">
        <v>64</v>
      </c>
      <c r="D192">
        <v>0.5</v>
      </c>
      <c r="E192" t="str">
        <f t="shared" si="34"/>
        <v>Cal-37</v>
      </c>
      <c r="F192" t="s">
        <v>34</v>
      </c>
      <c r="G192" s="105" t="str">
        <f t="shared" si="32"/>
        <v>Merchant with PPA NPV</v>
      </c>
      <c r="H192" s="20" cm="1">
        <f t="array" ref="H192">INDEX(Financials!$B$5:$AI$260,FinancialWalk!K192,FinancialWalk!L192)</f>
        <v>2700624.7376906909</v>
      </c>
      <c r="K192">
        <f>SUMIFS(Financials!$A$5:$A$260,Financials!$D$5:$D$260,FinancialWalk!D192,Financials!$E$5:$E$260,FinancialWalk!E192,Financials!$F$5:$F$260,FinancialWalk!F192)</f>
        <v>124</v>
      </c>
      <c r="L192">
        <f t="shared" si="26"/>
        <v>25</v>
      </c>
    </row>
    <row r="193" spans="2:12" x14ac:dyDescent="0.3">
      <c r="B193" t="str">
        <f t="shared" si="33"/>
        <v>MarinusPortland</v>
      </c>
      <c r="C193" t="s">
        <v>64</v>
      </c>
      <c r="D193">
        <v>0.5</v>
      </c>
      <c r="E193" t="str">
        <f t="shared" si="34"/>
        <v>Cal-37</v>
      </c>
      <c r="F193" t="s">
        <v>34</v>
      </c>
      <c r="G193" s="105" t="str">
        <f t="shared" si="32"/>
        <v>Merchant with PPA NPV</v>
      </c>
      <c r="H193" s="20" cm="1">
        <f t="array" ref="H193">INDEX(Financials!$B$5:$AI$260,FinancialWalk!K193,FinancialWalk!L193)</f>
        <v>2700624.7376906909</v>
      </c>
      <c r="K193">
        <f>SUMIFS(Financials!$A$5:$A$260,Financials!$D$5:$D$260,FinancialWalk!D193,Financials!$E$5:$E$260,FinancialWalk!E193,Financials!$F$5:$F$260,FinancialWalk!F193)</f>
        <v>124</v>
      </c>
      <c r="L193">
        <f t="shared" si="26"/>
        <v>25</v>
      </c>
    </row>
    <row r="194" spans="2:12" x14ac:dyDescent="0.3">
      <c r="B194" t="str">
        <f t="shared" si="33"/>
        <v>MarinusPortland</v>
      </c>
      <c r="C194" t="s">
        <v>64</v>
      </c>
      <c r="D194">
        <v>0.25</v>
      </c>
      <c r="E194" t="str">
        <f t="shared" si="34"/>
        <v>Cal-37</v>
      </c>
      <c r="F194" t="s">
        <v>34</v>
      </c>
      <c r="G194" s="105" t="str">
        <f t="shared" si="32"/>
        <v>Merchant with PPA NPV</v>
      </c>
      <c r="H194" s="20" cm="1">
        <f t="array" ref="H194">INDEX(Financials!$B$5:$AI$260,FinancialWalk!K194,FinancialWalk!L194)</f>
        <v>-47509359.299239986</v>
      </c>
      <c r="K194">
        <f>SUMIFS(Financials!$A$5:$A$260,Financials!$D$5:$D$260,FinancialWalk!D194,Financials!$E$5:$E$260,FinancialWalk!E194,Financials!$F$5:$F$260,FinancialWalk!F194)</f>
        <v>125</v>
      </c>
      <c r="L194">
        <f t="shared" si="26"/>
        <v>25</v>
      </c>
    </row>
    <row r="195" spans="2:12" x14ac:dyDescent="0.3">
      <c r="B195" t="str">
        <f t="shared" si="33"/>
        <v>MarinusPortland</v>
      </c>
      <c r="C195" t="s">
        <v>64</v>
      </c>
      <c r="D195">
        <v>0.25</v>
      </c>
      <c r="E195" t="str">
        <f t="shared" si="34"/>
        <v>Cal-37</v>
      </c>
      <c r="F195" t="s">
        <v>34</v>
      </c>
      <c r="G195" s="105" t="str">
        <f t="shared" si="32"/>
        <v>Merchant with PPA NPV</v>
      </c>
      <c r="H195" s="20" cm="1">
        <f t="array" ref="H195">INDEX(Financials!$B$5:$AI$260,FinancialWalk!K195,FinancialWalk!L195)</f>
        <v>-47509359.299239986</v>
      </c>
      <c r="K195">
        <f>SUMIFS(Financials!$A$5:$A$260,Financials!$D$5:$D$260,FinancialWalk!D195,Financials!$E$5:$E$260,FinancialWalk!E195,Financials!$F$5:$F$260,FinancialWalk!F195)</f>
        <v>125</v>
      </c>
      <c r="L195">
        <f t="shared" si="26"/>
        <v>25</v>
      </c>
    </row>
    <row r="196" spans="2:12" x14ac:dyDescent="0.3">
      <c r="B196" t="str">
        <f t="shared" si="33"/>
        <v>MarinusPortland</v>
      </c>
      <c r="C196" t="s">
        <v>64</v>
      </c>
      <c r="D196">
        <v>0.25</v>
      </c>
      <c r="E196" t="str">
        <f t="shared" si="34"/>
        <v>Cal-37</v>
      </c>
      <c r="F196" t="s">
        <v>34</v>
      </c>
      <c r="G196" s="105" t="str">
        <f t="shared" si="32"/>
        <v>Merchant with PPA NPV</v>
      </c>
      <c r="H196" s="20" cm="1">
        <f t="array" ref="H196">INDEX(Financials!$B$5:$AI$260,FinancialWalk!K196,FinancialWalk!L196)</f>
        <v>-47509359.299239986</v>
      </c>
      <c r="K196">
        <f>SUMIFS(Financials!$A$5:$A$260,Financials!$D$5:$D$260,FinancialWalk!D196,Financials!$E$5:$E$260,FinancialWalk!E196,Financials!$F$5:$F$260,FinancialWalk!F196)</f>
        <v>125</v>
      </c>
      <c r="L196">
        <f t="shared" si="26"/>
        <v>25</v>
      </c>
    </row>
    <row r="197" spans="2:12" x14ac:dyDescent="0.3">
      <c r="B197" t="str">
        <f t="shared" si="33"/>
        <v>MarinusPortland</v>
      </c>
      <c r="C197" t="s">
        <v>64</v>
      </c>
      <c r="D197">
        <v>0.25</v>
      </c>
      <c r="E197" t="str">
        <f t="shared" si="34"/>
        <v>Cal-37</v>
      </c>
      <c r="F197" t="s">
        <v>34</v>
      </c>
      <c r="G197" s="105" t="str">
        <f t="shared" si="32"/>
        <v>Merchant with PPA NPV</v>
      </c>
      <c r="H197" s="20" cm="1">
        <f t="array" ref="H197">INDEX(Financials!$B$5:$AI$260,FinancialWalk!K197,FinancialWalk!L197)</f>
        <v>-47509359.299239986</v>
      </c>
      <c r="K197">
        <f>SUMIFS(Financials!$A$5:$A$260,Financials!$D$5:$D$260,FinancialWalk!D197,Financials!$E$5:$E$260,FinancialWalk!E197,Financials!$F$5:$F$260,FinancialWalk!F197)</f>
        <v>125</v>
      </c>
      <c r="L197">
        <f t="shared" ref="L197:L260" si="35">VLOOKUP(G197,$P$5:$Q$33,2,FALSE)</f>
        <v>25</v>
      </c>
    </row>
    <row r="198" spans="2:12" x14ac:dyDescent="0.3">
      <c r="B198" t="str">
        <f t="shared" si="33"/>
        <v>MarinusPortland</v>
      </c>
      <c r="C198" t="s">
        <v>64</v>
      </c>
      <c r="D198">
        <v>0.05</v>
      </c>
      <c r="E198" t="str">
        <f t="shared" si="34"/>
        <v>Cal-37</v>
      </c>
      <c r="F198" t="s">
        <v>34</v>
      </c>
      <c r="G198" s="105" t="str">
        <f t="shared" si="32"/>
        <v>Merchant with PPA NPV</v>
      </c>
      <c r="H198" s="20" cm="1">
        <f t="array" ref="H198">INDEX(Financials!$B$5:$AI$260,FinancialWalk!K198,FinancialWalk!L198)</f>
        <v>-110886301.52824026</v>
      </c>
      <c r="K198">
        <f>SUMIFS(Financials!$A$5:$A$260,Financials!$D$5:$D$260,FinancialWalk!D198,Financials!$E$5:$E$260,FinancialWalk!E198,Financials!$F$5:$F$260,FinancialWalk!F198)</f>
        <v>126</v>
      </c>
      <c r="L198">
        <f t="shared" si="35"/>
        <v>25</v>
      </c>
    </row>
    <row r="199" spans="2:12" x14ac:dyDescent="0.3">
      <c r="B199" t="str">
        <f t="shared" si="33"/>
        <v>MarinusPortland</v>
      </c>
      <c r="C199" t="s">
        <v>64</v>
      </c>
      <c r="D199">
        <v>0.05</v>
      </c>
      <c r="E199" t="str">
        <f t="shared" si="34"/>
        <v>Cal-37</v>
      </c>
      <c r="F199" t="s">
        <v>34</v>
      </c>
      <c r="G199" s="105" t="str">
        <f t="shared" si="32"/>
        <v>Merchant with PPA NPV</v>
      </c>
      <c r="H199" s="20" cm="1">
        <f t="array" ref="H199">INDEX(Financials!$B$5:$AI$260,FinancialWalk!K199,FinancialWalk!L199)</f>
        <v>-110886301.52824026</v>
      </c>
      <c r="K199">
        <f>SUMIFS(Financials!$A$5:$A$260,Financials!$D$5:$D$260,FinancialWalk!D199,Financials!$E$5:$E$260,FinancialWalk!E199,Financials!$F$5:$F$260,FinancialWalk!F199)</f>
        <v>126</v>
      </c>
      <c r="L199">
        <f t="shared" si="35"/>
        <v>25</v>
      </c>
    </row>
    <row r="200" spans="2:12" x14ac:dyDescent="0.3">
      <c r="B200" t="str">
        <f t="shared" si="33"/>
        <v>MarinusPortland</v>
      </c>
      <c r="C200" t="s">
        <v>64</v>
      </c>
      <c r="D200">
        <v>0.05</v>
      </c>
      <c r="E200" t="str">
        <f t="shared" si="34"/>
        <v>Cal-37</v>
      </c>
      <c r="F200" t="s">
        <v>34</v>
      </c>
      <c r="G200" s="105" t="str">
        <f t="shared" si="32"/>
        <v>Merchant with PPA NPV</v>
      </c>
      <c r="H200" s="20" cm="1">
        <f t="array" ref="H200">INDEX(Financials!$B$5:$AI$260,FinancialWalk!K200,FinancialWalk!L200)</f>
        <v>-110886301.52824026</v>
      </c>
      <c r="K200">
        <f>SUMIFS(Financials!$A$5:$A$260,Financials!$D$5:$D$260,FinancialWalk!D200,Financials!$E$5:$E$260,FinancialWalk!E200,Financials!$F$5:$F$260,FinancialWalk!F200)</f>
        <v>126</v>
      </c>
      <c r="L200">
        <f t="shared" si="35"/>
        <v>25</v>
      </c>
    </row>
    <row r="201" spans="2:12" x14ac:dyDescent="0.3">
      <c r="B201" t="str">
        <f t="shared" si="33"/>
        <v>MarinusPortland</v>
      </c>
      <c r="C201" t="s">
        <v>64</v>
      </c>
      <c r="D201">
        <v>0</v>
      </c>
      <c r="E201" t="str">
        <f t="shared" si="34"/>
        <v>Cal-37</v>
      </c>
      <c r="F201" t="s">
        <v>34</v>
      </c>
      <c r="G201" s="105" t="str">
        <f t="shared" si="32"/>
        <v>Merchant with PPA NPV</v>
      </c>
      <c r="H201" s="20" cm="1">
        <f t="array" ref="H201">INDEX(Financials!$B$5:$AI$260,FinancialWalk!K201,FinancialWalk!L201)</f>
        <v>-189742777.67901021</v>
      </c>
      <c r="K201">
        <f>SUMIFS(Financials!$A$5:$A$260,Financials!$D$5:$D$260,FinancialWalk!D201,Financials!$E$5:$E$260,FinancialWalk!E201,Financials!$F$5:$F$260,FinancialWalk!F201)</f>
        <v>127</v>
      </c>
      <c r="L201">
        <f t="shared" si="35"/>
        <v>25</v>
      </c>
    </row>
    <row r="202" spans="2:12" x14ac:dyDescent="0.3">
      <c r="B202" t="str">
        <f t="shared" si="33"/>
        <v>MarinusPortland</v>
      </c>
      <c r="C202" t="s">
        <v>64</v>
      </c>
      <c r="D202" t="s">
        <v>24</v>
      </c>
      <c r="E202" t="str">
        <f t="shared" si="34"/>
        <v>Cal-37</v>
      </c>
      <c r="F202" t="s">
        <v>34</v>
      </c>
      <c r="G202" s="105" t="str">
        <f t="shared" si="32"/>
        <v>Merchant with PPA NPV</v>
      </c>
      <c r="H202" s="20" cm="1">
        <f t="array" ref="H202">INDEX(Financials!$B$5:$AI$260,FinancialWalk!K202,FinancialWalk!L202)</f>
        <v>6414141.8404040709</v>
      </c>
      <c r="K202">
        <f>SUMIFS(Financials!$A$5:$A$260,Financials!$D$5:$D$260,FinancialWalk!D202,Financials!$E$5:$E$260,FinancialWalk!E202,Financials!$F$5:$F$260,FinancialWalk!F202)</f>
        <v>128</v>
      </c>
      <c r="L202">
        <f t="shared" si="35"/>
        <v>25</v>
      </c>
    </row>
    <row r="203" spans="2:12" x14ac:dyDescent="0.3">
      <c r="B203" t="str">
        <f>$B$2</f>
        <v>MarinusPortland</v>
      </c>
      <c r="C203" t="s">
        <v>64</v>
      </c>
      <c r="D203">
        <v>1</v>
      </c>
      <c r="E203" t="s">
        <v>18</v>
      </c>
      <c r="F203" t="s">
        <v>44</v>
      </c>
      <c r="G203" s="105" t="str">
        <f t="shared" si="32"/>
        <v>Merchant with PPA NPV</v>
      </c>
      <c r="H203" s="20" cm="1">
        <f t="array" ref="H203">INDEX(Financials!$B$5:$AI$260,FinancialWalk!K203,FinancialWalk!L203)</f>
        <v>288301805.36495966</v>
      </c>
      <c r="K203">
        <f>SUMIFS(Financials!$A$5:$A$260,Financials!$D$5:$D$260,FinancialWalk!D203,Financials!$E$5:$E$260,FinancialWalk!E203,Financials!$F$5:$F$260,FinancialWalk!F203)</f>
        <v>249</v>
      </c>
      <c r="L203">
        <f t="shared" si="35"/>
        <v>25</v>
      </c>
    </row>
    <row r="204" spans="2:12" x14ac:dyDescent="0.3">
      <c r="B204" t="str">
        <f>B203</f>
        <v>MarinusPortland</v>
      </c>
      <c r="C204" t="s">
        <v>64</v>
      </c>
      <c r="D204">
        <v>0.95</v>
      </c>
      <c r="E204" t="str">
        <f>E203</f>
        <v>Cal-37</v>
      </c>
      <c r="F204" t="s">
        <v>44</v>
      </c>
      <c r="G204" s="105" t="str">
        <f t="shared" si="32"/>
        <v>Merchant with PPA NPV</v>
      </c>
      <c r="H204" s="20" cm="1">
        <f t="array" ref="H204">INDEX(Financials!$B$5:$AI$260,FinancialWalk!K204,FinancialWalk!L204)</f>
        <v>128252728.24107218</v>
      </c>
      <c r="K204">
        <f>SUMIFS(Financials!$A$5:$A$260,Financials!$D$5:$D$260,FinancialWalk!D204,Financials!$E$5:$E$260,FinancialWalk!E204,Financials!$F$5:$F$260,FinancialWalk!F204)</f>
        <v>250</v>
      </c>
      <c r="L204">
        <f t="shared" si="35"/>
        <v>25</v>
      </c>
    </row>
    <row r="205" spans="2:12" x14ac:dyDescent="0.3">
      <c r="B205" t="str">
        <f t="shared" ref="B205:B224" si="36">B204</f>
        <v>MarinusPortland</v>
      </c>
      <c r="C205" t="s">
        <v>64</v>
      </c>
      <c r="D205">
        <v>0.95</v>
      </c>
      <c r="E205" t="str">
        <f t="shared" ref="E205:E224" si="37">E204</f>
        <v>Cal-37</v>
      </c>
      <c r="F205" t="s">
        <v>44</v>
      </c>
      <c r="G205" s="105" t="str">
        <f t="shared" si="32"/>
        <v>Merchant with PPA NPV</v>
      </c>
      <c r="H205" s="20" cm="1">
        <f t="array" ref="H205">INDEX(Financials!$B$5:$AI$260,FinancialWalk!K205,FinancialWalk!L205)</f>
        <v>128252728.24107218</v>
      </c>
      <c r="K205">
        <f>SUMIFS(Financials!$A$5:$A$260,Financials!$D$5:$D$260,FinancialWalk!D205,Financials!$E$5:$E$260,FinancialWalk!E205,Financials!$F$5:$F$260,FinancialWalk!F205)</f>
        <v>250</v>
      </c>
      <c r="L205">
        <f t="shared" si="35"/>
        <v>25</v>
      </c>
    </row>
    <row r="206" spans="2:12" x14ac:dyDescent="0.3">
      <c r="B206" t="str">
        <f t="shared" si="36"/>
        <v>MarinusPortland</v>
      </c>
      <c r="C206" t="s">
        <v>64</v>
      </c>
      <c r="D206">
        <v>0.95</v>
      </c>
      <c r="E206" t="str">
        <f t="shared" si="37"/>
        <v>Cal-37</v>
      </c>
      <c r="F206" t="s">
        <v>44</v>
      </c>
      <c r="G206" s="105" t="str">
        <f t="shared" si="32"/>
        <v>Merchant with PPA NPV</v>
      </c>
      <c r="H206" s="20" cm="1">
        <f t="array" ref="H206">INDEX(Financials!$B$5:$AI$260,FinancialWalk!K206,FinancialWalk!L206)</f>
        <v>128252728.24107218</v>
      </c>
      <c r="K206">
        <f>SUMIFS(Financials!$A$5:$A$260,Financials!$D$5:$D$260,FinancialWalk!D206,Financials!$E$5:$E$260,FinancialWalk!E206,Financials!$F$5:$F$260,FinancialWalk!F206)</f>
        <v>250</v>
      </c>
      <c r="L206">
        <f t="shared" si="35"/>
        <v>25</v>
      </c>
    </row>
    <row r="207" spans="2:12" x14ac:dyDescent="0.3">
      <c r="B207" t="str">
        <f t="shared" si="36"/>
        <v>MarinusPortland</v>
      </c>
      <c r="C207" t="s">
        <v>64</v>
      </c>
      <c r="D207">
        <v>0.75</v>
      </c>
      <c r="E207" t="str">
        <f t="shared" si="37"/>
        <v>Cal-37</v>
      </c>
      <c r="F207" t="s">
        <v>44</v>
      </c>
      <c r="G207" s="105" t="str">
        <f t="shared" si="32"/>
        <v>Merchant with PPA NPV</v>
      </c>
      <c r="H207" s="20" cm="1">
        <f t="array" ref="H207">INDEX(Financials!$B$5:$AI$260,FinancialWalk!K207,FinancialWalk!L207)</f>
        <v>55268268.818153925</v>
      </c>
      <c r="K207">
        <f>SUMIFS(Financials!$A$5:$A$260,Financials!$D$5:$D$260,FinancialWalk!D207,Financials!$E$5:$E$260,FinancialWalk!E207,Financials!$F$5:$F$260,FinancialWalk!F207)</f>
        <v>251</v>
      </c>
      <c r="L207">
        <f t="shared" si="35"/>
        <v>25</v>
      </c>
    </row>
    <row r="208" spans="2:12" x14ac:dyDescent="0.3">
      <c r="B208" t="str">
        <f t="shared" si="36"/>
        <v>MarinusPortland</v>
      </c>
      <c r="C208" t="s">
        <v>64</v>
      </c>
      <c r="D208">
        <v>0.75</v>
      </c>
      <c r="E208" t="str">
        <f t="shared" si="37"/>
        <v>Cal-37</v>
      </c>
      <c r="F208" t="s">
        <v>44</v>
      </c>
      <c r="G208" s="105" t="str">
        <f t="shared" si="32"/>
        <v>Merchant with PPA NPV</v>
      </c>
      <c r="H208" s="20" cm="1">
        <f t="array" ref="H208">INDEX(Financials!$B$5:$AI$260,FinancialWalk!K208,FinancialWalk!L208)</f>
        <v>55268268.818153925</v>
      </c>
      <c r="K208">
        <f>SUMIFS(Financials!$A$5:$A$260,Financials!$D$5:$D$260,FinancialWalk!D208,Financials!$E$5:$E$260,FinancialWalk!E208,Financials!$F$5:$F$260,FinancialWalk!F208)</f>
        <v>251</v>
      </c>
      <c r="L208">
        <f t="shared" si="35"/>
        <v>25</v>
      </c>
    </row>
    <row r="209" spans="2:12" x14ac:dyDescent="0.3">
      <c r="B209" t="str">
        <f t="shared" si="36"/>
        <v>MarinusPortland</v>
      </c>
      <c r="C209" t="s">
        <v>64</v>
      </c>
      <c r="D209">
        <v>0.75</v>
      </c>
      <c r="E209" t="str">
        <f t="shared" si="37"/>
        <v>Cal-37</v>
      </c>
      <c r="F209" t="s">
        <v>44</v>
      </c>
      <c r="G209" s="105" t="str">
        <f t="shared" si="32"/>
        <v>Merchant with PPA NPV</v>
      </c>
      <c r="H209" s="20" cm="1">
        <f t="array" ref="H209">INDEX(Financials!$B$5:$AI$260,FinancialWalk!K209,FinancialWalk!L209)</f>
        <v>55268268.818153925</v>
      </c>
      <c r="K209">
        <f>SUMIFS(Financials!$A$5:$A$260,Financials!$D$5:$D$260,FinancialWalk!D209,Financials!$E$5:$E$260,FinancialWalk!E209,Financials!$F$5:$F$260,FinancialWalk!F209)</f>
        <v>251</v>
      </c>
      <c r="L209">
        <f t="shared" si="35"/>
        <v>25</v>
      </c>
    </row>
    <row r="210" spans="2:12" x14ac:dyDescent="0.3">
      <c r="B210" t="str">
        <f t="shared" si="36"/>
        <v>MarinusPortland</v>
      </c>
      <c r="C210" t="s">
        <v>64</v>
      </c>
      <c r="D210">
        <v>0.75</v>
      </c>
      <c r="E210" t="str">
        <f t="shared" si="37"/>
        <v>Cal-37</v>
      </c>
      <c r="F210" t="s">
        <v>44</v>
      </c>
      <c r="G210" s="105" t="str">
        <f t="shared" si="32"/>
        <v>Merchant with PPA NPV</v>
      </c>
      <c r="H210" s="20" cm="1">
        <f t="array" ref="H210">INDEX(Financials!$B$5:$AI$260,FinancialWalk!K210,FinancialWalk!L210)</f>
        <v>55268268.818153925</v>
      </c>
      <c r="K210">
        <f>SUMIFS(Financials!$A$5:$A$260,Financials!$D$5:$D$260,FinancialWalk!D210,Financials!$E$5:$E$260,FinancialWalk!E210,Financials!$F$5:$F$260,FinancialWalk!F210)</f>
        <v>251</v>
      </c>
      <c r="L210">
        <f t="shared" si="35"/>
        <v>25</v>
      </c>
    </row>
    <row r="211" spans="2:12" x14ac:dyDescent="0.3">
      <c r="B211" t="str">
        <f t="shared" si="36"/>
        <v>MarinusPortland</v>
      </c>
      <c r="C211" t="s">
        <v>64</v>
      </c>
      <c r="D211">
        <v>0.5</v>
      </c>
      <c r="E211" t="str">
        <f t="shared" si="37"/>
        <v>Cal-37</v>
      </c>
      <c r="F211" t="s">
        <v>44</v>
      </c>
      <c r="G211" s="105" t="str">
        <f t="shared" si="32"/>
        <v>Merchant with PPA NPV</v>
      </c>
      <c r="H211" s="20" cm="1">
        <f t="array" ref="H211">INDEX(Financials!$B$5:$AI$260,FinancialWalk!K211,FinancialWalk!L211)</f>
        <v>3512208.9538804214</v>
      </c>
      <c r="K211">
        <f>SUMIFS(Financials!$A$5:$A$260,Financials!$D$5:$D$260,FinancialWalk!D211,Financials!$E$5:$E$260,FinancialWalk!E211,Financials!$F$5:$F$260,FinancialWalk!F211)</f>
        <v>252</v>
      </c>
      <c r="L211">
        <f t="shared" si="35"/>
        <v>25</v>
      </c>
    </row>
    <row r="212" spans="2:12" x14ac:dyDescent="0.3">
      <c r="B212" t="str">
        <f t="shared" si="36"/>
        <v>MarinusPortland</v>
      </c>
      <c r="C212" t="s">
        <v>64</v>
      </c>
      <c r="D212">
        <v>0.5</v>
      </c>
      <c r="E212" t="str">
        <f t="shared" si="37"/>
        <v>Cal-37</v>
      </c>
      <c r="F212" t="s">
        <v>44</v>
      </c>
      <c r="G212" s="105" t="str">
        <f t="shared" si="32"/>
        <v>Merchant with PPA NPV</v>
      </c>
      <c r="H212" s="20" cm="1">
        <f t="array" ref="H212">INDEX(Financials!$B$5:$AI$260,FinancialWalk!K212,FinancialWalk!L212)</f>
        <v>3512208.9538804214</v>
      </c>
      <c r="K212">
        <f>SUMIFS(Financials!$A$5:$A$260,Financials!$D$5:$D$260,FinancialWalk!D212,Financials!$E$5:$E$260,FinancialWalk!E212,Financials!$F$5:$F$260,FinancialWalk!F212)</f>
        <v>252</v>
      </c>
      <c r="L212">
        <f t="shared" si="35"/>
        <v>25</v>
      </c>
    </row>
    <row r="213" spans="2:12" x14ac:dyDescent="0.3">
      <c r="B213" t="str">
        <f t="shared" si="36"/>
        <v>MarinusPortland</v>
      </c>
      <c r="C213" t="s">
        <v>64</v>
      </c>
      <c r="D213">
        <v>0.5</v>
      </c>
      <c r="E213" t="str">
        <f t="shared" si="37"/>
        <v>Cal-37</v>
      </c>
      <c r="F213" t="s">
        <v>44</v>
      </c>
      <c r="G213" s="105" t="str">
        <f t="shared" si="32"/>
        <v>Merchant with PPA NPV</v>
      </c>
      <c r="H213" s="20" cm="1">
        <f t="array" ref="H213">INDEX(Financials!$B$5:$AI$260,FinancialWalk!K213,FinancialWalk!L213)</f>
        <v>3512208.9538804214</v>
      </c>
      <c r="K213">
        <f>SUMIFS(Financials!$A$5:$A$260,Financials!$D$5:$D$260,FinancialWalk!D213,Financials!$E$5:$E$260,FinancialWalk!E213,Financials!$F$5:$F$260,FinancialWalk!F213)</f>
        <v>252</v>
      </c>
      <c r="L213">
        <f t="shared" si="35"/>
        <v>25</v>
      </c>
    </row>
    <row r="214" spans="2:12" x14ac:dyDescent="0.3">
      <c r="B214" t="str">
        <f t="shared" si="36"/>
        <v>MarinusPortland</v>
      </c>
      <c r="C214" t="s">
        <v>64</v>
      </c>
      <c r="D214">
        <v>0.5</v>
      </c>
      <c r="E214" t="str">
        <f t="shared" si="37"/>
        <v>Cal-37</v>
      </c>
      <c r="F214" t="s">
        <v>44</v>
      </c>
      <c r="G214" s="105" t="str">
        <f t="shared" si="32"/>
        <v>Merchant with PPA NPV</v>
      </c>
      <c r="H214" s="20" cm="1">
        <f t="array" ref="H214">INDEX(Financials!$B$5:$AI$260,FinancialWalk!K214,FinancialWalk!L214)</f>
        <v>3512208.9538804214</v>
      </c>
      <c r="K214">
        <f>SUMIFS(Financials!$A$5:$A$260,Financials!$D$5:$D$260,FinancialWalk!D214,Financials!$E$5:$E$260,FinancialWalk!E214,Financials!$F$5:$F$260,FinancialWalk!F214)</f>
        <v>252</v>
      </c>
      <c r="L214">
        <f t="shared" si="35"/>
        <v>25</v>
      </c>
    </row>
    <row r="215" spans="2:12" x14ac:dyDescent="0.3">
      <c r="B215" t="str">
        <f t="shared" si="36"/>
        <v>MarinusPortland</v>
      </c>
      <c r="C215" t="s">
        <v>64</v>
      </c>
      <c r="D215">
        <v>0.5</v>
      </c>
      <c r="E215" t="str">
        <f t="shared" si="37"/>
        <v>Cal-37</v>
      </c>
      <c r="F215" t="s">
        <v>44</v>
      </c>
      <c r="G215" s="105" t="str">
        <f t="shared" si="32"/>
        <v>Merchant with PPA NPV</v>
      </c>
      <c r="H215" s="20" cm="1">
        <f t="array" ref="H215">INDEX(Financials!$B$5:$AI$260,FinancialWalk!K215,FinancialWalk!L215)</f>
        <v>3512208.9538804214</v>
      </c>
      <c r="K215">
        <f>SUMIFS(Financials!$A$5:$A$260,Financials!$D$5:$D$260,FinancialWalk!D215,Financials!$E$5:$E$260,FinancialWalk!E215,Financials!$F$5:$F$260,FinancialWalk!F215)</f>
        <v>252</v>
      </c>
      <c r="L215">
        <f t="shared" si="35"/>
        <v>25</v>
      </c>
    </row>
    <row r="216" spans="2:12" x14ac:dyDescent="0.3">
      <c r="B216" t="str">
        <f t="shared" si="36"/>
        <v>MarinusPortland</v>
      </c>
      <c r="C216" t="s">
        <v>64</v>
      </c>
      <c r="D216">
        <v>0.25</v>
      </c>
      <c r="E216" t="str">
        <f t="shared" si="37"/>
        <v>Cal-37</v>
      </c>
      <c r="F216" t="s">
        <v>44</v>
      </c>
      <c r="G216" s="105" t="str">
        <f t="shared" si="32"/>
        <v>Merchant with PPA NPV</v>
      </c>
      <c r="H216" s="20" cm="1">
        <f t="array" ref="H216">INDEX(Financials!$B$5:$AI$260,FinancialWalk!K216,FinancialWalk!L216)</f>
        <v>-45586220.827909485</v>
      </c>
      <c r="K216">
        <f>SUMIFS(Financials!$A$5:$A$260,Financials!$D$5:$D$260,FinancialWalk!D216,Financials!$E$5:$E$260,FinancialWalk!E216,Financials!$F$5:$F$260,FinancialWalk!F216)</f>
        <v>253</v>
      </c>
      <c r="L216">
        <f t="shared" si="35"/>
        <v>25</v>
      </c>
    </row>
    <row r="217" spans="2:12" x14ac:dyDescent="0.3">
      <c r="B217" t="str">
        <f t="shared" si="36"/>
        <v>MarinusPortland</v>
      </c>
      <c r="C217" t="s">
        <v>64</v>
      </c>
      <c r="D217">
        <v>0.25</v>
      </c>
      <c r="E217" t="str">
        <f t="shared" si="37"/>
        <v>Cal-37</v>
      </c>
      <c r="F217" t="s">
        <v>44</v>
      </c>
      <c r="G217" s="105" t="str">
        <f t="shared" si="32"/>
        <v>Merchant with PPA NPV</v>
      </c>
      <c r="H217" s="20" cm="1">
        <f t="array" ref="H217">INDEX(Financials!$B$5:$AI$260,FinancialWalk!K217,FinancialWalk!L217)</f>
        <v>-45586220.827909485</v>
      </c>
      <c r="K217">
        <f>SUMIFS(Financials!$A$5:$A$260,Financials!$D$5:$D$260,FinancialWalk!D217,Financials!$E$5:$E$260,FinancialWalk!E217,Financials!$F$5:$F$260,FinancialWalk!F217)</f>
        <v>253</v>
      </c>
      <c r="L217">
        <f t="shared" si="35"/>
        <v>25</v>
      </c>
    </row>
    <row r="218" spans="2:12" x14ac:dyDescent="0.3">
      <c r="B218" t="str">
        <f t="shared" si="36"/>
        <v>MarinusPortland</v>
      </c>
      <c r="C218" t="s">
        <v>64</v>
      </c>
      <c r="D218">
        <v>0.25</v>
      </c>
      <c r="E218" t="str">
        <f t="shared" si="37"/>
        <v>Cal-37</v>
      </c>
      <c r="F218" t="s">
        <v>44</v>
      </c>
      <c r="G218" s="105" t="str">
        <f t="shared" si="32"/>
        <v>Merchant with PPA NPV</v>
      </c>
      <c r="H218" s="20" cm="1">
        <f t="array" ref="H218">INDEX(Financials!$B$5:$AI$260,FinancialWalk!K218,FinancialWalk!L218)</f>
        <v>-45586220.827909485</v>
      </c>
      <c r="K218">
        <f>SUMIFS(Financials!$A$5:$A$260,Financials!$D$5:$D$260,FinancialWalk!D218,Financials!$E$5:$E$260,FinancialWalk!E218,Financials!$F$5:$F$260,FinancialWalk!F218)</f>
        <v>253</v>
      </c>
      <c r="L218">
        <f t="shared" si="35"/>
        <v>25</v>
      </c>
    </row>
    <row r="219" spans="2:12" x14ac:dyDescent="0.3">
      <c r="B219" t="str">
        <f t="shared" si="36"/>
        <v>MarinusPortland</v>
      </c>
      <c r="C219" t="s">
        <v>64</v>
      </c>
      <c r="D219">
        <v>0.25</v>
      </c>
      <c r="E219" t="str">
        <f t="shared" si="37"/>
        <v>Cal-37</v>
      </c>
      <c r="F219" t="s">
        <v>44</v>
      </c>
      <c r="G219" s="105" t="str">
        <f t="shared" si="32"/>
        <v>Merchant with PPA NPV</v>
      </c>
      <c r="H219" s="20" cm="1">
        <f t="array" ref="H219">INDEX(Financials!$B$5:$AI$260,FinancialWalk!K219,FinancialWalk!L219)</f>
        <v>-45586220.827909485</v>
      </c>
      <c r="K219">
        <f>SUMIFS(Financials!$A$5:$A$260,Financials!$D$5:$D$260,FinancialWalk!D219,Financials!$E$5:$E$260,FinancialWalk!E219,Financials!$F$5:$F$260,FinancialWalk!F219)</f>
        <v>253</v>
      </c>
      <c r="L219">
        <f t="shared" si="35"/>
        <v>25</v>
      </c>
    </row>
    <row r="220" spans="2:12" x14ac:dyDescent="0.3">
      <c r="B220" t="str">
        <f t="shared" si="36"/>
        <v>MarinusPortland</v>
      </c>
      <c r="C220" t="s">
        <v>64</v>
      </c>
      <c r="D220">
        <v>0.05</v>
      </c>
      <c r="E220" t="str">
        <f t="shared" si="37"/>
        <v>Cal-37</v>
      </c>
      <c r="F220" t="s">
        <v>44</v>
      </c>
      <c r="G220" s="105" t="str">
        <f t="shared" si="32"/>
        <v>Merchant with PPA NPV</v>
      </c>
      <c r="H220" s="20" cm="1">
        <f t="array" ref="H220">INDEX(Financials!$B$5:$AI$260,FinancialWalk!K220,FinancialWalk!L220)</f>
        <v>-106912474.58462439</v>
      </c>
      <c r="K220">
        <f>SUMIFS(Financials!$A$5:$A$260,Financials!$D$5:$D$260,FinancialWalk!D220,Financials!$E$5:$E$260,FinancialWalk!E220,Financials!$F$5:$F$260,FinancialWalk!F220)</f>
        <v>254</v>
      </c>
      <c r="L220">
        <f t="shared" si="35"/>
        <v>25</v>
      </c>
    </row>
    <row r="221" spans="2:12" x14ac:dyDescent="0.3">
      <c r="B221" t="str">
        <f t="shared" si="36"/>
        <v>MarinusPortland</v>
      </c>
      <c r="C221" t="s">
        <v>64</v>
      </c>
      <c r="D221">
        <v>0.05</v>
      </c>
      <c r="E221" t="str">
        <f t="shared" si="37"/>
        <v>Cal-37</v>
      </c>
      <c r="F221" t="s">
        <v>44</v>
      </c>
      <c r="G221" s="105" t="str">
        <f t="shared" si="32"/>
        <v>Merchant with PPA NPV</v>
      </c>
      <c r="H221" s="20" cm="1">
        <f t="array" ref="H221">INDEX(Financials!$B$5:$AI$260,FinancialWalk!K221,FinancialWalk!L221)</f>
        <v>-106912474.58462439</v>
      </c>
      <c r="K221">
        <f>SUMIFS(Financials!$A$5:$A$260,Financials!$D$5:$D$260,FinancialWalk!D221,Financials!$E$5:$E$260,FinancialWalk!E221,Financials!$F$5:$F$260,FinancialWalk!F221)</f>
        <v>254</v>
      </c>
      <c r="L221">
        <f t="shared" si="35"/>
        <v>25</v>
      </c>
    </row>
    <row r="222" spans="2:12" x14ac:dyDescent="0.3">
      <c r="B222" t="str">
        <f t="shared" si="36"/>
        <v>MarinusPortland</v>
      </c>
      <c r="C222" t="s">
        <v>64</v>
      </c>
      <c r="D222">
        <v>0.05</v>
      </c>
      <c r="E222" t="str">
        <f t="shared" si="37"/>
        <v>Cal-37</v>
      </c>
      <c r="F222" t="s">
        <v>44</v>
      </c>
      <c r="G222" s="105" t="str">
        <f t="shared" si="32"/>
        <v>Merchant with PPA NPV</v>
      </c>
      <c r="H222" s="20" cm="1">
        <f t="array" ref="H222">INDEX(Financials!$B$5:$AI$260,FinancialWalk!K222,FinancialWalk!L222)</f>
        <v>-106912474.58462439</v>
      </c>
      <c r="K222">
        <f>SUMIFS(Financials!$A$5:$A$260,Financials!$D$5:$D$260,FinancialWalk!D222,Financials!$E$5:$E$260,FinancialWalk!E222,Financials!$F$5:$F$260,FinancialWalk!F222)</f>
        <v>254</v>
      </c>
      <c r="L222">
        <f t="shared" si="35"/>
        <v>25</v>
      </c>
    </row>
    <row r="223" spans="2:12" x14ac:dyDescent="0.3">
      <c r="B223" t="str">
        <f t="shared" si="36"/>
        <v>MarinusPortland</v>
      </c>
      <c r="C223" t="s">
        <v>64</v>
      </c>
      <c r="D223">
        <v>0</v>
      </c>
      <c r="E223" t="str">
        <f t="shared" si="37"/>
        <v>Cal-37</v>
      </c>
      <c r="F223" t="s">
        <v>44</v>
      </c>
      <c r="G223" s="105" t="str">
        <f t="shared" si="32"/>
        <v>Merchant with PPA NPV</v>
      </c>
      <c r="H223" s="20" cm="1">
        <f t="array" ref="H223">INDEX(Financials!$B$5:$AI$260,FinancialWalk!K223,FinancialWalk!L223)</f>
        <v>-175112664.6413317</v>
      </c>
      <c r="K223">
        <f>SUMIFS(Financials!$A$5:$A$260,Financials!$D$5:$D$260,FinancialWalk!D223,Financials!$E$5:$E$260,FinancialWalk!E223,Financials!$F$5:$F$260,FinancialWalk!F223)</f>
        <v>255</v>
      </c>
      <c r="L223">
        <f t="shared" si="35"/>
        <v>25</v>
      </c>
    </row>
    <row r="224" spans="2:12" x14ac:dyDescent="0.3">
      <c r="B224" t="str">
        <f t="shared" si="36"/>
        <v>MarinusPortland</v>
      </c>
      <c r="C224" t="s">
        <v>64</v>
      </c>
      <c r="D224" t="s">
        <v>24</v>
      </c>
      <c r="E224" t="str">
        <f t="shared" si="37"/>
        <v>Cal-37</v>
      </c>
      <c r="F224" t="s">
        <v>44</v>
      </c>
      <c r="G224" s="105" t="str">
        <f t="shared" si="32"/>
        <v>Merchant with PPA NPV</v>
      </c>
      <c r="H224" s="20" cm="1">
        <f t="array" ref="H224">INDEX(Financials!$B$5:$AI$260,FinancialWalk!K224,FinancialWalk!L224)</f>
        <v>6078232.6755397134</v>
      </c>
      <c r="K224">
        <f>SUMIFS(Financials!$A$5:$A$260,Financials!$D$5:$D$260,FinancialWalk!D224,Financials!$E$5:$E$260,FinancialWalk!E224,Financials!$F$5:$F$260,FinancialWalk!F224)</f>
        <v>256</v>
      </c>
      <c r="L224">
        <f t="shared" si="35"/>
        <v>25</v>
      </c>
    </row>
    <row r="225" spans="2:12" x14ac:dyDescent="0.3">
      <c r="B225" t="str">
        <f>$B$2</f>
        <v>MarinusPortland</v>
      </c>
      <c r="C225" t="s">
        <v>64</v>
      </c>
      <c r="D225">
        <v>1</v>
      </c>
      <c r="E225" t="s">
        <v>18</v>
      </c>
      <c r="F225" t="s">
        <v>34</v>
      </c>
      <c r="G225" s="105" t="str">
        <f t="shared" ref="G225:G268" si="38">$P$25</f>
        <v>Merchant with PPA ROI</v>
      </c>
      <c r="H225" s="13" cm="1">
        <f t="array" ref="H225">INDEX(Financials!$B$5:$AI$260,FinancialWalk!K225,FinancialWalk!L225)</f>
        <v>4.499594115842231</v>
      </c>
      <c r="K225">
        <f>SUMIFS(Financials!$A$5:$A$260,Financials!$D$5:$D$260,FinancialWalk!D225,Financials!$E$5:$E$260,FinancialWalk!E225,Financials!$F$5:$F$260,FinancialWalk!F225)</f>
        <v>121</v>
      </c>
      <c r="L225">
        <f t="shared" si="35"/>
        <v>26</v>
      </c>
    </row>
    <row r="226" spans="2:12" x14ac:dyDescent="0.3">
      <c r="B226" t="str">
        <f>B225</f>
        <v>MarinusPortland</v>
      </c>
      <c r="C226" t="s">
        <v>64</v>
      </c>
      <c r="D226">
        <v>0.95</v>
      </c>
      <c r="E226" t="str">
        <f>E225</f>
        <v>Cal-37</v>
      </c>
      <c r="F226" t="s">
        <v>34</v>
      </c>
      <c r="G226" s="105" t="str">
        <f t="shared" si="38"/>
        <v>Merchant with PPA ROI</v>
      </c>
      <c r="H226" s="13" cm="1">
        <f t="array" ref="H226">INDEX(Financials!$B$5:$AI$260,FinancialWalk!K226,FinancialWalk!L226)</f>
        <v>1.9794405630588874</v>
      </c>
      <c r="K226">
        <f>SUMIFS(Financials!$A$5:$A$260,Financials!$D$5:$D$260,FinancialWalk!D226,Financials!$E$5:$E$260,FinancialWalk!E226,Financials!$F$5:$F$260,FinancialWalk!F226)</f>
        <v>122</v>
      </c>
      <c r="L226">
        <f t="shared" si="35"/>
        <v>26</v>
      </c>
    </row>
    <row r="227" spans="2:12" x14ac:dyDescent="0.3">
      <c r="B227" t="str">
        <f t="shared" ref="B227:B246" si="39">B226</f>
        <v>MarinusPortland</v>
      </c>
      <c r="C227" t="s">
        <v>64</v>
      </c>
      <c r="D227">
        <v>0.95</v>
      </c>
      <c r="E227" t="str">
        <f t="shared" ref="E227:E246" si="40">E226</f>
        <v>Cal-37</v>
      </c>
      <c r="F227" t="s">
        <v>34</v>
      </c>
      <c r="G227" s="105" t="str">
        <f t="shared" si="38"/>
        <v>Merchant with PPA ROI</v>
      </c>
      <c r="H227" s="13" cm="1">
        <f t="array" ref="H227">INDEX(Financials!$B$5:$AI$260,FinancialWalk!K227,FinancialWalk!L227)</f>
        <v>1.9794405630588874</v>
      </c>
      <c r="K227">
        <f>SUMIFS(Financials!$A$5:$A$260,Financials!$D$5:$D$260,FinancialWalk!D227,Financials!$E$5:$E$260,FinancialWalk!E227,Financials!$F$5:$F$260,FinancialWalk!F227)</f>
        <v>122</v>
      </c>
      <c r="L227">
        <f t="shared" si="35"/>
        <v>26</v>
      </c>
    </row>
    <row r="228" spans="2:12" x14ac:dyDescent="0.3">
      <c r="B228" t="str">
        <f t="shared" si="39"/>
        <v>MarinusPortland</v>
      </c>
      <c r="C228" t="s">
        <v>64</v>
      </c>
      <c r="D228">
        <v>0.95</v>
      </c>
      <c r="E228" t="str">
        <f t="shared" si="40"/>
        <v>Cal-37</v>
      </c>
      <c r="F228" t="s">
        <v>34</v>
      </c>
      <c r="G228" s="105" t="str">
        <f t="shared" si="38"/>
        <v>Merchant with PPA ROI</v>
      </c>
      <c r="H228" s="13" cm="1">
        <f t="array" ref="H228">INDEX(Financials!$B$5:$AI$260,FinancialWalk!K228,FinancialWalk!L228)</f>
        <v>1.9794405630588874</v>
      </c>
      <c r="K228">
        <f>SUMIFS(Financials!$A$5:$A$260,Financials!$D$5:$D$260,FinancialWalk!D228,Financials!$E$5:$E$260,FinancialWalk!E228,Financials!$F$5:$F$260,FinancialWalk!F228)</f>
        <v>122</v>
      </c>
      <c r="L228">
        <f t="shared" si="35"/>
        <v>26</v>
      </c>
    </row>
    <row r="229" spans="2:12" x14ac:dyDescent="0.3">
      <c r="B229" t="str">
        <f t="shared" si="39"/>
        <v>MarinusPortland</v>
      </c>
      <c r="C229" t="s">
        <v>64</v>
      </c>
      <c r="D229">
        <v>0.75</v>
      </c>
      <c r="E229" t="str">
        <f t="shared" si="40"/>
        <v>Cal-37</v>
      </c>
      <c r="F229" t="s">
        <v>34</v>
      </c>
      <c r="G229" s="105" t="str">
        <f t="shared" si="38"/>
        <v>Merchant with PPA ROI</v>
      </c>
      <c r="H229" s="13" cm="1">
        <f t="array" ref="H229">INDEX(Financials!$B$5:$AI$260,FinancialWalk!K229,FinancialWalk!L229)</f>
        <v>0.81944497606808364</v>
      </c>
      <c r="K229">
        <f>SUMIFS(Financials!$A$5:$A$260,Financials!$D$5:$D$260,FinancialWalk!D229,Financials!$E$5:$E$260,FinancialWalk!E229,Financials!$F$5:$F$260,FinancialWalk!F229)</f>
        <v>123</v>
      </c>
      <c r="L229">
        <f t="shared" si="35"/>
        <v>26</v>
      </c>
    </row>
    <row r="230" spans="2:12" x14ac:dyDescent="0.3">
      <c r="B230" t="str">
        <f t="shared" si="39"/>
        <v>MarinusPortland</v>
      </c>
      <c r="C230" t="s">
        <v>64</v>
      </c>
      <c r="D230">
        <v>0.75</v>
      </c>
      <c r="E230" t="str">
        <f t="shared" si="40"/>
        <v>Cal-37</v>
      </c>
      <c r="F230" t="s">
        <v>34</v>
      </c>
      <c r="G230" s="105" t="str">
        <f t="shared" si="38"/>
        <v>Merchant with PPA ROI</v>
      </c>
      <c r="H230" s="13" cm="1">
        <f t="array" ref="H230">INDEX(Financials!$B$5:$AI$260,FinancialWalk!K230,FinancialWalk!L230)</f>
        <v>0.81944497606808364</v>
      </c>
      <c r="K230">
        <f>SUMIFS(Financials!$A$5:$A$260,Financials!$D$5:$D$260,FinancialWalk!D230,Financials!$E$5:$E$260,FinancialWalk!E230,Financials!$F$5:$F$260,FinancialWalk!F230)</f>
        <v>123</v>
      </c>
      <c r="L230">
        <f t="shared" si="35"/>
        <v>26</v>
      </c>
    </row>
    <row r="231" spans="2:12" x14ac:dyDescent="0.3">
      <c r="B231" t="str">
        <f t="shared" si="39"/>
        <v>MarinusPortland</v>
      </c>
      <c r="C231" t="s">
        <v>64</v>
      </c>
      <c r="D231">
        <v>0.75</v>
      </c>
      <c r="E231" t="str">
        <f t="shared" si="40"/>
        <v>Cal-37</v>
      </c>
      <c r="F231" t="s">
        <v>34</v>
      </c>
      <c r="G231" s="105" t="str">
        <f t="shared" si="38"/>
        <v>Merchant with PPA ROI</v>
      </c>
      <c r="H231" s="13" cm="1">
        <f t="array" ref="H231">INDEX(Financials!$B$5:$AI$260,FinancialWalk!K231,FinancialWalk!L231)</f>
        <v>0.81944497606808364</v>
      </c>
      <c r="K231">
        <f>SUMIFS(Financials!$A$5:$A$260,Financials!$D$5:$D$260,FinancialWalk!D231,Financials!$E$5:$E$260,FinancialWalk!E231,Financials!$F$5:$F$260,FinancialWalk!F231)</f>
        <v>123</v>
      </c>
      <c r="L231">
        <f t="shared" si="35"/>
        <v>26</v>
      </c>
    </row>
    <row r="232" spans="2:12" x14ac:dyDescent="0.3">
      <c r="B232" t="str">
        <f t="shared" si="39"/>
        <v>MarinusPortland</v>
      </c>
      <c r="C232" t="s">
        <v>64</v>
      </c>
      <c r="D232">
        <v>0.75</v>
      </c>
      <c r="E232" t="str">
        <f t="shared" si="40"/>
        <v>Cal-37</v>
      </c>
      <c r="F232" t="s">
        <v>34</v>
      </c>
      <c r="G232" s="105" t="str">
        <f t="shared" si="38"/>
        <v>Merchant with PPA ROI</v>
      </c>
      <c r="H232" s="13" cm="1">
        <f t="array" ref="H232">INDEX(Financials!$B$5:$AI$260,FinancialWalk!K232,FinancialWalk!L232)</f>
        <v>0.81944497606808364</v>
      </c>
      <c r="K232">
        <f>SUMIFS(Financials!$A$5:$A$260,Financials!$D$5:$D$260,FinancialWalk!D232,Financials!$E$5:$E$260,FinancialWalk!E232,Financials!$F$5:$F$260,FinancialWalk!F232)</f>
        <v>123</v>
      </c>
      <c r="L232">
        <f t="shared" si="35"/>
        <v>26</v>
      </c>
    </row>
    <row r="233" spans="2:12" x14ac:dyDescent="0.3">
      <c r="B233" t="str">
        <f t="shared" si="39"/>
        <v>MarinusPortland</v>
      </c>
      <c r="C233" t="s">
        <v>64</v>
      </c>
      <c r="D233">
        <v>0.5</v>
      </c>
      <c r="E233" t="str">
        <f t="shared" si="40"/>
        <v>Cal-37</v>
      </c>
      <c r="F233" t="s">
        <v>34</v>
      </c>
      <c r="G233" s="105" t="str">
        <f t="shared" si="38"/>
        <v>Merchant with PPA ROI</v>
      </c>
      <c r="H233" s="13" cm="1">
        <f t="array" ref="H233">INDEX(Financials!$B$5:$AI$260,FinancialWalk!K233,FinancialWalk!L233)</f>
        <v>3.9018256619675964E-2</v>
      </c>
      <c r="K233">
        <f>SUMIFS(Financials!$A$5:$A$260,Financials!$D$5:$D$260,FinancialWalk!D233,Financials!$E$5:$E$260,FinancialWalk!E233,Financials!$F$5:$F$260,FinancialWalk!F233)</f>
        <v>124</v>
      </c>
      <c r="L233">
        <f t="shared" si="35"/>
        <v>26</v>
      </c>
    </row>
    <row r="234" spans="2:12" x14ac:dyDescent="0.3">
      <c r="B234" t="str">
        <f t="shared" si="39"/>
        <v>MarinusPortland</v>
      </c>
      <c r="C234" t="s">
        <v>64</v>
      </c>
      <c r="D234">
        <v>0.5</v>
      </c>
      <c r="E234" t="str">
        <f t="shared" si="40"/>
        <v>Cal-37</v>
      </c>
      <c r="F234" t="s">
        <v>34</v>
      </c>
      <c r="G234" s="105" t="str">
        <f t="shared" si="38"/>
        <v>Merchant with PPA ROI</v>
      </c>
      <c r="H234" s="13" cm="1">
        <f t="array" ref="H234">INDEX(Financials!$B$5:$AI$260,FinancialWalk!K234,FinancialWalk!L234)</f>
        <v>3.9018256619675964E-2</v>
      </c>
      <c r="K234">
        <f>SUMIFS(Financials!$A$5:$A$260,Financials!$D$5:$D$260,FinancialWalk!D234,Financials!$E$5:$E$260,FinancialWalk!E234,Financials!$F$5:$F$260,FinancialWalk!F234)</f>
        <v>124</v>
      </c>
      <c r="L234">
        <f t="shared" si="35"/>
        <v>26</v>
      </c>
    </row>
    <row r="235" spans="2:12" x14ac:dyDescent="0.3">
      <c r="B235" t="str">
        <f t="shared" si="39"/>
        <v>MarinusPortland</v>
      </c>
      <c r="C235" t="s">
        <v>64</v>
      </c>
      <c r="D235">
        <v>0.5</v>
      </c>
      <c r="E235" t="str">
        <f t="shared" si="40"/>
        <v>Cal-37</v>
      </c>
      <c r="F235" t="s">
        <v>34</v>
      </c>
      <c r="G235" s="105" t="str">
        <f t="shared" si="38"/>
        <v>Merchant with PPA ROI</v>
      </c>
      <c r="H235" s="13" cm="1">
        <f t="array" ref="H235">INDEX(Financials!$B$5:$AI$260,FinancialWalk!K235,FinancialWalk!L235)</f>
        <v>3.9018256619675964E-2</v>
      </c>
      <c r="K235">
        <f>SUMIFS(Financials!$A$5:$A$260,Financials!$D$5:$D$260,FinancialWalk!D235,Financials!$E$5:$E$260,FinancialWalk!E235,Financials!$F$5:$F$260,FinancialWalk!F235)</f>
        <v>124</v>
      </c>
      <c r="L235">
        <f t="shared" si="35"/>
        <v>26</v>
      </c>
    </row>
    <row r="236" spans="2:12" x14ac:dyDescent="0.3">
      <c r="B236" t="str">
        <f t="shared" si="39"/>
        <v>MarinusPortland</v>
      </c>
      <c r="C236" t="s">
        <v>64</v>
      </c>
      <c r="D236">
        <v>0.5</v>
      </c>
      <c r="E236" t="str">
        <f t="shared" si="40"/>
        <v>Cal-37</v>
      </c>
      <c r="F236" t="s">
        <v>34</v>
      </c>
      <c r="G236" s="105" t="str">
        <f t="shared" si="38"/>
        <v>Merchant with PPA ROI</v>
      </c>
      <c r="H236" s="13" cm="1">
        <f t="array" ref="H236">INDEX(Financials!$B$5:$AI$260,FinancialWalk!K236,FinancialWalk!L236)</f>
        <v>3.9018256619675964E-2</v>
      </c>
      <c r="K236">
        <f>SUMIFS(Financials!$A$5:$A$260,Financials!$D$5:$D$260,FinancialWalk!D236,Financials!$E$5:$E$260,FinancialWalk!E236,Financials!$F$5:$F$260,FinancialWalk!F236)</f>
        <v>124</v>
      </c>
      <c r="L236">
        <f t="shared" si="35"/>
        <v>26</v>
      </c>
    </row>
    <row r="237" spans="2:12" x14ac:dyDescent="0.3">
      <c r="B237" t="str">
        <f t="shared" si="39"/>
        <v>MarinusPortland</v>
      </c>
      <c r="C237" t="s">
        <v>64</v>
      </c>
      <c r="D237">
        <v>0.5</v>
      </c>
      <c r="E237" t="str">
        <f t="shared" si="40"/>
        <v>Cal-37</v>
      </c>
      <c r="F237" t="s">
        <v>34</v>
      </c>
      <c r="G237" s="105" t="str">
        <f t="shared" si="38"/>
        <v>Merchant with PPA ROI</v>
      </c>
      <c r="H237" s="13" cm="1">
        <f t="array" ref="H237">INDEX(Financials!$B$5:$AI$260,FinancialWalk!K237,FinancialWalk!L237)</f>
        <v>3.9018256619675964E-2</v>
      </c>
      <c r="K237">
        <f>SUMIFS(Financials!$A$5:$A$260,Financials!$D$5:$D$260,FinancialWalk!D237,Financials!$E$5:$E$260,FinancialWalk!E237,Financials!$F$5:$F$260,FinancialWalk!F237)</f>
        <v>124</v>
      </c>
      <c r="L237">
        <f t="shared" si="35"/>
        <v>26</v>
      </c>
    </row>
    <row r="238" spans="2:12" x14ac:dyDescent="0.3">
      <c r="B238" t="str">
        <f t="shared" si="39"/>
        <v>MarinusPortland</v>
      </c>
      <c r="C238" t="s">
        <v>64</v>
      </c>
      <c r="D238">
        <v>0.25</v>
      </c>
      <c r="E238" t="str">
        <f t="shared" si="40"/>
        <v>Cal-37</v>
      </c>
      <c r="F238" t="s">
        <v>34</v>
      </c>
      <c r="G238" s="105" t="str">
        <f t="shared" si="38"/>
        <v>Merchant with PPA ROI</v>
      </c>
      <c r="H238" s="13" cm="1">
        <f t="array" ref="H238">INDEX(Financials!$B$5:$AI$260,FinancialWalk!K238,FinancialWalk!L238)</f>
        <v>-0.68640872132396458</v>
      </c>
      <c r="K238">
        <f>SUMIFS(Financials!$A$5:$A$260,Financials!$D$5:$D$260,FinancialWalk!D238,Financials!$E$5:$E$260,FinancialWalk!E238,Financials!$F$5:$F$260,FinancialWalk!F238)</f>
        <v>125</v>
      </c>
      <c r="L238">
        <f t="shared" si="35"/>
        <v>26</v>
      </c>
    </row>
    <row r="239" spans="2:12" x14ac:dyDescent="0.3">
      <c r="B239" t="str">
        <f t="shared" si="39"/>
        <v>MarinusPortland</v>
      </c>
      <c r="C239" t="s">
        <v>64</v>
      </c>
      <c r="D239">
        <v>0.25</v>
      </c>
      <c r="E239" t="str">
        <f t="shared" si="40"/>
        <v>Cal-37</v>
      </c>
      <c r="F239" t="s">
        <v>34</v>
      </c>
      <c r="G239" s="105" t="str">
        <f t="shared" si="38"/>
        <v>Merchant with PPA ROI</v>
      </c>
      <c r="H239" s="13" cm="1">
        <f t="array" ref="H239">INDEX(Financials!$B$5:$AI$260,FinancialWalk!K239,FinancialWalk!L239)</f>
        <v>-0.68640872132396458</v>
      </c>
      <c r="K239">
        <f>SUMIFS(Financials!$A$5:$A$260,Financials!$D$5:$D$260,FinancialWalk!D239,Financials!$E$5:$E$260,FinancialWalk!E239,Financials!$F$5:$F$260,FinancialWalk!F239)</f>
        <v>125</v>
      </c>
      <c r="L239">
        <f t="shared" si="35"/>
        <v>26</v>
      </c>
    </row>
    <row r="240" spans="2:12" x14ac:dyDescent="0.3">
      <c r="B240" t="str">
        <f t="shared" si="39"/>
        <v>MarinusPortland</v>
      </c>
      <c r="C240" t="s">
        <v>64</v>
      </c>
      <c r="D240">
        <v>0.25</v>
      </c>
      <c r="E240" t="str">
        <f t="shared" si="40"/>
        <v>Cal-37</v>
      </c>
      <c r="F240" t="s">
        <v>34</v>
      </c>
      <c r="G240" s="105" t="str">
        <f t="shared" si="38"/>
        <v>Merchant with PPA ROI</v>
      </c>
      <c r="H240" s="13" cm="1">
        <f t="array" ref="H240">INDEX(Financials!$B$5:$AI$260,FinancialWalk!K240,FinancialWalk!L240)</f>
        <v>-0.68640872132396458</v>
      </c>
      <c r="K240">
        <f>SUMIFS(Financials!$A$5:$A$260,Financials!$D$5:$D$260,FinancialWalk!D240,Financials!$E$5:$E$260,FinancialWalk!E240,Financials!$F$5:$F$260,FinancialWalk!F240)</f>
        <v>125</v>
      </c>
      <c r="L240">
        <f t="shared" si="35"/>
        <v>26</v>
      </c>
    </row>
    <row r="241" spans="2:12" x14ac:dyDescent="0.3">
      <c r="B241" t="str">
        <f t="shared" si="39"/>
        <v>MarinusPortland</v>
      </c>
      <c r="C241" t="s">
        <v>64</v>
      </c>
      <c r="D241">
        <v>0.25</v>
      </c>
      <c r="E241" t="str">
        <f t="shared" si="40"/>
        <v>Cal-37</v>
      </c>
      <c r="F241" t="s">
        <v>34</v>
      </c>
      <c r="G241" s="105" t="str">
        <f t="shared" si="38"/>
        <v>Merchant with PPA ROI</v>
      </c>
      <c r="H241" s="13" cm="1">
        <f t="array" ref="H241">INDEX(Financials!$B$5:$AI$260,FinancialWalk!K241,FinancialWalk!L241)</f>
        <v>-0.68640872132396458</v>
      </c>
      <c r="K241">
        <f>SUMIFS(Financials!$A$5:$A$260,Financials!$D$5:$D$260,FinancialWalk!D241,Financials!$E$5:$E$260,FinancialWalk!E241,Financials!$F$5:$F$260,FinancialWalk!F241)</f>
        <v>125</v>
      </c>
      <c r="L241">
        <f t="shared" si="35"/>
        <v>26</v>
      </c>
    </row>
    <row r="242" spans="2:12" x14ac:dyDescent="0.3">
      <c r="B242" t="str">
        <f t="shared" si="39"/>
        <v>MarinusPortland</v>
      </c>
      <c r="C242" t="s">
        <v>64</v>
      </c>
      <c r="D242">
        <v>0.05</v>
      </c>
      <c r="E242" t="str">
        <f t="shared" si="40"/>
        <v>Cal-37</v>
      </c>
      <c r="F242" t="s">
        <v>34</v>
      </c>
      <c r="G242" s="105" t="str">
        <f t="shared" si="38"/>
        <v>Merchant with PPA ROI</v>
      </c>
      <c r="H242" s="13" cm="1">
        <f t="array" ref="H242">INDEX(Financials!$B$5:$AI$260,FinancialWalk!K242,FinancialWalk!L242)</f>
        <v>-1.6020701092797218</v>
      </c>
      <c r="K242">
        <f>SUMIFS(Financials!$A$5:$A$260,Financials!$D$5:$D$260,FinancialWalk!D242,Financials!$E$5:$E$260,FinancialWalk!E242,Financials!$F$5:$F$260,FinancialWalk!F242)</f>
        <v>126</v>
      </c>
      <c r="L242">
        <f t="shared" si="35"/>
        <v>26</v>
      </c>
    </row>
    <row r="243" spans="2:12" x14ac:dyDescent="0.3">
      <c r="B243" t="str">
        <f t="shared" si="39"/>
        <v>MarinusPortland</v>
      </c>
      <c r="C243" t="s">
        <v>64</v>
      </c>
      <c r="D243">
        <v>0.05</v>
      </c>
      <c r="E243" t="str">
        <f t="shared" si="40"/>
        <v>Cal-37</v>
      </c>
      <c r="F243" t="s">
        <v>34</v>
      </c>
      <c r="G243" s="105" t="str">
        <f t="shared" si="38"/>
        <v>Merchant with PPA ROI</v>
      </c>
      <c r="H243" s="13" cm="1">
        <f t="array" ref="H243">INDEX(Financials!$B$5:$AI$260,FinancialWalk!K243,FinancialWalk!L243)</f>
        <v>-1.6020701092797218</v>
      </c>
      <c r="K243">
        <f>SUMIFS(Financials!$A$5:$A$260,Financials!$D$5:$D$260,FinancialWalk!D243,Financials!$E$5:$E$260,FinancialWalk!E243,Financials!$F$5:$F$260,FinancialWalk!F243)</f>
        <v>126</v>
      </c>
      <c r="L243">
        <f t="shared" si="35"/>
        <v>26</v>
      </c>
    </row>
    <row r="244" spans="2:12" x14ac:dyDescent="0.3">
      <c r="B244" t="str">
        <f t="shared" si="39"/>
        <v>MarinusPortland</v>
      </c>
      <c r="C244" t="s">
        <v>64</v>
      </c>
      <c r="D244">
        <v>0.05</v>
      </c>
      <c r="E244" t="str">
        <f t="shared" si="40"/>
        <v>Cal-37</v>
      </c>
      <c r="F244" t="s">
        <v>34</v>
      </c>
      <c r="G244" s="105" t="str">
        <f t="shared" si="38"/>
        <v>Merchant with PPA ROI</v>
      </c>
      <c r="H244" s="13" cm="1">
        <f t="array" ref="H244">INDEX(Financials!$B$5:$AI$260,FinancialWalk!K244,FinancialWalk!L244)</f>
        <v>-1.6020701092797218</v>
      </c>
      <c r="K244">
        <f>SUMIFS(Financials!$A$5:$A$260,Financials!$D$5:$D$260,FinancialWalk!D244,Financials!$E$5:$E$260,FinancialWalk!E244,Financials!$F$5:$F$260,FinancialWalk!F244)</f>
        <v>126</v>
      </c>
      <c r="L244">
        <f t="shared" si="35"/>
        <v>26</v>
      </c>
    </row>
    <row r="245" spans="2:12" x14ac:dyDescent="0.3">
      <c r="B245" t="str">
        <f t="shared" si="39"/>
        <v>MarinusPortland</v>
      </c>
      <c r="C245" t="s">
        <v>64</v>
      </c>
      <c r="D245">
        <v>0</v>
      </c>
      <c r="E245" t="str">
        <f t="shared" si="40"/>
        <v>Cal-37</v>
      </c>
      <c r="F245" t="s">
        <v>34</v>
      </c>
      <c r="G245" s="105" t="str">
        <f t="shared" si="38"/>
        <v>Merchant with PPA ROI</v>
      </c>
      <c r="H245" s="13" cm="1">
        <f t="array" ref="H245">INDEX(Financials!$B$5:$AI$260,FinancialWalk!K245,FinancialWalk!L245)</f>
        <v>-2.7413776849057649</v>
      </c>
      <c r="K245">
        <f>SUMIFS(Financials!$A$5:$A$260,Financials!$D$5:$D$260,FinancialWalk!D245,Financials!$E$5:$E$260,FinancialWalk!E245,Financials!$F$5:$F$260,FinancialWalk!F245)</f>
        <v>127</v>
      </c>
      <c r="L245">
        <f t="shared" si="35"/>
        <v>26</v>
      </c>
    </row>
    <row r="246" spans="2:12" x14ac:dyDescent="0.3">
      <c r="B246" t="str">
        <f t="shared" si="39"/>
        <v>MarinusPortland</v>
      </c>
      <c r="C246" t="s">
        <v>64</v>
      </c>
      <c r="D246" t="s">
        <v>24</v>
      </c>
      <c r="E246" t="str">
        <f t="shared" si="40"/>
        <v>Cal-37</v>
      </c>
      <c r="F246" t="s">
        <v>34</v>
      </c>
      <c r="G246" s="105" t="str">
        <f t="shared" si="38"/>
        <v>Merchant with PPA ROI</v>
      </c>
      <c r="H246" s="13" cm="1">
        <f t="array" ref="H246">INDEX(Financials!$B$5:$AI$260,FinancialWalk!K246,FinancialWalk!L246)</f>
        <v>9.2670643511135076E-2</v>
      </c>
      <c r="K246">
        <f>SUMIFS(Financials!$A$5:$A$260,Financials!$D$5:$D$260,FinancialWalk!D246,Financials!$E$5:$E$260,FinancialWalk!E246,Financials!$F$5:$F$260,FinancialWalk!F246)</f>
        <v>128</v>
      </c>
      <c r="L246">
        <f t="shared" si="35"/>
        <v>26</v>
      </c>
    </row>
    <row r="247" spans="2:12" x14ac:dyDescent="0.3">
      <c r="B247" t="str">
        <f>$B$2</f>
        <v>MarinusPortland</v>
      </c>
      <c r="C247" t="s">
        <v>64</v>
      </c>
      <c r="D247">
        <v>1</v>
      </c>
      <c r="E247" t="s">
        <v>18</v>
      </c>
      <c r="F247" t="s">
        <v>44</v>
      </c>
      <c r="G247" s="105" t="str">
        <f t="shared" si="38"/>
        <v>Merchant with PPA ROI</v>
      </c>
      <c r="H247" s="13" cm="1">
        <f t="array" ref="H247">INDEX(Financials!$B$5:$AI$260,FinancialWalk!K247,FinancialWalk!L247)</f>
        <v>4.0550080830141777</v>
      </c>
      <c r="K247">
        <f>SUMIFS(Financials!$A$5:$A$260,Financials!$D$5:$D$260,FinancialWalk!D247,Financials!$E$5:$E$260,FinancialWalk!E247,Financials!$F$5:$F$260,FinancialWalk!F247)</f>
        <v>249</v>
      </c>
      <c r="L247">
        <f t="shared" si="35"/>
        <v>26</v>
      </c>
    </row>
    <row r="248" spans="2:12" x14ac:dyDescent="0.3">
      <c r="B248" t="str">
        <f>B247</f>
        <v>MarinusPortland</v>
      </c>
      <c r="C248" t="s">
        <v>64</v>
      </c>
      <c r="D248">
        <v>0.95</v>
      </c>
      <c r="E248" t="str">
        <f>E247</f>
        <v>Cal-37</v>
      </c>
      <c r="F248" t="s">
        <v>44</v>
      </c>
      <c r="G248" s="105" t="str">
        <f t="shared" si="38"/>
        <v>Merchant with PPA ROI</v>
      </c>
      <c r="H248" s="13" cm="1">
        <f t="array" ref="H248">INDEX(Financials!$B$5:$AI$260,FinancialWalk!K248,FinancialWalk!L248)</f>
        <v>1.8038938362797277</v>
      </c>
      <c r="K248">
        <f>SUMIFS(Financials!$A$5:$A$260,Financials!$D$5:$D$260,FinancialWalk!D248,Financials!$E$5:$E$260,FinancialWalk!E248,Financials!$F$5:$F$260,FinancialWalk!F248)</f>
        <v>250</v>
      </c>
      <c r="L248">
        <f t="shared" si="35"/>
        <v>26</v>
      </c>
    </row>
    <row r="249" spans="2:12" x14ac:dyDescent="0.3">
      <c r="B249" t="str">
        <f t="shared" ref="B249:B268" si="41">B248</f>
        <v>MarinusPortland</v>
      </c>
      <c r="C249" t="s">
        <v>64</v>
      </c>
      <c r="D249">
        <v>0.95</v>
      </c>
      <c r="E249" t="str">
        <f t="shared" ref="E249:E268" si="42">E248</f>
        <v>Cal-37</v>
      </c>
      <c r="F249" t="s">
        <v>44</v>
      </c>
      <c r="G249" s="105" t="str">
        <f t="shared" si="38"/>
        <v>Merchant with PPA ROI</v>
      </c>
      <c r="H249" s="13" cm="1">
        <f t="array" ref="H249">INDEX(Financials!$B$5:$AI$260,FinancialWalk!K249,FinancialWalk!L249)</f>
        <v>1.8038938362797277</v>
      </c>
      <c r="K249">
        <f>SUMIFS(Financials!$A$5:$A$260,Financials!$D$5:$D$260,FinancialWalk!D249,Financials!$E$5:$E$260,FinancialWalk!E249,Financials!$F$5:$F$260,FinancialWalk!F249)</f>
        <v>250</v>
      </c>
      <c r="L249">
        <f t="shared" si="35"/>
        <v>26</v>
      </c>
    </row>
    <row r="250" spans="2:12" x14ac:dyDescent="0.3">
      <c r="B250" t="str">
        <f t="shared" si="41"/>
        <v>MarinusPortland</v>
      </c>
      <c r="C250" t="s">
        <v>64</v>
      </c>
      <c r="D250">
        <v>0.95</v>
      </c>
      <c r="E250" t="str">
        <f t="shared" si="42"/>
        <v>Cal-37</v>
      </c>
      <c r="F250" t="s">
        <v>44</v>
      </c>
      <c r="G250" s="105" t="str">
        <f t="shared" si="38"/>
        <v>Merchant with PPA ROI</v>
      </c>
      <c r="H250" s="13" cm="1">
        <f t="array" ref="H250">INDEX(Financials!$B$5:$AI$260,FinancialWalk!K250,FinancialWalk!L250)</f>
        <v>1.8038938362797277</v>
      </c>
      <c r="K250">
        <f>SUMIFS(Financials!$A$5:$A$260,Financials!$D$5:$D$260,FinancialWalk!D250,Financials!$E$5:$E$260,FinancialWalk!E250,Financials!$F$5:$F$260,FinancialWalk!F250)</f>
        <v>250</v>
      </c>
      <c r="L250">
        <f t="shared" si="35"/>
        <v>26</v>
      </c>
    </row>
    <row r="251" spans="2:12" x14ac:dyDescent="0.3">
      <c r="B251" t="str">
        <f t="shared" si="41"/>
        <v>MarinusPortland</v>
      </c>
      <c r="C251" t="s">
        <v>64</v>
      </c>
      <c r="D251">
        <v>0.75</v>
      </c>
      <c r="E251" t="str">
        <f t="shared" si="42"/>
        <v>Cal-37</v>
      </c>
      <c r="F251" t="s">
        <v>44</v>
      </c>
      <c r="G251" s="105" t="str">
        <f t="shared" si="38"/>
        <v>Merchant with PPA ROI</v>
      </c>
      <c r="H251" s="13" cm="1">
        <f t="array" ref="H251">INDEX(Financials!$B$5:$AI$260,FinancialWalk!K251,FinancialWalk!L251)</f>
        <v>0.77735648067867924</v>
      </c>
      <c r="K251">
        <f>SUMIFS(Financials!$A$5:$A$260,Financials!$D$5:$D$260,FinancialWalk!D251,Financials!$E$5:$E$260,FinancialWalk!E251,Financials!$F$5:$F$260,FinancialWalk!F251)</f>
        <v>251</v>
      </c>
      <c r="L251">
        <f t="shared" si="35"/>
        <v>26</v>
      </c>
    </row>
    <row r="252" spans="2:12" x14ac:dyDescent="0.3">
      <c r="B252" t="str">
        <f t="shared" si="41"/>
        <v>MarinusPortland</v>
      </c>
      <c r="C252" t="s">
        <v>64</v>
      </c>
      <c r="D252">
        <v>0.75</v>
      </c>
      <c r="E252" t="str">
        <f t="shared" si="42"/>
        <v>Cal-37</v>
      </c>
      <c r="F252" t="s">
        <v>44</v>
      </c>
      <c r="G252" s="105" t="str">
        <f t="shared" si="38"/>
        <v>Merchant with PPA ROI</v>
      </c>
      <c r="H252" s="13" cm="1">
        <f t="array" ref="H252">INDEX(Financials!$B$5:$AI$260,FinancialWalk!K252,FinancialWalk!L252)</f>
        <v>0.77735648067867924</v>
      </c>
      <c r="K252">
        <f>SUMIFS(Financials!$A$5:$A$260,Financials!$D$5:$D$260,FinancialWalk!D252,Financials!$E$5:$E$260,FinancialWalk!E252,Financials!$F$5:$F$260,FinancialWalk!F252)</f>
        <v>251</v>
      </c>
      <c r="L252">
        <f t="shared" si="35"/>
        <v>26</v>
      </c>
    </row>
    <row r="253" spans="2:12" x14ac:dyDescent="0.3">
      <c r="B253" t="str">
        <f t="shared" si="41"/>
        <v>MarinusPortland</v>
      </c>
      <c r="C253" t="s">
        <v>64</v>
      </c>
      <c r="D253">
        <v>0.75</v>
      </c>
      <c r="E253" t="str">
        <f t="shared" si="42"/>
        <v>Cal-37</v>
      </c>
      <c r="F253" t="s">
        <v>44</v>
      </c>
      <c r="G253" s="105" t="str">
        <f t="shared" si="38"/>
        <v>Merchant with PPA ROI</v>
      </c>
      <c r="H253" s="13" cm="1">
        <f t="array" ref="H253">INDEX(Financials!$B$5:$AI$260,FinancialWalk!K253,FinancialWalk!L253)</f>
        <v>0.77735648067867924</v>
      </c>
      <c r="K253">
        <f>SUMIFS(Financials!$A$5:$A$260,Financials!$D$5:$D$260,FinancialWalk!D253,Financials!$E$5:$E$260,FinancialWalk!E253,Financials!$F$5:$F$260,FinancialWalk!F253)</f>
        <v>251</v>
      </c>
      <c r="L253">
        <f t="shared" si="35"/>
        <v>26</v>
      </c>
    </row>
    <row r="254" spans="2:12" x14ac:dyDescent="0.3">
      <c r="B254" t="str">
        <f t="shared" si="41"/>
        <v>MarinusPortland</v>
      </c>
      <c r="C254" t="s">
        <v>64</v>
      </c>
      <c r="D254">
        <v>0.75</v>
      </c>
      <c r="E254" t="str">
        <f t="shared" si="42"/>
        <v>Cal-37</v>
      </c>
      <c r="F254" t="s">
        <v>44</v>
      </c>
      <c r="G254" s="105" t="str">
        <f t="shared" si="38"/>
        <v>Merchant with PPA ROI</v>
      </c>
      <c r="H254" s="13" cm="1">
        <f t="array" ref="H254">INDEX(Financials!$B$5:$AI$260,FinancialWalk!K254,FinancialWalk!L254)</f>
        <v>0.77735648067867924</v>
      </c>
      <c r="K254">
        <f>SUMIFS(Financials!$A$5:$A$260,Financials!$D$5:$D$260,FinancialWalk!D254,Financials!$E$5:$E$260,FinancialWalk!E254,Financials!$F$5:$F$260,FinancialWalk!F254)</f>
        <v>251</v>
      </c>
      <c r="L254">
        <f t="shared" si="35"/>
        <v>26</v>
      </c>
    </row>
    <row r="255" spans="2:12" x14ac:dyDescent="0.3">
      <c r="B255" t="str">
        <f t="shared" si="41"/>
        <v>MarinusPortland</v>
      </c>
      <c r="C255" t="s">
        <v>64</v>
      </c>
      <c r="D255">
        <v>0.5</v>
      </c>
      <c r="E255" t="str">
        <f t="shared" si="42"/>
        <v>Cal-37</v>
      </c>
      <c r="F255" t="s">
        <v>44</v>
      </c>
      <c r="G255" s="105" t="str">
        <f t="shared" si="38"/>
        <v>Merchant with PPA ROI</v>
      </c>
      <c r="H255" s="13" cm="1">
        <f t="array" ref="H255">INDEX(Financials!$B$5:$AI$260,FinancialWalk!K255,FinancialWalk!L255)</f>
        <v>4.9399745101113619E-2</v>
      </c>
      <c r="K255">
        <f>SUMIFS(Financials!$A$5:$A$260,Financials!$D$5:$D$260,FinancialWalk!D255,Financials!$E$5:$E$260,FinancialWalk!E255,Financials!$F$5:$F$260,FinancialWalk!F255)</f>
        <v>252</v>
      </c>
      <c r="L255">
        <f t="shared" si="35"/>
        <v>26</v>
      </c>
    </row>
    <row r="256" spans="2:12" x14ac:dyDescent="0.3">
      <c r="B256" t="str">
        <f t="shared" si="41"/>
        <v>MarinusPortland</v>
      </c>
      <c r="C256" t="s">
        <v>64</v>
      </c>
      <c r="D256">
        <v>0.5</v>
      </c>
      <c r="E256" t="str">
        <f t="shared" si="42"/>
        <v>Cal-37</v>
      </c>
      <c r="F256" t="s">
        <v>44</v>
      </c>
      <c r="G256" s="105" t="str">
        <f t="shared" si="38"/>
        <v>Merchant with PPA ROI</v>
      </c>
      <c r="H256" s="13" cm="1">
        <f t="array" ref="H256">INDEX(Financials!$B$5:$AI$260,FinancialWalk!K256,FinancialWalk!L256)</f>
        <v>4.9399745101113619E-2</v>
      </c>
      <c r="K256">
        <f>SUMIFS(Financials!$A$5:$A$260,Financials!$D$5:$D$260,FinancialWalk!D256,Financials!$E$5:$E$260,FinancialWalk!E256,Financials!$F$5:$F$260,FinancialWalk!F256)</f>
        <v>252</v>
      </c>
      <c r="L256">
        <f t="shared" si="35"/>
        <v>26</v>
      </c>
    </row>
    <row r="257" spans="1:12" x14ac:dyDescent="0.3">
      <c r="B257" t="str">
        <f t="shared" si="41"/>
        <v>MarinusPortland</v>
      </c>
      <c r="C257" t="s">
        <v>64</v>
      </c>
      <c r="D257">
        <v>0.5</v>
      </c>
      <c r="E257" t="str">
        <f t="shared" si="42"/>
        <v>Cal-37</v>
      </c>
      <c r="F257" t="s">
        <v>44</v>
      </c>
      <c r="G257" s="105" t="str">
        <f t="shared" si="38"/>
        <v>Merchant with PPA ROI</v>
      </c>
      <c r="H257" s="13" cm="1">
        <f t="array" ref="H257">INDEX(Financials!$B$5:$AI$260,FinancialWalk!K257,FinancialWalk!L257)</f>
        <v>4.9399745101113619E-2</v>
      </c>
      <c r="K257">
        <f>SUMIFS(Financials!$A$5:$A$260,Financials!$D$5:$D$260,FinancialWalk!D257,Financials!$E$5:$E$260,FinancialWalk!E257,Financials!$F$5:$F$260,FinancialWalk!F257)</f>
        <v>252</v>
      </c>
      <c r="L257">
        <f t="shared" si="35"/>
        <v>26</v>
      </c>
    </row>
    <row r="258" spans="1:12" x14ac:dyDescent="0.3">
      <c r="B258" t="str">
        <f t="shared" si="41"/>
        <v>MarinusPortland</v>
      </c>
      <c r="C258" t="s">
        <v>64</v>
      </c>
      <c r="D258">
        <v>0.5</v>
      </c>
      <c r="E258" t="str">
        <f t="shared" si="42"/>
        <v>Cal-37</v>
      </c>
      <c r="F258" t="s">
        <v>44</v>
      </c>
      <c r="G258" s="105" t="str">
        <f t="shared" si="38"/>
        <v>Merchant with PPA ROI</v>
      </c>
      <c r="H258" s="13" cm="1">
        <f t="array" ref="H258">INDEX(Financials!$B$5:$AI$260,FinancialWalk!K258,FinancialWalk!L258)</f>
        <v>4.9399745101113619E-2</v>
      </c>
      <c r="K258">
        <f>SUMIFS(Financials!$A$5:$A$260,Financials!$D$5:$D$260,FinancialWalk!D258,Financials!$E$5:$E$260,FinancialWalk!E258,Financials!$F$5:$F$260,FinancialWalk!F258)</f>
        <v>252</v>
      </c>
      <c r="L258">
        <f t="shared" si="35"/>
        <v>26</v>
      </c>
    </row>
    <row r="259" spans="1:12" x14ac:dyDescent="0.3">
      <c r="B259" t="str">
        <f t="shared" si="41"/>
        <v>MarinusPortland</v>
      </c>
      <c r="C259" t="s">
        <v>64</v>
      </c>
      <c r="D259">
        <v>0.5</v>
      </c>
      <c r="E259" t="str">
        <f t="shared" si="42"/>
        <v>Cal-37</v>
      </c>
      <c r="F259" t="s">
        <v>44</v>
      </c>
      <c r="G259" s="105" t="str">
        <f t="shared" si="38"/>
        <v>Merchant with PPA ROI</v>
      </c>
      <c r="H259" s="13" cm="1">
        <f t="array" ref="H259">INDEX(Financials!$B$5:$AI$260,FinancialWalk!K259,FinancialWalk!L259)</f>
        <v>4.9399745101113619E-2</v>
      </c>
      <c r="K259">
        <f>SUMIFS(Financials!$A$5:$A$260,Financials!$D$5:$D$260,FinancialWalk!D259,Financials!$E$5:$E$260,FinancialWalk!E259,Financials!$F$5:$F$260,FinancialWalk!F259)</f>
        <v>252</v>
      </c>
      <c r="L259">
        <f t="shared" si="35"/>
        <v>26</v>
      </c>
    </row>
    <row r="260" spans="1:12" x14ac:dyDescent="0.3">
      <c r="B260" t="str">
        <f t="shared" si="41"/>
        <v>MarinusPortland</v>
      </c>
      <c r="C260" t="s">
        <v>64</v>
      </c>
      <c r="D260">
        <v>0.25</v>
      </c>
      <c r="E260" t="str">
        <f t="shared" si="42"/>
        <v>Cal-37</v>
      </c>
      <c r="F260" t="s">
        <v>44</v>
      </c>
      <c r="G260" s="105" t="str">
        <f t="shared" si="38"/>
        <v>Merchant with PPA ROI</v>
      </c>
      <c r="H260" s="13" cm="1">
        <f t="array" ref="H260">INDEX(Financials!$B$5:$AI$260,FinancialWalk!K260,FinancialWalk!L260)</f>
        <v>-0.64117702522618092</v>
      </c>
      <c r="K260">
        <f>SUMIFS(Financials!$A$5:$A$260,Financials!$D$5:$D$260,FinancialWalk!D260,Financials!$E$5:$E$260,FinancialWalk!E260,Financials!$F$5:$F$260,FinancialWalk!F260)</f>
        <v>253</v>
      </c>
      <c r="L260">
        <f t="shared" si="35"/>
        <v>26</v>
      </c>
    </row>
    <row r="261" spans="1:12" x14ac:dyDescent="0.3">
      <c r="B261" t="str">
        <f t="shared" si="41"/>
        <v>MarinusPortland</v>
      </c>
      <c r="C261" t="s">
        <v>64</v>
      </c>
      <c r="D261">
        <v>0.25</v>
      </c>
      <c r="E261" t="str">
        <f t="shared" si="42"/>
        <v>Cal-37</v>
      </c>
      <c r="F261" t="s">
        <v>44</v>
      </c>
      <c r="G261" s="105" t="str">
        <f t="shared" si="38"/>
        <v>Merchant with PPA ROI</v>
      </c>
      <c r="H261" s="13" cm="1">
        <f t="array" ref="H261">INDEX(Financials!$B$5:$AI$260,FinancialWalk!K261,FinancialWalk!L261)</f>
        <v>-0.64117702522618092</v>
      </c>
      <c r="K261">
        <f>SUMIFS(Financials!$A$5:$A$260,Financials!$D$5:$D$260,FinancialWalk!D261,Financials!$E$5:$E$260,FinancialWalk!E261,Financials!$F$5:$F$260,FinancialWalk!F261)</f>
        <v>253</v>
      </c>
      <c r="L261">
        <f t="shared" ref="L261:L324" si="43">VLOOKUP(G261,$P$5:$Q$33,2,FALSE)</f>
        <v>26</v>
      </c>
    </row>
    <row r="262" spans="1:12" x14ac:dyDescent="0.3">
      <c r="B262" t="str">
        <f t="shared" si="41"/>
        <v>MarinusPortland</v>
      </c>
      <c r="C262" t="s">
        <v>64</v>
      </c>
      <c r="D262">
        <v>0.25</v>
      </c>
      <c r="E262" t="str">
        <f t="shared" si="42"/>
        <v>Cal-37</v>
      </c>
      <c r="F262" t="s">
        <v>44</v>
      </c>
      <c r="G262" s="105" t="str">
        <f t="shared" si="38"/>
        <v>Merchant with PPA ROI</v>
      </c>
      <c r="H262" s="13" cm="1">
        <f t="array" ref="H262">INDEX(Financials!$B$5:$AI$260,FinancialWalk!K262,FinancialWalk!L262)</f>
        <v>-0.64117702522618092</v>
      </c>
      <c r="K262">
        <f>SUMIFS(Financials!$A$5:$A$260,Financials!$D$5:$D$260,FinancialWalk!D262,Financials!$E$5:$E$260,FinancialWalk!E262,Financials!$F$5:$F$260,FinancialWalk!F262)</f>
        <v>253</v>
      </c>
      <c r="L262">
        <f t="shared" si="43"/>
        <v>26</v>
      </c>
    </row>
    <row r="263" spans="1:12" x14ac:dyDescent="0.3">
      <c r="B263" t="str">
        <f t="shared" si="41"/>
        <v>MarinusPortland</v>
      </c>
      <c r="C263" t="s">
        <v>64</v>
      </c>
      <c r="D263">
        <v>0.25</v>
      </c>
      <c r="E263" t="str">
        <f t="shared" si="42"/>
        <v>Cal-37</v>
      </c>
      <c r="F263" t="s">
        <v>44</v>
      </c>
      <c r="G263" s="105" t="str">
        <f t="shared" si="38"/>
        <v>Merchant with PPA ROI</v>
      </c>
      <c r="H263" s="13" cm="1">
        <f t="array" ref="H263">INDEX(Financials!$B$5:$AI$260,FinancialWalk!K263,FinancialWalk!L263)</f>
        <v>-0.64117702522618092</v>
      </c>
      <c r="K263">
        <f>SUMIFS(Financials!$A$5:$A$260,Financials!$D$5:$D$260,FinancialWalk!D263,Financials!$E$5:$E$260,FinancialWalk!E263,Financials!$F$5:$F$260,FinancialWalk!F263)</f>
        <v>253</v>
      </c>
      <c r="L263">
        <f t="shared" si="43"/>
        <v>26</v>
      </c>
    </row>
    <row r="264" spans="1:12" x14ac:dyDescent="0.3">
      <c r="B264" t="str">
        <f t="shared" si="41"/>
        <v>MarinusPortland</v>
      </c>
      <c r="C264" t="s">
        <v>64</v>
      </c>
      <c r="D264">
        <v>0.05</v>
      </c>
      <c r="E264" t="str">
        <f t="shared" si="42"/>
        <v>Cal-37</v>
      </c>
      <c r="F264" t="s">
        <v>44</v>
      </c>
      <c r="G264" s="105" t="str">
        <f t="shared" si="38"/>
        <v>Merchant with PPA ROI</v>
      </c>
      <c r="H264" s="13" cm="1">
        <f t="array" ref="H264">INDEX(Financials!$B$5:$AI$260,FinancialWalk!K264,FinancialWalk!L264)</f>
        <v>-1.5037399716137587</v>
      </c>
      <c r="K264">
        <f>SUMIFS(Financials!$A$5:$A$260,Financials!$D$5:$D$260,FinancialWalk!D264,Financials!$E$5:$E$260,FinancialWalk!E264,Financials!$F$5:$F$260,FinancialWalk!F264)</f>
        <v>254</v>
      </c>
      <c r="L264">
        <f t="shared" si="43"/>
        <v>26</v>
      </c>
    </row>
    <row r="265" spans="1:12" x14ac:dyDescent="0.3">
      <c r="B265" t="str">
        <f t="shared" si="41"/>
        <v>MarinusPortland</v>
      </c>
      <c r="C265" t="s">
        <v>64</v>
      </c>
      <c r="D265">
        <v>0.05</v>
      </c>
      <c r="E265" t="str">
        <f t="shared" si="42"/>
        <v>Cal-37</v>
      </c>
      <c r="F265" t="s">
        <v>44</v>
      </c>
      <c r="G265" s="105" t="str">
        <f t="shared" si="38"/>
        <v>Merchant with PPA ROI</v>
      </c>
      <c r="H265" s="13" cm="1">
        <f t="array" ref="H265">INDEX(Financials!$B$5:$AI$260,FinancialWalk!K265,FinancialWalk!L265)</f>
        <v>-1.5037399716137587</v>
      </c>
      <c r="K265">
        <f>SUMIFS(Financials!$A$5:$A$260,Financials!$D$5:$D$260,FinancialWalk!D265,Financials!$E$5:$E$260,FinancialWalk!E265,Financials!$F$5:$F$260,FinancialWalk!F265)</f>
        <v>254</v>
      </c>
      <c r="L265">
        <f t="shared" si="43"/>
        <v>26</v>
      </c>
    </row>
    <row r="266" spans="1:12" x14ac:dyDescent="0.3">
      <c r="B266" t="str">
        <f t="shared" si="41"/>
        <v>MarinusPortland</v>
      </c>
      <c r="C266" t="s">
        <v>64</v>
      </c>
      <c r="D266">
        <v>0.05</v>
      </c>
      <c r="E266" t="str">
        <f t="shared" si="42"/>
        <v>Cal-37</v>
      </c>
      <c r="F266" t="s">
        <v>44</v>
      </c>
      <c r="G266" s="105" t="str">
        <f t="shared" si="38"/>
        <v>Merchant with PPA ROI</v>
      </c>
      <c r="H266" s="13" cm="1">
        <f t="array" ref="H266">INDEX(Financials!$B$5:$AI$260,FinancialWalk!K266,FinancialWalk!L266)</f>
        <v>-1.5037399716137587</v>
      </c>
      <c r="K266">
        <f>SUMIFS(Financials!$A$5:$A$260,Financials!$D$5:$D$260,FinancialWalk!D266,Financials!$E$5:$E$260,FinancialWalk!E266,Financials!$F$5:$F$260,FinancialWalk!F266)</f>
        <v>254</v>
      </c>
      <c r="L266">
        <f t="shared" si="43"/>
        <v>26</v>
      </c>
    </row>
    <row r="267" spans="1:12" x14ac:dyDescent="0.3">
      <c r="B267" t="str">
        <f t="shared" si="41"/>
        <v>MarinusPortland</v>
      </c>
      <c r="C267" t="s">
        <v>64</v>
      </c>
      <c r="D267">
        <v>0</v>
      </c>
      <c r="E267" t="str">
        <f t="shared" si="42"/>
        <v>Cal-37</v>
      </c>
      <c r="F267" t="s">
        <v>44</v>
      </c>
      <c r="G267" s="105" t="str">
        <f t="shared" si="38"/>
        <v>Merchant with PPA ROI</v>
      </c>
      <c r="H267" s="13" cm="1">
        <f t="array" ref="H267">INDEX(Financials!$B$5:$AI$260,FinancialWalk!K267,FinancialWalk!L267)</f>
        <v>-2.4629858618466183</v>
      </c>
      <c r="K267">
        <f>SUMIFS(Financials!$A$5:$A$260,Financials!$D$5:$D$260,FinancialWalk!D267,Financials!$E$5:$E$260,FinancialWalk!E267,Financials!$F$5:$F$260,FinancialWalk!F267)</f>
        <v>255</v>
      </c>
      <c r="L267">
        <f t="shared" si="43"/>
        <v>26</v>
      </c>
    </row>
    <row r="268" spans="1:12" x14ac:dyDescent="0.3">
      <c r="B268" t="str">
        <f t="shared" si="41"/>
        <v>MarinusPortland</v>
      </c>
      <c r="C268" t="s">
        <v>64</v>
      </c>
      <c r="D268" t="s">
        <v>24</v>
      </c>
      <c r="E268" t="str">
        <f t="shared" si="42"/>
        <v>Cal-37</v>
      </c>
      <c r="F268" t="s">
        <v>44</v>
      </c>
      <c r="G268" s="105" t="str">
        <f t="shared" si="38"/>
        <v>Merchant with PPA ROI</v>
      </c>
      <c r="H268" s="13" cm="1">
        <f t="array" ref="H268">INDEX(Financials!$B$5:$AI$260,FinancialWalk!K268,FinancialWalk!L268)</f>
        <v>8.5491253162822106E-2</v>
      </c>
      <c r="K268">
        <f>SUMIFS(Financials!$A$5:$A$260,Financials!$D$5:$D$260,FinancialWalk!D268,Financials!$E$5:$E$260,FinancialWalk!E268,Financials!$F$5:$F$260,FinancialWalk!F268)</f>
        <v>256</v>
      </c>
      <c r="L268">
        <f t="shared" si="43"/>
        <v>26</v>
      </c>
    </row>
    <row r="269" spans="1:12" x14ac:dyDescent="0.3">
      <c r="A269">
        <v>1</v>
      </c>
      <c r="B269" t="str">
        <f>$B$2</f>
        <v>MarinusPortland</v>
      </c>
      <c r="C269" t="s">
        <v>64</v>
      </c>
      <c r="D269">
        <v>1</v>
      </c>
      <c r="E269" t="s">
        <v>18</v>
      </c>
      <c r="F269" t="s">
        <v>34</v>
      </c>
      <c r="G269" s="105" t="str">
        <f>FinancialWalk!$P$31</f>
        <v>Merchant with PPA and Sold Swap EBIT Discounted</v>
      </c>
      <c r="H269" s="20" cm="1">
        <f t="array" ref="H269">INDEX(Financials!$B$5:$AI$260,FinancialWalk!K269,FinancialWalk!L269)</f>
        <v>63808757.551372528</v>
      </c>
      <c r="K269">
        <f>SUMIFS(Financials!$A$5:$A$260,Financials!$D$5:$D$260,FinancialWalk!D269,Financials!$E$5:$E$260,FinancialWalk!E269,Financials!$F$5:$F$260,FinancialWalk!F269)</f>
        <v>121</v>
      </c>
      <c r="L269">
        <f t="shared" si="43"/>
        <v>32</v>
      </c>
    </row>
    <row r="270" spans="1:12" x14ac:dyDescent="0.3">
      <c r="B270" t="str">
        <f>B269</f>
        <v>MarinusPortland</v>
      </c>
      <c r="C270" t="s">
        <v>64</v>
      </c>
      <c r="D270">
        <v>0.95</v>
      </c>
      <c r="E270" t="str">
        <f>E269</f>
        <v>Cal-37</v>
      </c>
      <c r="F270" t="s">
        <v>34</v>
      </c>
      <c r="G270" s="105" t="str">
        <f>FinancialWalk!$P$31</f>
        <v>Merchant with PPA and Sold Swap EBIT Discounted</v>
      </c>
      <c r="H270" s="20" cm="1">
        <f t="array" ref="H270">INDEX(Financials!$B$5:$AI$260,FinancialWalk!K270,FinancialWalk!L270)</f>
        <v>41664403.777667359</v>
      </c>
      <c r="K270">
        <f>SUMIFS(Financials!$A$5:$A$260,Financials!$D$5:$D$260,FinancialWalk!D270,Financials!$E$5:$E$260,FinancialWalk!E270,Financials!$F$5:$F$260,FinancialWalk!F270)</f>
        <v>122</v>
      </c>
      <c r="L270">
        <f t="shared" si="43"/>
        <v>32</v>
      </c>
    </row>
    <row r="271" spans="1:12" x14ac:dyDescent="0.3">
      <c r="B271" t="str">
        <f t="shared" ref="B271:B290" si="44">B270</f>
        <v>MarinusPortland</v>
      </c>
      <c r="C271" t="s">
        <v>64</v>
      </c>
      <c r="D271">
        <v>0.95</v>
      </c>
      <c r="E271" t="str">
        <f t="shared" ref="E271:E290" si="45">E270</f>
        <v>Cal-37</v>
      </c>
      <c r="F271" t="s">
        <v>34</v>
      </c>
      <c r="G271" s="105" t="str">
        <f>FinancialWalk!$P$31</f>
        <v>Merchant with PPA and Sold Swap EBIT Discounted</v>
      </c>
      <c r="H271" s="20" cm="1">
        <f t="array" ref="H271">INDEX(Financials!$B$5:$AI$260,FinancialWalk!K271,FinancialWalk!L271)</f>
        <v>41664403.777667359</v>
      </c>
      <c r="K271">
        <f>SUMIFS(Financials!$A$5:$A$260,Financials!$D$5:$D$260,FinancialWalk!D271,Financials!$E$5:$E$260,FinancialWalk!E271,Financials!$F$5:$F$260,FinancialWalk!F271)</f>
        <v>122</v>
      </c>
      <c r="L271">
        <f t="shared" si="43"/>
        <v>32</v>
      </c>
    </row>
    <row r="272" spans="1:12" x14ac:dyDescent="0.3">
      <c r="B272" t="str">
        <f t="shared" si="44"/>
        <v>MarinusPortland</v>
      </c>
      <c r="C272" t="s">
        <v>64</v>
      </c>
      <c r="D272">
        <v>0.95</v>
      </c>
      <c r="E272" t="str">
        <f t="shared" si="45"/>
        <v>Cal-37</v>
      </c>
      <c r="F272" t="s">
        <v>34</v>
      </c>
      <c r="G272" s="105" t="str">
        <f>FinancialWalk!$P$31</f>
        <v>Merchant with PPA and Sold Swap EBIT Discounted</v>
      </c>
      <c r="H272" s="20" cm="1">
        <f t="array" ref="H272">INDEX(Financials!$B$5:$AI$260,FinancialWalk!K272,FinancialWalk!L272)</f>
        <v>41664403.777667359</v>
      </c>
      <c r="K272">
        <f>SUMIFS(Financials!$A$5:$A$260,Financials!$D$5:$D$260,FinancialWalk!D272,Financials!$E$5:$E$260,FinancialWalk!E272,Financials!$F$5:$F$260,FinancialWalk!F272)</f>
        <v>122</v>
      </c>
      <c r="L272">
        <f t="shared" si="43"/>
        <v>32</v>
      </c>
    </row>
    <row r="273" spans="2:12" x14ac:dyDescent="0.3">
      <c r="B273" t="str">
        <f t="shared" si="44"/>
        <v>MarinusPortland</v>
      </c>
      <c r="C273" t="s">
        <v>64</v>
      </c>
      <c r="D273">
        <v>0.75</v>
      </c>
      <c r="E273" t="str">
        <f t="shared" si="45"/>
        <v>Cal-37</v>
      </c>
      <c r="F273" t="s">
        <v>34</v>
      </c>
      <c r="G273" s="105" t="str">
        <f>FinancialWalk!$P$31</f>
        <v>Merchant with PPA and Sold Swap EBIT Discounted</v>
      </c>
      <c r="H273" s="20" cm="1">
        <f t="array" ref="H273">INDEX(Financials!$B$5:$AI$260,FinancialWalk!K273,FinancialWalk!L273)</f>
        <v>27183528.76788285</v>
      </c>
      <c r="K273">
        <f>SUMIFS(Financials!$A$5:$A$260,Financials!$D$5:$D$260,FinancialWalk!D273,Financials!$E$5:$E$260,FinancialWalk!E273,Financials!$F$5:$F$260,FinancialWalk!F273)</f>
        <v>123</v>
      </c>
      <c r="L273">
        <f t="shared" si="43"/>
        <v>32</v>
      </c>
    </row>
    <row r="274" spans="2:12" x14ac:dyDescent="0.3">
      <c r="B274" t="str">
        <f t="shared" si="44"/>
        <v>MarinusPortland</v>
      </c>
      <c r="C274" t="s">
        <v>64</v>
      </c>
      <c r="D274">
        <v>0.75</v>
      </c>
      <c r="E274" t="str">
        <f t="shared" si="45"/>
        <v>Cal-37</v>
      </c>
      <c r="F274" t="s">
        <v>34</v>
      </c>
      <c r="G274" s="105" t="str">
        <f>FinancialWalk!$P$31</f>
        <v>Merchant with PPA and Sold Swap EBIT Discounted</v>
      </c>
      <c r="H274" s="20" cm="1">
        <f t="array" ref="H274">INDEX(Financials!$B$5:$AI$260,FinancialWalk!K274,FinancialWalk!L274)</f>
        <v>27183528.76788285</v>
      </c>
      <c r="K274">
        <f>SUMIFS(Financials!$A$5:$A$260,Financials!$D$5:$D$260,FinancialWalk!D274,Financials!$E$5:$E$260,FinancialWalk!E274,Financials!$F$5:$F$260,FinancialWalk!F274)</f>
        <v>123</v>
      </c>
      <c r="L274">
        <f t="shared" si="43"/>
        <v>32</v>
      </c>
    </row>
    <row r="275" spans="2:12" x14ac:dyDescent="0.3">
      <c r="B275" t="str">
        <f t="shared" si="44"/>
        <v>MarinusPortland</v>
      </c>
      <c r="C275" t="s">
        <v>64</v>
      </c>
      <c r="D275">
        <v>0.75</v>
      </c>
      <c r="E275" t="str">
        <f t="shared" si="45"/>
        <v>Cal-37</v>
      </c>
      <c r="F275" t="s">
        <v>34</v>
      </c>
      <c r="G275" s="105" t="str">
        <f>FinancialWalk!$P$31</f>
        <v>Merchant with PPA and Sold Swap EBIT Discounted</v>
      </c>
      <c r="H275" s="20" cm="1">
        <f t="array" ref="H275">INDEX(Financials!$B$5:$AI$260,FinancialWalk!K275,FinancialWalk!L275)</f>
        <v>27183528.76788285</v>
      </c>
      <c r="K275">
        <f>SUMIFS(Financials!$A$5:$A$260,Financials!$D$5:$D$260,FinancialWalk!D275,Financials!$E$5:$E$260,FinancialWalk!E275,Financials!$F$5:$F$260,FinancialWalk!F275)</f>
        <v>123</v>
      </c>
      <c r="L275">
        <f t="shared" si="43"/>
        <v>32</v>
      </c>
    </row>
    <row r="276" spans="2:12" x14ac:dyDescent="0.3">
      <c r="B276" t="str">
        <f t="shared" si="44"/>
        <v>MarinusPortland</v>
      </c>
      <c r="C276" t="s">
        <v>64</v>
      </c>
      <c r="D276">
        <v>0.75</v>
      </c>
      <c r="E276" t="str">
        <f t="shared" si="45"/>
        <v>Cal-37</v>
      </c>
      <c r="F276" t="s">
        <v>34</v>
      </c>
      <c r="G276" s="105" t="str">
        <f>FinancialWalk!$P$31</f>
        <v>Merchant with PPA and Sold Swap EBIT Discounted</v>
      </c>
      <c r="H276" s="20" cm="1">
        <f t="array" ref="H276">INDEX(Financials!$B$5:$AI$260,FinancialWalk!K276,FinancialWalk!L276)</f>
        <v>27183528.76788285</v>
      </c>
      <c r="K276">
        <f>SUMIFS(Financials!$A$5:$A$260,Financials!$D$5:$D$260,FinancialWalk!D276,Financials!$E$5:$E$260,FinancialWalk!E276,Financials!$F$5:$F$260,FinancialWalk!F276)</f>
        <v>123</v>
      </c>
      <c r="L276">
        <f t="shared" si="43"/>
        <v>32</v>
      </c>
    </row>
    <row r="277" spans="2:12" x14ac:dyDescent="0.3">
      <c r="B277" t="str">
        <f t="shared" si="44"/>
        <v>MarinusPortland</v>
      </c>
      <c r="C277" t="s">
        <v>64</v>
      </c>
      <c r="D277">
        <v>0.5</v>
      </c>
      <c r="E277" t="str">
        <f t="shared" si="45"/>
        <v>Cal-37</v>
      </c>
      <c r="F277" t="s">
        <v>34</v>
      </c>
      <c r="G277" s="105" t="str">
        <f>FinancialWalk!$P$31</f>
        <v>Merchant with PPA and Sold Swap EBIT Discounted</v>
      </c>
      <c r="H277" s="20" cm="1">
        <f t="array" ref="H277">INDEX(Financials!$B$5:$AI$260,FinancialWalk!K277,FinancialWalk!L277)</f>
        <v>17413204.347344071</v>
      </c>
      <c r="K277">
        <f>SUMIFS(Financials!$A$5:$A$260,Financials!$D$5:$D$260,FinancialWalk!D277,Financials!$E$5:$E$260,FinancialWalk!E277,Financials!$F$5:$F$260,FinancialWalk!F277)</f>
        <v>124</v>
      </c>
      <c r="L277">
        <f t="shared" si="43"/>
        <v>32</v>
      </c>
    </row>
    <row r="278" spans="2:12" x14ac:dyDescent="0.3">
      <c r="B278" t="str">
        <f t="shared" si="44"/>
        <v>MarinusPortland</v>
      </c>
      <c r="C278" t="s">
        <v>64</v>
      </c>
      <c r="D278">
        <v>0.5</v>
      </c>
      <c r="E278" t="str">
        <f t="shared" si="45"/>
        <v>Cal-37</v>
      </c>
      <c r="F278" t="s">
        <v>34</v>
      </c>
      <c r="G278" s="105" t="str">
        <f>FinancialWalk!$P$31</f>
        <v>Merchant with PPA and Sold Swap EBIT Discounted</v>
      </c>
      <c r="H278" s="20" cm="1">
        <f t="array" ref="H278">INDEX(Financials!$B$5:$AI$260,FinancialWalk!K278,FinancialWalk!L278)</f>
        <v>17413204.347344071</v>
      </c>
      <c r="K278">
        <f>SUMIFS(Financials!$A$5:$A$260,Financials!$D$5:$D$260,FinancialWalk!D278,Financials!$E$5:$E$260,FinancialWalk!E278,Financials!$F$5:$F$260,FinancialWalk!F278)</f>
        <v>124</v>
      </c>
      <c r="L278">
        <f t="shared" si="43"/>
        <v>32</v>
      </c>
    </row>
    <row r="279" spans="2:12" x14ac:dyDescent="0.3">
      <c r="B279" t="str">
        <f t="shared" si="44"/>
        <v>MarinusPortland</v>
      </c>
      <c r="C279" t="s">
        <v>64</v>
      </c>
      <c r="D279">
        <v>0.5</v>
      </c>
      <c r="E279" t="str">
        <f t="shared" si="45"/>
        <v>Cal-37</v>
      </c>
      <c r="F279" t="s">
        <v>34</v>
      </c>
      <c r="G279" s="105" t="str">
        <f>FinancialWalk!$P$31</f>
        <v>Merchant with PPA and Sold Swap EBIT Discounted</v>
      </c>
      <c r="H279" s="20" cm="1">
        <f t="array" ref="H279">INDEX(Financials!$B$5:$AI$260,FinancialWalk!K279,FinancialWalk!L279)</f>
        <v>17413204.347344071</v>
      </c>
      <c r="K279">
        <f>SUMIFS(Financials!$A$5:$A$260,Financials!$D$5:$D$260,FinancialWalk!D279,Financials!$E$5:$E$260,FinancialWalk!E279,Financials!$F$5:$F$260,FinancialWalk!F279)</f>
        <v>124</v>
      </c>
      <c r="L279">
        <f t="shared" si="43"/>
        <v>32</v>
      </c>
    </row>
    <row r="280" spans="2:12" x14ac:dyDescent="0.3">
      <c r="B280" t="str">
        <f t="shared" si="44"/>
        <v>MarinusPortland</v>
      </c>
      <c r="C280" t="s">
        <v>64</v>
      </c>
      <c r="D280">
        <v>0.5</v>
      </c>
      <c r="E280" t="str">
        <f t="shared" si="45"/>
        <v>Cal-37</v>
      </c>
      <c r="F280" t="s">
        <v>34</v>
      </c>
      <c r="G280" s="105" t="str">
        <f>FinancialWalk!$P$31</f>
        <v>Merchant with PPA and Sold Swap EBIT Discounted</v>
      </c>
      <c r="H280" s="20" cm="1">
        <f t="array" ref="H280">INDEX(Financials!$B$5:$AI$260,FinancialWalk!K280,FinancialWalk!L280)</f>
        <v>17413204.347344071</v>
      </c>
      <c r="K280">
        <f>SUMIFS(Financials!$A$5:$A$260,Financials!$D$5:$D$260,FinancialWalk!D280,Financials!$E$5:$E$260,FinancialWalk!E280,Financials!$F$5:$F$260,FinancialWalk!F280)</f>
        <v>124</v>
      </c>
      <c r="L280">
        <f t="shared" si="43"/>
        <v>32</v>
      </c>
    </row>
    <row r="281" spans="2:12" x14ac:dyDescent="0.3">
      <c r="B281" t="str">
        <f t="shared" si="44"/>
        <v>MarinusPortland</v>
      </c>
      <c r="C281" t="s">
        <v>64</v>
      </c>
      <c r="D281">
        <v>0.5</v>
      </c>
      <c r="E281" t="str">
        <f t="shared" si="45"/>
        <v>Cal-37</v>
      </c>
      <c r="F281" t="s">
        <v>34</v>
      </c>
      <c r="G281" s="105" t="str">
        <f>FinancialWalk!$P$31</f>
        <v>Merchant with PPA and Sold Swap EBIT Discounted</v>
      </c>
      <c r="H281" s="20" cm="1">
        <f t="array" ref="H281">INDEX(Financials!$B$5:$AI$260,FinancialWalk!K281,FinancialWalk!L281)</f>
        <v>17413204.347344071</v>
      </c>
      <c r="K281">
        <f>SUMIFS(Financials!$A$5:$A$260,Financials!$D$5:$D$260,FinancialWalk!D281,Financials!$E$5:$E$260,FinancialWalk!E281,Financials!$F$5:$F$260,FinancialWalk!F281)</f>
        <v>124</v>
      </c>
      <c r="L281">
        <f t="shared" si="43"/>
        <v>32</v>
      </c>
    </row>
    <row r="282" spans="2:12" x14ac:dyDescent="0.3">
      <c r="B282" t="str">
        <f t="shared" si="44"/>
        <v>MarinusPortland</v>
      </c>
      <c r="C282" t="s">
        <v>64</v>
      </c>
      <c r="D282">
        <v>0.25</v>
      </c>
      <c r="E282" t="str">
        <f t="shared" si="45"/>
        <v>Cal-37</v>
      </c>
      <c r="F282" t="s">
        <v>34</v>
      </c>
      <c r="G282" s="105" t="str">
        <f>FinancialWalk!$P$31</f>
        <v>Merchant with PPA and Sold Swap EBIT Discounted</v>
      </c>
      <c r="H282" s="20" cm="1">
        <f t="array" ref="H282">INDEX(Financials!$B$5:$AI$260,FinancialWalk!K282,FinancialWalk!L282)</f>
        <v>11340714.811848611</v>
      </c>
      <c r="K282">
        <f>SUMIFS(Financials!$A$5:$A$260,Financials!$D$5:$D$260,FinancialWalk!D282,Financials!$E$5:$E$260,FinancialWalk!E282,Financials!$F$5:$F$260,FinancialWalk!F282)</f>
        <v>125</v>
      </c>
      <c r="L282">
        <f t="shared" si="43"/>
        <v>32</v>
      </c>
    </row>
    <row r="283" spans="2:12" x14ac:dyDescent="0.3">
      <c r="B283" t="str">
        <f t="shared" si="44"/>
        <v>MarinusPortland</v>
      </c>
      <c r="C283" t="s">
        <v>64</v>
      </c>
      <c r="D283">
        <v>0.25</v>
      </c>
      <c r="E283" t="str">
        <f t="shared" si="45"/>
        <v>Cal-37</v>
      </c>
      <c r="F283" t="s">
        <v>34</v>
      </c>
      <c r="G283" s="105" t="str">
        <f>FinancialWalk!$P$31</f>
        <v>Merchant with PPA and Sold Swap EBIT Discounted</v>
      </c>
      <c r="H283" s="20" cm="1">
        <f t="array" ref="H283">INDEX(Financials!$B$5:$AI$260,FinancialWalk!K283,FinancialWalk!L283)</f>
        <v>11340714.811848611</v>
      </c>
      <c r="K283">
        <f>SUMIFS(Financials!$A$5:$A$260,Financials!$D$5:$D$260,FinancialWalk!D283,Financials!$E$5:$E$260,FinancialWalk!E283,Financials!$F$5:$F$260,FinancialWalk!F283)</f>
        <v>125</v>
      </c>
      <c r="L283">
        <f t="shared" si="43"/>
        <v>32</v>
      </c>
    </row>
    <row r="284" spans="2:12" x14ac:dyDescent="0.3">
      <c r="B284" t="str">
        <f t="shared" si="44"/>
        <v>MarinusPortland</v>
      </c>
      <c r="C284" t="s">
        <v>64</v>
      </c>
      <c r="D284">
        <v>0.25</v>
      </c>
      <c r="E284" t="str">
        <f t="shared" si="45"/>
        <v>Cal-37</v>
      </c>
      <c r="F284" t="s">
        <v>34</v>
      </c>
      <c r="G284" s="105" t="str">
        <f>FinancialWalk!$P$31</f>
        <v>Merchant with PPA and Sold Swap EBIT Discounted</v>
      </c>
      <c r="H284" s="20" cm="1">
        <f t="array" ref="H284">INDEX(Financials!$B$5:$AI$260,FinancialWalk!K284,FinancialWalk!L284)</f>
        <v>11340714.811848611</v>
      </c>
      <c r="K284">
        <f>SUMIFS(Financials!$A$5:$A$260,Financials!$D$5:$D$260,FinancialWalk!D284,Financials!$E$5:$E$260,FinancialWalk!E284,Financials!$F$5:$F$260,FinancialWalk!F284)</f>
        <v>125</v>
      </c>
      <c r="L284">
        <f t="shared" si="43"/>
        <v>32</v>
      </c>
    </row>
    <row r="285" spans="2:12" x14ac:dyDescent="0.3">
      <c r="B285" t="str">
        <f t="shared" si="44"/>
        <v>MarinusPortland</v>
      </c>
      <c r="C285" t="s">
        <v>64</v>
      </c>
      <c r="D285">
        <v>0.25</v>
      </c>
      <c r="E285" t="str">
        <f t="shared" si="45"/>
        <v>Cal-37</v>
      </c>
      <c r="F285" t="s">
        <v>34</v>
      </c>
      <c r="G285" s="105" t="str">
        <f>FinancialWalk!$P$31</f>
        <v>Merchant with PPA and Sold Swap EBIT Discounted</v>
      </c>
      <c r="H285" s="20" cm="1">
        <f t="array" ref="H285">INDEX(Financials!$B$5:$AI$260,FinancialWalk!K285,FinancialWalk!L285)</f>
        <v>11340714.811848611</v>
      </c>
      <c r="K285">
        <f>SUMIFS(Financials!$A$5:$A$260,Financials!$D$5:$D$260,FinancialWalk!D285,Financials!$E$5:$E$260,FinancialWalk!E285,Financials!$F$5:$F$260,FinancialWalk!F285)</f>
        <v>125</v>
      </c>
      <c r="L285">
        <f t="shared" si="43"/>
        <v>32</v>
      </c>
    </row>
    <row r="286" spans="2:12" x14ac:dyDescent="0.3">
      <c r="B286" t="str">
        <f t="shared" si="44"/>
        <v>MarinusPortland</v>
      </c>
      <c r="C286" t="s">
        <v>64</v>
      </c>
      <c r="D286">
        <v>0.05</v>
      </c>
      <c r="E286" t="str">
        <f t="shared" si="45"/>
        <v>Cal-37</v>
      </c>
      <c r="F286" t="s">
        <v>34</v>
      </c>
      <c r="G286" s="105" t="str">
        <f>FinancialWalk!$P$31</f>
        <v>Merchant with PPA and Sold Swap EBIT Discounted</v>
      </c>
      <c r="H286" s="20" cm="1">
        <f t="array" ref="H286">INDEX(Financials!$B$5:$AI$260,FinancialWalk!K286,FinancialWalk!L286)</f>
        <v>6959787.1924062297</v>
      </c>
      <c r="K286">
        <f>SUMIFS(Financials!$A$5:$A$260,Financials!$D$5:$D$260,FinancialWalk!D286,Financials!$E$5:$E$260,FinancialWalk!E286,Financials!$F$5:$F$260,FinancialWalk!F286)</f>
        <v>126</v>
      </c>
      <c r="L286">
        <f t="shared" si="43"/>
        <v>32</v>
      </c>
    </row>
    <row r="287" spans="2:12" x14ac:dyDescent="0.3">
      <c r="B287" t="str">
        <f t="shared" si="44"/>
        <v>MarinusPortland</v>
      </c>
      <c r="C287" t="s">
        <v>64</v>
      </c>
      <c r="D287">
        <v>0.05</v>
      </c>
      <c r="E287" t="str">
        <f t="shared" si="45"/>
        <v>Cal-37</v>
      </c>
      <c r="F287" t="s">
        <v>34</v>
      </c>
      <c r="G287" s="105" t="str">
        <f>FinancialWalk!$P$31</f>
        <v>Merchant with PPA and Sold Swap EBIT Discounted</v>
      </c>
      <c r="H287" s="20" cm="1">
        <f t="array" ref="H287">INDEX(Financials!$B$5:$AI$260,FinancialWalk!K287,FinancialWalk!L287)</f>
        <v>6959787.1924062297</v>
      </c>
      <c r="K287">
        <f>SUMIFS(Financials!$A$5:$A$260,Financials!$D$5:$D$260,FinancialWalk!D287,Financials!$E$5:$E$260,FinancialWalk!E287,Financials!$F$5:$F$260,FinancialWalk!F287)</f>
        <v>126</v>
      </c>
      <c r="L287">
        <f t="shared" si="43"/>
        <v>32</v>
      </c>
    </row>
    <row r="288" spans="2:12" x14ac:dyDescent="0.3">
      <c r="B288" t="str">
        <f t="shared" si="44"/>
        <v>MarinusPortland</v>
      </c>
      <c r="C288" t="s">
        <v>64</v>
      </c>
      <c r="D288">
        <v>0.05</v>
      </c>
      <c r="E288" t="str">
        <f t="shared" si="45"/>
        <v>Cal-37</v>
      </c>
      <c r="F288" t="s">
        <v>34</v>
      </c>
      <c r="G288" s="105" t="str">
        <f>FinancialWalk!$P$31</f>
        <v>Merchant with PPA and Sold Swap EBIT Discounted</v>
      </c>
      <c r="H288" s="20" cm="1">
        <f t="array" ref="H288">INDEX(Financials!$B$5:$AI$260,FinancialWalk!K288,FinancialWalk!L288)</f>
        <v>6959787.1924062297</v>
      </c>
      <c r="K288">
        <f>SUMIFS(Financials!$A$5:$A$260,Financials!$D$5:$D$260,FinancialWalk!D288,Financials!$E$5:$E$260,FinancialWalk!E288,Financials!$F$5:$F$260,FinancialWalk!F288)</f>
        <v>126</v>
      </c>
      <c r="L288">
        <f t="shared" si="43"/>
        <v>32</v>
      </c>
    </row>
    <row r="289" spans="2:12" x14ac:dyDescent="0.3">
      <c r="B289" t="str">
        <f t="shared" si="44"/>
        <v>MarinusPortland</v>
      </c>
      <c r="C289" t="s">
        <v>64</v>
      </c>
      <c r="D289">
        <v>0</v>
      </c>
      <c r="E289" t="str">
        <f t="shared" si="45"/>
        <v>Cal-37</v>
      </c>
      <c r="F289" t="s">
        <v>34</v>
      </c>
      <c r="G289" s="105" t="str">
        <f>FinancialWalk!$P$31</f>
        <v>Merchant with PPA and Sold Swap EBIT Discounted</v>
      </c>
      <c r="H289" s="20" cm="1">
        <f t="array" ref="H289">INDEX(Financials!$B$5:$AI$260,FinancialWalk!K289,FinancialWalk!L289)</f>
        <v>-13298389.177309766</v>
      </c>
      <c r="K289">
        <f>SUMIFS(Financials!$A$5:$A$260,Financials!$D$5:$D$260,FinancialWalk!D289,Financials!$E$5:$E$260,FinancialWalk!E289,Financials!$F$5:$F$260,FinancialWalk!F289)</f>
        <v>127</v>
      </c>
      <c r="L289">
        <f t="shared" si="43"/>
        <v>32</v>
      </c>
    </row>
    <row r="290" spans="2:12" x14ac:dyDescent="0.3">
      <c r="B290" t="str">
        <f t="shared" si="44"/>
        <v>MarinusPortland</v>
      </c>
      <c r="C290" t="s">
        <v>64</v>
      </c>
      <c r="D290" t="s">
        <v>24</v>
      </c>
      <c r="E290" t="str">
        <f t="shared" si="45"/>
        <v>Cal-37</v>
      </c>
      <c r="F290" t="s">
        <v>34</v>
      </c>
      <c r="G290" s="105" t="str">
        <f>FinancialWalk!$P$31</f>
        <v>Merchant with PPA and Sold Swap EBIT Discounted</v>
      </c>
      <c r="H290" s="20" cm="1">
        <f t="array" ref="H290">INDEX(Financials!$B$5:$AI$260,FinancialWalk!K290,FinancialWalk!L290)</f>
        <v>20544059.706126757</v>
      </c>
      <c r="K290">
        <f>SUMIFS(Financials!$A$5:$A$260,Financials!$D$5:$D$260,FinancialWalk!D290,Financials!$E$5:$E$260,FinancialWalk!E290,Financials!$F$5:$F$260,FinancialWalk!F290)</f>
        <v>128</v>
      </c>
      <c r="L290">
        <f t="shared" si="43"/>
        <v>32</v>
      </c>
    </row>
    <row r="291" spans="2:12" x14ac:dyDescent="0.3">
      <c r="B291" t="str">
        <f>$B$2</f>
        <v>MarinusPortland</v>
      </c>
      <c r="C291" t="s">
        <v>64</v>
      </c>
      <c r="D291">
        <v>1</v>
      </c>
      <c r="E291" t="s">
        <v>18</v>
      </c>
      <c r="F291" t="s">
        <v>44</v>
      </c>
      <c r="G291" s="105" t="str">
        <f>FinancialWalk!$P$31</f>
        <v>Merchant with PPA and Sold Swap EBIT Discounted</v>
      </c>
      <c r="H291" s="20" cm="1">
        <f t="array" ref="H291">INDEX(Financials!$B$5:$AI$260,FinancialWalk!K291,FinancialWalk!L291)</f>
        <v>55285711.636807352</v>
      </c>
      <c r="K291">
        <f>SUMIFS(Financials!$A$5:$A$260,Financials!$D$5:$D$260,FinancialWalk!D291,Financials!$E$5:$E$260,FinancialWalk!E291,Financials!$F$5:$F$260,FinancialWalk!F291)</f>
        <v>249</v>
      </c>
      <c r="L291">
        <f t="shared" si="43"/>
        <v>32</v>
      </c>
    </row>
    <row r="292" spans="2:12" x14ac:dyDescent="0.3">
      <c r="B292" t="str">
        <f>B291</f>
        <v>MarinusPortland</v>
      </c>
      <c r="C292" t="s">
        <v>64</v>
      </c>
      <c r="D292">
        <v>0.95</v>
      </c>
      <c r="E292" t="str">
        <f>E291</f>
        <v>Cal-37</v>
      </c>
      <c r="F292" t="s">
        <v>44</v>
      </c>
      <c r="G292" s="105" t="str">
        <f>FinancialWalk!$P$31</f>
        <v>Merchant with PPA and Sold Swap EBIT Discounted</v>
      </c>
      <c r="H292" s="20" cm="1">
        <f t="array" ref="H292">INDEX(Financials!$B$5:$AI$260,FinancialWalk!K292,FinancialWalk!L292)</f>
        <v>37393201.221110106</v>
      </c>
      <c r="K292">
        <f>SUMIFS(Financials!$A$5:$A$260,Financials!$D$5:$D$260,FinancialWalk!D292,Financials!$E$5:$E$260,FinancialWalk!E292,Financials!$F$5:$F$260,FinancialWalk!F292)</f>
        <v>250</v>
      </c>
      <c r="L292">
        <f t="shared" si="43"/>
        <v>32</v>
      </c>
    </row>
    <row r="293" spans="2:12" x14ac:dyDescent="0.3">
      <c r="B293" t="str">
        <f t="shared" ref="B293:B312" si="46">B292</f>
        <v>MarinusPortland</v>
      </c>
      <c r="C293" t="s">
        <v>64</v>
      </c>
      <c r="D293">
        <v>0.95</v>
      </c>
      <c r="E293" t="str">
        <f t="shared" ref="E293:E312" si="47">E292</f>
        <v>Cal-37</v>
      </c>
      <c r="F293" t="s">
        <v>44</v>
      </c>
      <c r="G293" s="105" t="str">
        <f>FinancialWalk!$P$31</f>
        <v>Merchant with PPA and Sold Swap EBIT Discounted</v>
      </c>
      <c r="H293" s="20" cm="1">
        <f t="array" ref="H293">INDEX(Financials!$B$5:$AI$260,FinancialWalk!K293,FinancialWalk!L293)</f>
        <v>37393201.221110106</v>
      </c>
      <c r="K293">
        <f>SUMIFS(Financials!$A$5:$A$260,Financials!$D$5:$D$260,FinancialWalk!D293,Financials!$E$5:$E$260,FinancialWalk!E293,Financials!$F$5:$F$260,FinancialWalk!F293)</f>
        <v>250</v>
      </c>
      <c r="L293">
        <f t="shared" si="43"/>
        <v>32</v>
      </c>
    </row>
    <row r="294" spans="2:12" x14ac:dyDescent="0.3">
      <c r="B294" t="str">
        <f t="shared" si="46"/>
        <v>MarinusPortland</v>
      </c>
      <c r="C294" t="s">
        <v>64</v>
      </c>
      <c r="D294">
        <v>0.95</v>
      </c>
      <c r="E294" t="str">
        <f t="shared" si="47"/>
        <v>Cal-37</v>
      </c>
      <c r="F294" t="s">
        <v>44</v>
      </c>
      <c r="G294" s="105" t="str">
        <f>FinancialWalk!$P$31</f>
        <v>Merchant with PPA and Sold Swap EBIT Discounted</v>
      </c>
      <c r="H294" s="20" cm="1">
        <f t="array" ref="H294">INDEX(Financials!$B$5:$AI$260,FinancialWalk!K294,FinancialWalk!L294)</f>
        <v>37393201.221110106</v>
      </c>
      <c r="K294">
        <f>SUMIFS(Financials!$A$5:$A$260,Financials!$D$5:$D$260,FinancialWalk!D294,Financials!$E$5:$E$260,FinancialWalk!E294,Financials!$F$5:$F$260,FinancialWalk!F294)</f>
        <v>250</v>
      </c>
      <c r="L294">
        <f t="shared" si="43"/>
        <v>32</v>
      </c>
    </row>
    <row r="295" spans="2:12" x14ac:dyDescent="0.3">
      <c r="B295" t="str">
        <f t="shared" si="46"/>
        <v>MarinusPortland</v>
      </c>
      <c r="C295" t="s">
        <v>64</v>
      </c>
      <c r="D295">
        <v>0.75</v>
      </c>
      <c r="E295" t="str">
        <f t="shared" si="47"/>
        <v>Cal-37</v>
      </c>
      <c r="F295" t="s">
        <v>44</v>
      </c>
      <c r="G295" s="105" t="str">
        <f>FinancialWalk!$P$31</f>
        <v>Merchant with PPA and Sold Swap EBIT Discounted</v>
      </c>
      <c r="H295" s="20" cm="1">
        <f t="array" ref="H295">INDEX(Financials!$B$5:$AI$260,FinancialWalk!K295,FinancialWalk!L295)</f>
        <v>24900966.015359182</v>
      </c>
      <c r="K295">
        <f>SUMIFS(Financials!$A$5:$A$260,Financials!$D$5:$D$260,FinancialWalk!D295,Financials!$E$5:$E$260,FinancialWalk!E295,Financials!$F$5:$F$260,FinancialWalk!F295)</f>
        <v>251</v>
      </c>
      <c r="L295">
        <f t="shared" si="43"/>
        <v>32</v>
      </c>
    </row>
    <row r="296" spans="2:12" x14ac:dyDescent="0.3">
      <c r="B296" t="str">
        <f t="shared" si="46"/>
        <v>MarinusPortland</v>
      </c>
      <c r="C296" t="s">
        <v>64</v>
      </c>
      <c r="D296">
        <v>0.75</v>
      </c>
      <c r="E296" t="str">
        <f t="shared" si="47"/>
        <v>Cal-37</v>
      </c>
      <c r="F296" t="s">
        <v>44</v>
      </c>
      <c r="G296" s="105" t="str">
        <f>FinancialWalk!$P$31</f>
        <v>Merchant with PPA and Sold Swap EBIT Discounted</v>
      </c>
      <c r="H296" s="20" cm="1">
        <f t="array" ref="H296">INDEX(Financials!$B$5:$AI$260,FinancialWalk!K296,FinancialWalk!L296)</f>
        <v>24900966.015359182</v>
      </c>
      <c r="K296">
        <f>SUMIFS(Financials!$A$5:$A$260,Financials!$D$5:$D$260,FinancialWalk!D296,Financials!$E$5:$E$260,FinancialWalk!E296,Financials!$F$5:$F$260,FinancialWalk!F296)</f>
        <v>251</v>
      </c>
      <c r="L296">
        <f t="shared" si="43"/>
        <v>32</v>
      </c>
    </row>
    <row r="297" spans="2:12" x14ac:dyDescent="0.3">
      <c r="B297" t="str">
        <f t="shared" si="46"/>
        <v>MarinusPortland</v>
      </c>
      <c r="C297" t="s">
        <v>64</v>
      </c>
      <c r="D297">
        <v>0.75</v>
      </c>
      <c r="E297" t="str">
        <f t="shared" si="47"/>
        <v>Cal-37</v>
      </c>
      <c r="F297" t="s">
        <v>44</v>
      </c>
      <c r="G297" s="105" t="str">
        <f>FinancialWalk!$P$31</f>
        <v>Merchant with PPA and Sold Swap EBIT Discounted</v>
      </c>
      <c r="H297" s="20" cm="1">
        <f t="array" ref="H297">INDEX(Financials!$B$5:$AI$260,FinancialWalk!K297,FinancialWalk!L297)</f>
        <v>24900966.015359182</v>
      </c>
      <c r="K297">
        <f>SUMIFS(Financials!$A$5:$A$260,Financials!$D$5:$D$260,FinancialWalk!D297,Financials!$E$5:$E$260,FinancialWalk!E297,Financials!$F$5:$F$260,FinancialWalk!F297)</f>
        <v>251</v>
      </c>
      <c r="L297">
        <f t="shared" si="43"/>
        <v>32</v>
      </c>
    </row>
    <row r="298" spans="2:12" x14ac:dyDescent="0.3">
      <c r="B298" t="str">
        <f t="shared" si="46"/>
        <v>MarinusPortland</v>
      </c>
      <c r="C298" t="s">
        <v>64</v>
      </c>
      <c r="D298">
        <v>0.75</v>
      </c>
      <c r="E298" t="str">
        <f t="shared" si="47"/>
        <v>Cal-37</v>
      </c>
      <c r="F298" t="s">
        <v>44</v>
      </c>
      <c r="G298" s="105" t="str">
        <f>FinancialWalk!$P$31</f>
        <v>Merchant with PPA and Sold Swap EBIT Discounted</v>
      </c>
      <c r="H298" s="20" cm="1">
        <f t="array" ref="H298">INDEX(Financials!$B$5:$AI$260,FinancialWalk!K298,FinancialWalk!L298)</f>
        <v>24900966.015359182</v>
      </c>
      <c r="K298">
        <f>SUMIFS(Financials!$A$5:$A$260,Financials!$D$5:$D$260,FinancialWalk!D298,Financials!$E$5:$E$260,FinancialWalk!E298,Financials!$F$5:$F$260,FinancialWalk!F298)</f>
        <v>251</v>
      </c>
      <c r="L298">
        <f t="shared" si="43"/>
        <v>32</v>
      </c>
    </row>
    <row r="299" spans="2:12" x14ac:dyDescent="0.3">
      <c r="B299" t="str">
        <f t="shared" si="46"/>
        <v>MarinusPortland</v>
      </c>
      <c r="C299" t="s">
        <v>64</v>
      </c>
      <c r="D299">
        <v>0.5</v>
      </c>
      <c r="E299" t="str">
        <f t="shared" si="47"/>
        <v>Cal-37</v>
      </c>
      <c r="F299" t="s">
        <v>44</v>
      </c>
      <c r="G299" s="105" t="str">
        <f>FinancialWalk!$P$31</f>
        <v>Merchant with PPA and Sold Swap EBIT Discounted</v>
      </c>
      <c r="H299" s="20" cm="1">
        <f t="array" ref="H299">INDEX(Financials!$B$5:$AI$260,FinancialWalk!K299,FinancialWalk!L299)</f>
        <v>15965656.734258592</v>
      </c>
      <c r="K299">
        <f>SUMIFS(Financials!$A$5:$A$260,Financials!$D$5:$D$260,FinancialWalk!D299,Financials!$E$5:$E$260,FinancialWalk!E299,Financials!$F$5:$F$260,FinancialWalk!F299)</f>
        <v>252</v>
      </c>
      <c r="L299">
        <f t="shared" si="43"/>
        <v>32</v>
      </c>
    </row>
    <row r="300" spans="2:12" x14ac:dyDescent="0.3">
      <c r="B300" t="str">
        <f t="shared" si="46"/>
        <v>MarinusPortland</v>
      </c>
      <c r="C300" t="s">
        <v>64</v>
      </c>
      <c r="D300">
        <v>0.5</v>
      </c>
      <c r="E300" t="str">
        <f t="shared" si="47"/>
        <v>Cal-37</v>
      </c>
      <c r="F300" t="s">
        <v>44</v>
      </c>
      <c r="G300" s="105" t="str">
        <f>FinancialWalk!$P$31</f>
        <v>Merchant with PPA and Sold Swap EBIT Discounted</v>
      </c>
      <c r="H300" s="20" cm="1">
        <f t="array" ref="H300">INDEX(Financials!$B$5:$AI$260,FinancialWalk!K300,FinancialWalk!L300)</f>
        <v>15965656.734258592</v>
      </c>
      <c r="K300">
        <f>SUMIFS(Financials!$A$5:$A$260,Financials!$D$5:$D$260,FinancialWalk!D300,Financials!$E$5:$E$260,FinancialWalk!E300,Financials!$F$5:$F$260,FinancialWalk!F300)</f>
        <v>252</v>
      </c>
      <c r="L300">
        <f t="shared" si="43"/>
        <v>32</v>
      </c>
    </row>
    <row r="301" spans="2:12" x14ac:dyDescent="0.3">
      <c r="B301" t="str">
        <f t="shared" si="46"/>
        <v>MarinusPortland</v>
      </c>
      <c r="C301" t="s">
        <v>64</v>
      </c>
      <c r="D301">
        <v>0.5</v>
      </c>
      <c r="E301" t="str">
        <f t="shared" si="47"/>
        <v>Cal-37</v>
      </c>
      <c r="F301" t="s">
        <v>44</v>
      </c>
      <c r="G301" s="105" t="str">
        <f>FinancialWalk!$P$31</f>
        <v>Merchant with PPA and Sold Swap EBIT Discounted</v>
      </c>
      <c r="H301" s="20" cm="1">
        <f t="array" ref="H301">INDEX(Financials!$B$5:$AI$260,FinancialWalk!K301,FinancialWalk!L301)</f>
        <v>15965656.734258592</v>
      </c>
      <c r="K301">
        <f>SUMIFS(Financials!$A$5:$A$260,Financials!$D$5:$D$260,FinancialWalk!D301,Financials!$E$5:$E$260,FinancialWalk!E301,Financials!$F$5:$F$260,FinancialWalk!F301)</f>
        <v>252</v>
      </c>
      <c r="L301">
        <f t="shared" si="43"/>
        <v>32</v>
      </c>
    </row>
    <row r="302" spans="2:12" x14ac:dyDescent="0.3">
      <c r="B302" t="str">
        <f t="shared" si="46"/>
        <v>MarinusPortland</v>
      </c>
      <c r="C302" t="s">
        <v>64</v>
      </c>
      <c r="D302">
        <v>0.5</v>
      </c>
      <c r="E302" t="str">
        <f t="shared" si="47"/>
        <v>Cal-37</v>
      </c>
      <c r="F302" t="s">
        <v>44</v>
      </c>
      <c r="G302" s="105" t="str">
        <f>FinancialWalk!$P$31</f>
        <v>Merchant with PPA and Sold Swap EBIT Discounted</v>
      </c>
      <c r="H302" s="20" cm="1">
        <f t="array" ref="H302">INDEX(Financials!$B$5:$AI$260,FinancialWalk!K302,FinancialWalk!L302)</f>
        <v>15965656.734258592</v>
      </c>
      <c r="K302">
        <f>SUMIFS(Financials!$A$5:$A$260,Financials!$D$5:$D$260,FinancialWalk!D302,Financials!$E$5:$E$260,FinancialWalk!E302,Financials!$F$5:$F$260,FinancialWalk!F302)</f>
        <v>252</v>
      </c>
      <c r="L302">
        <f t="shared" si="43"/>
        <v>32</v>
      </c>
    </row>
    <row r="303" spans="2:12" x14ac:dyDescent="0.3">
      <c r="B303" t="str">
        <f t="shared" si="46"/>
        <v>MarinusPortland</v>
      </c>
      <c r="C303" t="s">
        <v>64</v>
      </c>
      <c r="D303">
        <v>0.5</v>
      </c>
      <c r="E303" t="str">
        <f t="shared" si="47"/>
        <v>Cal-37</v>
      </c>
      <c r="F303" t="s">
        <v>44</v>
      </c>
      <c r="G303" s="105" t="str">
        <f>FinancialWalk!$P$31</f>
        <v>Merchant with PPA and Sold Swap EBIT Discounted</v>
      </c>
      <c r="H303" s="20" cm="1">
        <f t="array" ref="H303">INDEX(Financials!$B$5:$AI$260,FinancialWalk!K303,FinancialWalk!L303)</f>
        <v>15965656.734258592</v>
      </c>
      <c r="K303">
        <f>SUMIFS(Financials!$A$5:$A$260,Financials!$D$5:$D$260,FinancialWalk!D303,Financials!$E$5:$E$260,FinancialWalk!E303,Financials!$F$5:$F$260,FinancialWalk!F303)</f>
        <v>252</v>
      </c>
      <c r="L303">
        <f t="shared" si="43"/>
        <v>32</v>
      </c>
    </row>
    <row r="304" spans="2:12" x14ac:dyDescent="0.3">
      <c r="B304" t="str">
        <f t="shared" si="46"/>
        <v>MarinusPortland</v>
      </c>
      <c r="C304" t="s">
        <v>64</v>
      </c>
      <c r="D304">
        <v>0.25</v>
      </c>
      <c r="E304" t="str">
        <f t="shared" si="47"/>
        <v>Cal-37</v>
      </c>
      <c r="F304" t="s">
        <v>44</v>
      </c>
      <c r="G304" s="105" t="str">
        <f>FinancialWalk!$P$31</f>
        <v>Merchant with PPA and Sold Swap EBIT Discounted</v>
      </c>
      <c r="H304" s="20" cm="1">
        <f t="array" ref="H304">INDEX(Financials!$B$5:$AI$260,FinancialWalk!K304,FinancialWalk!L304)</f>
        <v>10520691.178022593</v>
      </c>
      <c r="K304">
        <f>SUMIFS(Financials!$A$5:$A$260,Financials!$D$5:$D$260,FinancialWalk!D304,Financials!$E$5:$E$260,FinancialWalk!E304,Financials!$F$5:$F$260,FinancialWalk!F304)</f>
        <v>253</v>
      </c>
      <c r="L304">
        <f t="shared" si="43"/>
        <v>32</v>
      </c>
    </row>
    <row r="305" spans="2:12" x14ac:dyDescent="0.3">
      <c r="B305" t="str">
        <f t="shared" si="46"/>
        <v>MarinusPortland</v>
      </c>
      <c r="C305" t="s">
        <v>64</v>
      </c>
      <c r="D305">
        <v>0.25</v>
      </c>
      <c r="E305" t="str">
        <f t="shared" si="47"/>
        <v>Cal-37</v>
      </c>
      <c r="F305" t="s">
        <v>44</v>
      </c>
      <c r="G305" s="105" t="str">
        <f>FinancialWalk!$P$31</f>
        <v>Merchant with PPA and Sold Swap EBIT Discounted</v>
      </c>
      <c r="H305" s="20" cm="1">
        <f t="array" ref="H305">INDEX(Financials!$B$5:$AI$260,FinancialWalk!K305,FinancialWalk!L305)</f>
        <v>10520691.178022593</v>
      </c>
      <c r="K305">
        <f>SUMIFS(Financials!$A$5:$A$260,Financials!$D$5:$D$260,FinancialWalk!D305,Financials!$E$5:$E$260,FinancialWalk!E305,Financials!$F$5:$F$260,FinancialWalk!F305)</f>
        <v>253</v>
      </c>
      <c r="L305">
        <f t="shared" si="43"/>
        <v>32</v>
      </c>
    </row>
    <row r="306" spans="2:12" x14ac:dyDescent="0.3">
      <c r="B306" t="str">
        <f t="shared" si="46"/>
        <v>MarinusPortland</v>
      </c>
      <c r="C306" t="s">
        <v>64</v>
      </c>
      <c r="D306">
        <v>0.25</v>
      </c>
      <c r="E306" t="str">
        <f t="shared" si="47"/>
        <v>Cal-37</v>
      </c>
      <c r="F306" t="s">
        <v>44</v>
      </c>
      <c r="G306" s="105" t="str">
        <f>FinancialWalk!$P$31</f>
        <v>Merchant with PPA and Sold Swap EBIT Discounted</v>
      </c>
      <c r="H306" s="20" cm="1">
        <f t="array" ref="H306">INDEX(Financials!$B$5:$AI$260,FinancialWalk!K306,FinancialWalk!L306)</f>
        <v>10520691.178022593</v>
      </c>
      <c r="K306">
        <f>SUMIFS(Financials!$A$5:$A$260,Financials!$D$5:$D$260,FinancialWalk!D306,Financials!$E$5:$E$260,FinancialWalk!E306,Financials!$F$5:$F$260,FinancialWalk!F306)</f>
        <v>253</v>
      </c>
      <c r="L306">
        <f t="shared" si="43"/>
        <v>32</v>
      </c>
    </row>
    <row r="307" spans="2:12" x14ac:dyDescent="0.3">
      <c r="B307" t="str">
        <f t="shared" si="46"/>
        <v>MarinusPortland</v>
      </c>
      <c r="C307" t="s">
        <v>64</v>
      </c>
      <c r="D307">
        <v>0.25</v>
      </c>
      <c r="E307" t="str">
        <f t="shared" si="47"/>
        <v>Cal-37</v>
      </c>
      <c r="F307" t="s">
        <v>44</v>
      </c>
      <c r="G307" s="105" t="str">
        <f>FinancialWalk!$P$31</f>
        <v>Merchant with PPA and Sold Swap EBIT Discounted</v>
      </c>
      <c r="H307" s="20" cm="1">
        <f t="array" ref="H307">INDEX(Financials!$B$5:$AI$260,FinancialWalk!K307,FinancialWalk!L307)</f>
        <v>10520691.178022593</v>
      </c>
      <c r="K307">
        <f>SUMIFS(Financials!$A$5:$A$260,Financials!$D$5:$D$260,FinancialWalk!D307,Financials!$E$5:$E$260,FinancialWalk!E307,Financials!$F$5:$F$260,FinancialWalk!F307)</f>
        <v>253</v>
      </c>
      <c r="L307">
        <f t="shared" si="43"/>
        <v>32</v>
      </c>
    </row>
    <row r="308" spans="2:12" x14ac:dyDescent="0.3">
      <c r="B308" t="str">
        <f t="shared" si="46"/>
        <v>MarinusPortland</v>
      </c>
      <c r="C308" t="s">
        <v>64</v>
      </c>
      <c r="D308">
        <v>0.05</v>
      </c>
      <c r="E308" t="str">
        <f t="shared" si="47"/>
        <v>Cal-37</v>
      </c>
      <c r="F308" t="s">
        <v>44</v>
      </c>
      <c r="G308" s="105" t="str">
        <f>FinancialWalk!$P$31</f>
        <v>Merchant with PPA and Sold Swap EBIT Discounted</v>
      </c>
      <c r="H308" s="20" cm="1">
        <f t="array" ref="H308">INDEX(Financials!$B$5:$AI$260,FinancialWalk!K308,FinancialWalk!L308)</f>
        <v>-21112111.963876471</v>
      </c>
      <c r="K308">
        <f>SUMIFS(Financials!$A$5:$A$260,Financials!$D$5:$D$260,FinancialWalk!D308,Financials!$E$5:$E$260,FinancialWalk!E308,Financials!$F$5:$F$260,FinancialWalk!F308)</f>
        <v>254</v>
      </c>
      <c r="L308">
        <f t="shared" si="43"/>
        <v>32</v>
      </c>
    </row>
    <row r="309" spans="2:12" x14ac:dyDescent="0.3">
      <c r="B309" t="str">
        <f t="shared" si="46"/>
        <v>MarinusPortland</v>
      </c>
      <c r="C309" t="s">
        <v>64</v>
      </c>
      <c r="D309">
        <v>0.05</v>
      </c>
      <c r="E309" t="str">
        <f t="shared" si="47"/>
        <v>Cal-37</v>
      </c>
      <c r="F309" t="s">
        <v>44</v>
      </c>
      <c r="G309" s="105" t="str">
        <f>FinancialWalk!$P$31</f>
        <v>Merchant with PPA and Sold Swap EBIT Discounted</v>
      </c>
      <c r="H309" s="20" cm="1">
        <f t="array" ref="H309">INDEX(Financials!$B$5:$AI$260,FinancialWalk!K309,FinancialWalk!L309)</f>
        <v>-21112111.963876471</v>
      </c>
      <c r="K309">
        <f>SUMIFS(Financials!$A$5:$A$260,Financials!$D$5:$D$260,FinancialWalk!D309,Financials!$E$5:$E$260,FinancialWalk!E309,Financials!$F$5:$F$260,FinancialWalk!F309)</f>
        <v>254</v>
      </c>
      <c r="L309">
        <f t="shared" si="43"/>
        <v>32</v>
      </c>
    </row>
    <row r="310" spans="2:12" x14ac:dyDescent="0.3">
      <c r="B310" t="str">
        <f t="shared" si="46"/>
        <v>MarinusPortland</v>
      </c>
      <c r="C310" t="s">
        <v>64</v>
      </c>
      <c r="D310">
        <v>0.05</v>
      </c>
      <c r="E310" t="str">
        <f t="shared" si="47"/>
        <v>Cal-37</v>
      </c>
      <c r="F310" t="s">
        <v>44</v>
      </c>
      <c r="G310" s="105" t="str">
        <f>FinancialWalk!$P$31</f>
        <v>Merchant with PPA and Sold Swap EBIT Discounted</v>
      </c>
      <c r="H310" s="20" cm="1">
        <f t="array" ref="H310">INDEX(Financials!$B$5:$AI$260,FinancialWalk!K310,FinancialWalk!L310)</f>
        <v>-21112111.963876471</v>
      </c>
      <c r="K310">
        <f>SUMIFS(Financials!$A$5:$A$260,Financials!$D$5:$D$260,FinancialWalk!D310,Financials!$E$5:$E$260,FinancialWalk!E310,Financials!$F$5:$F$260,FinancialWalk!F310)</f>
        <v>254</v>
      </c>
      <c r="L310">
        <f t="shared" si="43"/>
        <v>32</v>
      </c>
    </row>
    <row r="311" spans="2:12" x14ac:dyDescent="0.3">
      <c r="B311" t="str">
        <f t="shared" si="46"/>
        <v>MarinusPortland</v>
      </c>
      <c r="C311" t="s">
        <v>64</v>
      </c>
      <c r="D311">
        <v>0</v>
      </c>
      <c r="E311" t="str">
        <f t="shared" si="47"/>
        <v>Cal-37</v>
      </c>
      <c r="F311" t="s">
        <v>44</v>
      </c>
      <c r="G311" s="105" t="str">
        <f>FinancialWalk!$P$31</f>
        <v>Merchant with PPA and Sold Swap EBIT Discounted</v>
      </c>
      <c r="H311" s="20" cm="1">
        <f t="array" ref="H311">INDEX(Financials!$B$5:$AI$260,FinancialWalk!K311,FinancialWalk!L311)</f>
        <v>-54230675.285494745</v>
      </c>
      <c r="K311">
        <f>SUMIFS(Financials!$A$5:$A$260,Financials!$D$5:$D$260,FinancialWalk!D311,Financials!$E$5:$E$260,FinancialWalk!E311,Financials!$F$5:$F$260,FinancialWalk!F311)</f>
        <v>255</v>
      </c>
      <c r="L311">
        <f t="shared" si="43"/>
        <v>32</v>
      </c>
    </row>
    <row r="312" spans="2:12" x14ac:dyDescent="0.3">
      <c r="B312" t="str">
        <f t="shared" si="46"/>
        <v>MarinusPortland</v>
      </c>
      <c r="C312" t="s">
        <v>64</v>
      </c>
      <c r="D312" t="s">
        <v>24</v>
      </c>
      <c r="E312" t="str">
        <f t="shared" si="47"/>
        <v>Cal-37</v>
      </c>
      <c r="F312" t="s">
        <v>44</v>
      </c>
      <c r="G312" s="105" t="str">
        <f>FinancialWalk!$P$31</f>
        <v>Merchant with PPA and Sold Swap EBIT Discounted</v>
      </c>
      <c r="H312" s="20" cm="1">
        <f t="array" ref="H312">INDEX(Financials!$B$5:$AI$260,FinancialWalk!K312,FinancialWalk!L312)</f>
        <v>18877559.02927278</v>
      </c>
      <c r="K312">
        <f>SUMIFS(Financials!$A$5:$A$260,Financials!$D$5:$D$260,FinancialWalk!D312,Financials!$E$5:$E$260,FinancialWalk!E312,Financials!$F$5:$F$260,FinancialWalk!F312)</f>
        <v>256</v>
      </c>
      <c r="L312">
        <f t="shared" si="43"/>
        <v>32</v>
      </c>
    </row>
    <row r="313" spans="2:12" x14ac:dyDescent="0.3">
      <c r="B313" t="str">
        <f>$B$2</f>
        <v>MarinusPortland</v>
      </c>
      <c r="C313" t="s">
        <v>64</v>
      </c>
      <c r="D313">
        <v>1</v>
      </c>
      <c r="E313" t="s">
        <v>18</v>
      </c>
      <c r="F313" t="s">
        <v>34</v>
      </c>
      <c r="G313" s="105" t="str">
        <f t="shared" ref="G313:G356" si="48">$P$32</f>
        <v>Merchant with PPA and Sold Swap NPV</v>
      </c>
      <c r="H313" s="20" cm="1">
        <f t="array" ref="H313">INDEX(Financials!$B$5:$AI$260,FinancialWalk!K313,FinancialWalk!L313)</f>
        <v>134430923.28695294</v>
      </c>
      <c r="K313">
        <f>SUMIFS(Financials!$A$5:$A$260,Financials!$D$5:$D$260,FinancialWalk!D313,Financials!$E$5:$E$260,FinancialWalk!E313,Financials!$F$5:$F$260,FinancialWalk!F313)</f>
        <v>121</v>
      </c>
      <c r="L313">
        <f t="shared" si="43"/>
        <v>33</v>
      </c>
    </row>
    <row r="314" spans="2:12" x14ac:dyDescent="0.3">
      <c r="B314" t="str">
        <f>B313</f>
        <v>MarinusPortland</v>
      </c>
      <c r="C314" t="s">
        <v>64</v>
      </c>
      <c r="D314">
        <v>0.95</v>
      </c>
      <c r="E314" t="str">
        <f>E313</f>
        <v>Cal-37</v>
      </c>
      <c r="F314" t="s">
        <v>34</v>
      </c>
      <c r="G314" s="105" t="str">
        <f t="shared" si="48"/>
        <v>Merchant with PPA and Sold Swap NPV</v>
      </c>
      <c r="H314" s="20" cm="1">
        <f t="array" ref="H314">INDEX(Financials!$B$5:$AI$260,FinancialWalk!K314,FinancialWalk!L314)</f>
        <v>60759596.033431321</v>
      </c>
      <c r="K314">
        <f>SUMIFS(Financials!$A$5:$A$260,Financials!$D$5:$D$260,FinancialWalk!D314,Financials!$E$5:$E$260,FinancialWalk!E314,Financials!$F$5:$F$260,FinancialWalk!F314)</f>
        <v>122</v>
      </c>
      <c r="L314">
        <f t="shared" si="43"/>
        <v>33</v>
      </c>
    </row>
    <row r="315" spans="2:12" x14ac:dyDescent="0.3">
      <c r="B315" t="str">
        <f t="shared" ref="B315:B334" si="49">B314</f>
        <v>MarinusPortland</v>
      </c>
      <c r="C315" t="s">
        <v>64</v>
      </c>
      <c r="D315">
        <v>0.95</v>
      </c>
      <c r="E315" t="str">
        <f t="shared" ref="E315:E334" si="50">E314</f>
        <v>Cal-37</v>
      </c>
      <c r="F315" t="s">
        <v>34</v>
      </c>
      <c r="G315" s="105" t="str">
        <f t="shared" si="48"/>
        <v>Merchant with PPA and Sold Swap NPV</v>
      </c>
      <c r="H315" s="20" cm="1">
        <f t="array" ref="H315">INDEX(Financials!$B$5:$AI$260,FinancialWalk!K315,FinancialWalk!L315)</f>
        <v>60759596.033431321</v>
      </c>
      <c r="K315">
        <f>SUMIFS(Financials!$A$5:$A$260,Financials!$D$5:$D$260,FinancialWalk!D315,Financials!$E$5:$E$260,FinancialWalk!E315,Financials!$F$5:$F$260,FinancialWalk!F315)</f>
        <v>122</v>
      </c>
      <c r="L315">
        <f t="shared" si="43"/>
        <v>33</v>
      </c>
    </row>
    <row r="316" spans="2:12" x14ac:dyDescent="0.3">
      <c r="B316" t="str">
        <f t="shared" si="49"/>
        <v>MarinusPortland</v>
      </c>
      <c r="C316" t="s">
        <v>64</v>
      </c>
      <c r="D316">
        <v>0.95</v>
      </c>
      <c r="E316" t="str">
        <f t="shared" si="50"/>
        <v>Cal-37</v>
      </c>
      <c r="F316" t="s">
        <v>34</v>
      </c>
      <c r="G316" s="105" t="str">
        <f t="shared" si="48"/>
        <v>Merchant with PPA and Sold Swap NPV</v>
      </c>
      <c r="H316" s="20" cm="1">
        <f t="array" ref="H316">INDEX(Financials!$B$5:$AI$260,FinancialWalk!K316,FinancialWalk!L316)</f>
        <v>60759596.033431321</v>
      </c>
      <c r="K316">
        <f>SUMIFS(Financials!$A$5:$A$260,Financials!$D$5:$D$260,FinancialWalk!D316,Financials!$E$5:$E$260,FinancialWalk!E316,Financials!$F$5:$F$260,FinancialWalk!F316)</f>
        <v>122</v>
      </c>
      <c r="L316">
        <f t="shared" si="43"/>
        <v>33</v>
      </c>
    </row>
    <row r="317" spans="2:12" x14ac:dyDescent="0.3">
      <c r="B317" t="str">
        <f t="shared" si="49"/>
        <v>MarinusPortland</v>
      </c>
      <c r="C317" t="s">
        <v>64</v>
      </c>
      <c r="D317">
        <v>0.75</v>
      </c>
      <c r="E317" t="str">
        <f t="shared" si="50"/>
        <v>Cal-37</v>
      </c>
      <c r="F317" t="s">
        <v>34</v>
      </c>
      <c r="G317" s="105" t="str">
        <f t="shared" si="48"/>
        <v>Merchant with PPA and Sold Swap NPV</v>
      </c>
      <c r="H317" s="20" cm="1">
        <f t="array" ref="H317">INDEX(Financials!$B$5:$AI$260,FinancialWalk!K317,FinancialWalk!L317)</f>
        <v>24963699.529959101</v>
      </c>
      <c r="K317">
        <f>SUMIFS(Financials!$A$5:$A$260,Financials!$D$5:$D$260,FinancialWalk!D317,Financials!$E$5:$E$260,FinancialWalk!E317,Financials!$F$5:$F$260,FinancialWalk!F317)</f>
        <v>123</v>
      </c>
      <c r="L317">
        <f t="shared" si="43"/>
        <v>33</v>
      </c>
    </row>
    <row r="318" spans="2:12" x14ac:dyDescent="0.3">
      <c r="B318" t="str">
        <f t="shared" si="49"/>
        <v>MarinusPortland</v>
      </c>
      <c r="C318" t="s">
        <v>64</v>
      </c>
      <c r="D318">
        <v>0.75</v>
      </c>
      <c r="E318" t="str">
        <f t="shared" si="50"/>
        <v>Cal-37</v>
      </c>
      <c r="F318" t="s">
        <v>34</v>
      </c>
      <c r="G318" s="105" t="str">
        <f t="shared" si="48"/>
        <v>Merchant with PPA and Sold Swap NPV</v>
      </c>
      <c r="H318" s="20" cm="1">
        <f t="array" ref="H318">INDEX(Financials!$B$5:$AI$260,FinancialWalk!K318,FinancialWalk!L318)</f>
        <v>24963699.529959101</v>
      </c>
      <c r="K318">
        <f>SUMIFS(Financials!$A$5:$A$260,Financials!$D$5:$D$260,FinancialWalk!D318,Financials!$E$5:$E$260,FinancialWalk!E318,Financials!$F$5:$F$260,FinancialWalk!F318)</f>
        <v>123</v>
      </c>
      <c r="L318">
        <f t="shared" si="43"/>
        <v>33</v>
      </c>
    </row>
    <row r="319" spans="2:12" x14ac:dyDescent="0.3">
      <c r="B319" t="str">
        <f t="shared" si="49"/>
        <v>MarinusPortland</v>
      </c>
      <c r="C319" t="s">
        <v>64</v>
      </c>
      <c r="D319">
        <v>0.75</v>
      </c>
      <c r="E319" t="str">
        <f t="shared" si="50"/>
        <v>Cal-37</v>
      </c>
      <c r="F319" t="s">
        <v>34</v>
      </c>
      <c r="G319" s="105" t="str">
        <f t="shared" si="48"/>
        <v>Merchant with PPA and Sold Swap NPV</v>
      </c>
      <c r="H319" s="20" cm="1">
        <f t="array" ref="H319">INDEX(Financials!$B$5:$AI$260,FinancialWalk!K319,FinancialWalk!L319)</f>
        <v>24963699.529959101</v>
      </c>
      <c r="K319">
        <f>SUMIFS(Financials!$A$5:$A$260,Financials!$D$5:$D$260,FinancialWalk!D319,Financials!$E$5:$E$260,FinancialWalk!E319,Financials!$F$5:$F$260,FinancialWalk!F319)</f>
        <v>123</v>
      </c>
      <c r="L319">
        <f t="shared" si="43"/>
        <v>33</v>
      </c>
    </row>
    <row r="320" spans="2:12" x14ac:dyDescent="0.3">
      <c r="B320" t="str">
        <f t="shared" si="49"/>
        <v>MarinusPortland</v>
      </c>
      <c r="C320" t="s">
        <v>64</v>
      </c>
      <c r="D320">
        <v>0.75</v>
      </c>
      <c r="E320" t="str">
        <f t="shared" si="50"/>
        <v>Cal-37</v>
      </c>
      <c r="F320" t="s">
        <v>34</v>
      </c>
      <c r="G320" s="105" t="str">
        <f t="shared" si="48"/>
        <v>Merchant with PPA and Sold Swap NPV</v>
      </c>
      <c r="H320" s="20" cm="1">
        <f t="array" ref="H320">INDEX(Financials!$B$5:$AI$260,FinancialWalk!K320,FinancialWalk!L320)</f>
        <v>24963699.529959101</v>
      </c>
      <c r="K320">
        <f>SUMIFS(Financials!$A$5:$A$260,Financials!$D$5:$D$260,FinancialWalk!D320,Financials!$E$5:$E$260,FinancialWalk!E320,Financials!$F$5:$F$260,FinancialWalk!F320)</f>
        <v>123</v>
      </c>
      <c r="L320">
        <f t="shared" si="43"/>
        <v>33</v>
      </c>
    </row>
    <row r="321" spans="2:12" x14ac:dyDescent="0.3">
      <c r="B321" t="str">
        <f t="shared" si="49"/>
        <v>MarinusPortland</v>
      </c>
      <c r="C321" t="s">
        <v>64</v>
      </c>
      <c r="D321">
        <v>0.5</v>
      </c>
      <c r="E321" t="str">
        <f t="shared" si="50"/>
        <v>Cal-37</v>
      </c>
      <c r="F321" t="s">
        <v>34</v>
      </c>
      <c r="G321" s="105" t="str">
        <f t="shared" si="48"/>
        <v>Merchant with PPA and Sold Swap NPV</v>
      </c>
      <c r="H321" s="20" cm="1">
        <f t="array" ref="H321">INDEX(Financials!$B$5:$AI$260,FinancialWalk!K321,FinancialWalk!L321)</f>
        <v>2355072.657411268</v>
      </c>
      <c r="K321">
        <f>SUMIFS(Financials!$A$5:$A$260,Financials!$D$5:$D$260,FinancialWalk!D321,Financials!$E$5:$E$260,FinancialWalk!E321,Financials!$F$5:$F$260,FinancialWalk!F321)</f>
        <v>124</v>
      </c>
      <c r="L321">
        <f t="shared" si="43"/>
        <v>33</v>
      </c>
    </row>
    <row r="322" spans="2:12" x14ac:dyDescent="0.3">
      <c r="B322" t="str">
        <f t="shared" si="49"/>
        <v>MarinusPortland</v>
      </c>
      <c r="C322" t="s">
        <v>64</v>
      </c>
      <c r="D322">
        <v>0.5</v>
      </c>
      <c r="E322" t="str">
        <f t="shared" si="50"/>
        <v>Cal-37</v>
      </c>
      <c r="F322" t="s">
        <v>34</v>
      </c>
      <c r="G322" s="105" t="str">
        <f t="shared" si="48"/>
        <v>Merchant with PPA and Sold Swap NPV</v>
      </c>
      <c r="H322" s="20" cm="1">
        <f t="array" ref="H322">INDEX(Financials!$B$5:$AI$260,FinancialWalk!K322,FinancialWalk!L322)</f>
        <v>2355072.657411268</v>
      </c>
      <c r="K322">
        <f>SUMIFS(Financials!$A$5:$A$260,Financials!$D$5:$D$260,FinancialWalk!D322,Financials!$E$5:$E$260,FinancialWalk!E322,Financials!$F$5:$F$260,FinancialWalk!F322)</f>
        <v>124</v>
      </c>
      <c r="L322">
        <f t="shared" si="43"/>
        <v>33</v>
      </c>
    </row>
    <row r="323" spans="2:12" x14ac:dyDescent="0.3">
      <c r="B323" t="str">
        <f t="shared" si="49"/>
        <v>MarinusPortland</v>
      </c>
      <c r="C323" t="s">
        <v>64</v>
      </c>
      <c r="D323">
        <v>0.5</v>
      </c>
      <c r="E323" t="str">
        <f t="shared" si="50"/>
        <v>Cal-37</v>
      </c>
      <c r="F323" t="s">
        <v>34</v>
      </c>
      <c r="G323" s="105" t="str">
        <f t="shared" si="48"/>
        <v>Merchant with PPA and Sold Swap NPV</v>
      </c>
      <c r="H323" s="20" cm="1">
        <f t="array" ref="H323">INDEX(Financials!$B$5:$AI$260,FinancialWalk!K323,FinancialWalk!L323)</f>
        <v>2355072.657411268</v>
      </c>
      <c r="K323">
        <f>SUMIFS(Financials!$A$5:$A$260,Financials!$D$5:$D$260,FinancialWalk!D323,Financials!$E$5:$E$260,FinancialWalk!E323,Financials!$F$5:$F$260,FinancialWalk!F323)</f>
        <v>124</v>
      </c>
      <c r="L323">
        <f t="shared" si="43"/>
        <v>33</v>
      </c>
    </row>
    <row r="324" spans="2:12" x14ac:dyDescent="0.3">
      <c r="B324" t="str">
        <f t="shared" si="49"/>
        <v>MarinusPortland</v>
      </c>
      <c r="C324" t="s">
        <v>64</v>
      </c>
      <c r="D324">
        <v>0.5</v>
      </c>
      <c r="E324" t="str">
        <f t="shared" si="50"/>
        <v>Cal-37</v>
      </c>
      <c r="F324" t="s">
        <v>34</v>
      </c>
      <c r="G324" s="105" t="str">
        <f t="shared" si="48"/>
        <v>Merchant with PPA and Sold Swap NPV</v>
      </c>
      <c r="H324" s="20" cm="1">
        <f t="array" ref="H324">INDEX(Financials!$B$5:$AI$260,FinancialWalk!K324,FinancialWalk!L324)</f>
        <v>2355072.657411268</v>
      </c>
      <c r="K324">
        <f>SUMIFS(Financials!$A$5:$A$260,Financials!$D$5:$D$260,FinancialWalk!D324,Financials!$E$5:$E$260,FinancialWalk!E324,Financials!$F$5:$F$260,FinancialWalk!F324)</f>
        <v>124</v>
      </c>
      <c r="L324">
        <f t="shared" si="43"/>
        <v>33</v>
      </c>
    </row>
    <row r="325" spans="2:12" x14ac:dyDescent="0.3">
      <c r="B325" t="str">
        <f t="shared" si="49"/>
        <v>MarinusPortland</v>
      </c>
      <c r="C325" t="s">
        <v>64</v>
      </c>
      <c r="D325">
        <v>0.5</v>
      </c>
      <c r="E325" t="str">
        <f t="shared" si="50"/>
        <v>Cal-37</v>
      </c>
      <c r="F325" t="s">
        <v>34</v>
      </c>
      <c r="G325" s="105" t="str">
        <f t="shared" si="48"/>
        <v>Merchant with PPA and Sold Swap NPV</v>
      </c>
      <c r="H325" s="20" cm="1">
        <f t="array" ref="H325">INDEX(Financials!$B$5:$AI$260,FinancialWalk!K325,FinancialWalk!L325)</f>
        <v>2355072.657411268</v>
      </c>
      <c r="K325">
        <f>SUMIFS(Financials!$A$5:$A$260,Financials!$D$5:$D$260,FinancialWalk!D325,Financials!$E$5:$E$260,FinancialWalk!E325,Financials!$F$5:$F$260,FinancialWalk!F325)</f>
        <v>124</v>
      </c>
      <c r="L325">
        <f t="shared" ref="L325:L388" si="51">VLOOKUP(G325,$P$5:$Q$33,2,FALSE)</f>
        <v>33</v>
      </c>
    </row>
    <row r="326" spans="2:12" x14ac:dyDescent="0.3">
      <c r="B326" t="str">
        <f t="shared" si="49"/>
        <v>MarinusPortland</v>
      </c>
      <c r="C326" t="s">
        <v>64</v>
      </c>
      <c r="D326">
        <v>0.25</v>
      </c>
      <c r="E326" t="str">
        <f t="shared" si="50"/>
        <v>Cal-37</v>
      </c>
      <c r="F326" t="s">
        <v>34</v>
      </c>
      <c r="G326" s="105" t="str">
        <f t="shared" si="48"/>
        <v>Merchant with PPA and Sold Swap NPV</v>
      </c>
      <c r="H326" s="20" cm="1">
        <f t="array" ref="H326">INDEX(Financials!$B$5:$AI$260,FinancialWalk!K326,FinancialWalk!L326)</f>
        <v>-16198629.28348624</v>
      </c>
      <c r="K326">
        <f>SUMIFS(Financials!$A$5:$A$260,Financials!$D$5:$D$260,FinancialWalk!D326,Financials!$E$5:$E$260,FinancialWalk!E326,Financials!$F$5:$F$260,FinancialWalk!F326)</f>
        <v>125</v>
      </c>
      <c r="L326">
        <f t="shared" si="51"/>
        <v>33</v>
      </c>
    </row>
    <row r="327" spans="2:12" x14ac:dyDescent="0.3">
      <c r="B327" t="str">
        <f t="shared" si="49"/>
        <v>MarinusPortland</v>
      </c>
      <c r="C327" t="s">
        <v>64</v>
      </c>
      <c r="D327">
        <v>0.25</v>
      </c>
      <c r="E327" t="str">
        <f t="shared" si="50"/>
        <v>Cal-37</v>
      </c>
      <c r="F327" t="s">
        <v>34</v>
      </c>
      <c r="G327" s="105" t="str">
        <f t="shared" si="48"/>
        <v>Merchant with PPA and Sold Swap NPV</v>
      </c>
      <c r="H327" s="20" cm="1">
        <f t="array" ref="H327">INDEX(Financials!$B$5:$AI$260,FinancialWalk!K327,FinancialWalk!L327)</f>
        <v>-16198629.28348624</v>
      </c>
      <c r="K327">
        <f>SUMIFS(Financials!$A$5:$A$260,Financials!$D$5:$D$260,FinancialWalk!D327,Financials!$E$5:$E$260,FinancialWalk!E327,Financials!$F$5:$F$260,FinancialWalk!F327)</f>
        <v>125</v>
      </c>
      <c r="L327">
        <f t="shared" si="51"/>
        <v>33</v>
      </c>
    </row>
    <row r="328" spans="2:12" x14ac:dyDescent="0.3">
      <c r="B328" t="str">
        <f t="shared" si="49"/>
        <v>MarinusPortland</v>
      </c>
      <c r="C328" t="s">
        <v>64</v>
      </c>
      <c r="D328">
        <v>0.25</v>
      </c>
      <c r="E328" t="str">
        <f t="shared" si="50"/>
        <v>Cal-37</v>
      </c>
      <c r="F328" t="s">
        <v>34</v>
      </c>
      <c r="G328" s="105" t="str">
        <f t="shared" si="48"/>
        <v>Merchant with PPA and Sold Swap NPV</v>
      </c>
      <c r="H328" s="20" cm="1">
        <f t="array" ref="H328">INDEX(Financials!$B$5:$AI$260,FinancialWalk!K328,FinancialWalk!L328)</f>
        <v>-16198629.28348624</v>
      </c>
      <c r="K328">
        <f>SUMIFS(Financials!$A$5:$A$260,Financials!$D$5:$D$260,FinancialWalk!D328,Financials!$E$5:$E$260,FinancialWalk!E328,Financials!$F$5:$F$260,FinancialWalk!F328)</f>
        <v>125</v>
      </c>
      <c r="L328">
        <f t="shared" si="51"/>
        <v>33</v>
      </c>
    </row>
    <row r="329" spans="2:12" x14ac:dyDescent="0.3">
      <c r="B329" t="str">
        <f t="shared" si="49"/>
        <v>MarinusPortland</v>
      </c>
      <c r="C329" t="s">
        <v>64</v>
      </c>
      <c r="D329">
        <v>0.25</v>
      </c>
      <c r="E329" t="str">
        <f t="shared" si="50"/>
        <v>Cal-37</v>
      </c>
      <c r="F329" t="s">
        <v>34</v>
      </c>
      <c r="G329" s="105" t="str">
        <f t="shared" si="48"/>
        <v>Merchant with PPA and Sold Swap NPV</v>
      </c>
      <c r="H329" s="20" cm="1">
        <f t="array" ref="H329">INDEX(Financials!$B$5:$AI$260,FinancialWalk!K329,FinancialWalk!L329)</f>
        <v>-16198629.28348624</v>
      </c>
      <c r="K329">
        <f>SUMIFS(Financials!$A$5:$A$260,Financials!$D$5:$D$260,FinancialWalk!D329,Financials!$E$5:$E$260,FinancialWalk!E329,Financials!$F$5:$F$260,FinancialWalk!F329)</f>
        <v>125</v>
      </c>
      <c r="L329">
        <f t="shared" si="51"/>
        <v>33</v>
      </c>
    </row>
    <row r="330" spans="2:12" x14ac:dyDescent="0.3">
      <c r="B330" t="str">
        <f t="shared" si="49"/>
        <v>MarinusPortland</v>
      </c>
      <c r="C330" t="s">
        <v>64</v>
      </c>
      <c r="D330">
        <v>0.05</v>
      </c>
      <c r="E330" t="str">
        <f t="shared" si="50"/>
        <v>Cal-37</v>
      </c>
      <c r="F330" t="s">
        <v>34</v>
      </c>
      <c r="G330" s="105" t="str">
        <f t="shared" si="48"/>
        <v>Merchant with PPA and Sold Swap NPV</v>
      </c>
      <c r="H330" s="20" cm="1">
        <f t="array" ref="H330">INDEX(Financials!$B$5:$AI$260,FinancialWalk!K330,FinancialWalk!L330)</f>
        <v>-37014841.902748123</v>
      </c>
      <c r="K330">
        <f>SUMIFS(Financials!$A$5:$A$260,Financials!$D$5:$D$260,FinancialWalk!D330,Financials!$E$5:$E$260,FinancialWalk!E330,Financials!$F$5:$F$260,FinancialWalk!F330)</f>
        <v>126</v>
      </c>
      <c r="L330">
        <f t="shared" si="51"/>
        <v>33</v>
      </c>
    </row>
    <row r="331" spans="2:12" x14ac:dyDescent="0.3">
      <c r="B331" t="str">
        <f t="shared" si="49"/>
        <v>MarinusPortland</v>
      </c>
      <c r="C331" t="s">
        <v>64</v>
      </c>
      <c r="D331">
        <v>0.05</v>
      </c>
      <c r="E331" t="str">
        <f t="shared" si="50"/>
        <v>Cal-37</v>
      </c>
      <c r="F331" t="s">
        <v>34</v>
      </c>
      <c r="G331" s="105" t="str">
        <f t="shared" si="48"/>
        <v>Merchant with PPA and Sold Swap NPV</v>
      </c>
      <c r="H331" s="20" cm="1">
        <f t="array" ref="H331">INDEX(Financials!$B$5:$AI$260,FinancialWalk!K331,FinancialWalk!L331)</f>
        <v>-37014841.902748123</v>
      </c>
      <c r="K331">
        <f>SUMIFS(Financials!$A$5:$A$260,Financials!$D$5:$D$260,FinancialWalk!D331,Financials!$E$5:$E$260,FinancialWalk!E331,Financials!$F$5:$F$260,FinancialWalk!F331)</f>
        <v>126</v>
      </c>
      <c r="L331">
        <f t="shared" si="51"/>
        <v>33</v>
      </c>
    </row>
    <row r="332" spans="2:12" x14ac:dyDescent="0.3">
      <c r="B332" t="str">
        <f t="shared" si="49"/>
        <v>MarinusPortland</v>
      </c>
      <c r="C332" t="s">
        <v>64</v>
      </c>
      <c r="D332">
        <v>0.05</v>
      </c>
      <c r="E332" t="str">
        <f t="shared" si="50"/>
        <v>Cal-37</v>
      </c>
      <c r="F332" t="s">
        <v>34</v>
      </c>
      <c r="G332" s="105" t="str">
        <f t="shared" si="48"/>
        <v>Merchant with PPA and Sold Swap NPV</v>
      </c>
      <c r="H332" s="20" cm="1">
        <f t="array" ref="H332">INDEX(Financials!$B$5:$AI$260,FinancialWalk!K332,FinancialWalk!L332)</f>
        <v>-37014841.902748123</v>
      </c>
      <c r="K332">
        <f>SUMIFS(Financials!$A$5:$A$260,Financials!$D$5:$D$260,FinancialWalk!D332,Financials!$E$5:$E$260,FinancialWalk!E332,Financials!$F$5:$F$260,FinancialWalk!F332)</f>
        <v>126</v>
      </c>
      <c r="L332">
        <f t="shared" si="51"/>
        <v>33</v>
      </c>
    </row>
    <row r="333" spans="2:12" x14ac:dyDescent="0.3">
      <c r="B333" t="str">
        <f t="shared" si="49"/>
        <v>MarinusPortland</v>
      </c>
      <c r="C333" t="s">
        <v>64</v>
      </c>
      <c r="D333">
        <v>0</v>
      </c>
      <c r="E333" t="str">
        <f t="shared" si="50"/>
        <v>Cal-37</v>
      </c>
      <c r="F333" t="s">
        <v>34</v>
      </c>
      <c r="G333" s="105" t="str">
        <f t="shared" si="48"/>
        <v>Merchant with PPA and Sold Swap NPV</v>
      </c>
      <c r="H333" s="20" cm="1">
        <f t="array" ref="H333">INDEX(Financials!$B$5:$AI$260,FinancialWalk!K333,FinancialWalk!L333)</f>
        <v>-79707934.924278021</v>
      </c>
      <c r="K333">
        <f>SUMIFS(Financials!$A$5:$A$260,Financials!$D$5:$D$260,FinancialWalk!D333,Financials!$E$5:$E$260,FinancialWalk!E333,Financials!$F$5:$F$260,FinancialWalk!F333)</f>
        <v>127</v>
      </c>
      <c r="L333">
        <f t="shared" si="51"/>
        <v>33</v>
      </c>
    </row>
    <row r="334" spans="2:12" x14ac:dyDescent="0.3">
      <c r="B334" t="str">
        <f t="shared" si="49"/>
        <v>MarinusPortland</v>
      </c>
      <c r="C334" t="s">
        <v>64</v>
      </c>
      <c r="D334" t="s">
        <v>24</v>
      </c>
      <c r="E334" t="str">
        <f t="shared" si="50"/>
        <v>Cal-37</v>
      </c>
      <c r="F334" t="s">
        <v>34</v>
      </c>
      <c r="G334" s="105" t="str">
        <f t="shared" si="48"/>
        <v>Merchant with PPA and Sold Swap NPV</v>
      </c>
      <c r="H334" s="20" cm="1">
        <f t="array" ref="H334">INDEX(Financials!$B$5:$AI$260,FinancialWalk!K334,FinancialWalk!L334)</f>
        <v>6176873.2629439617</v>
      </c>
      <c r="K334">
        <f>SUMIFS(Financials!$A$5:$A$260,Financials!$D$5:$D$260,FinancialWalk!D334,Financials!$E$5:$E$260,FinancialWalk!E334,Financials!$F$5:$F$260,FinancialWalk!F334)</f>
        <v>128</v>
      </c>
      <c r="L334">
        <f t="shared" si="51"/>
        <v>33</v>
      </c>
    </row>
    <row r="335" spans="2:12" x14ac:dyDescent="0.3">
      <c r="B335" t="str">
        <f>$B$2</f>
        <v>MarinusPortland</v>
      </c>
      <c r="C335" t="s">
        <v>64</v>
      </c>
      <c r="D335">
        <v>1</v>
      </c>
      <c r="E335" t="s">
        <v>18</v>
      </c>
      <c r="F335" t="s">
        <v>44</v>
      </c>
      <c r="G335" s="105" t="str">
        <f t="shared" si="48"/>
        <v>Merchant with PPA and Sold Swap NPV</v>
      </c>
      <c r="H335" s="20" cm="1">
        <f t="array" ref="H335">INDEX(Financials!$B$5:$AI$260,FinancialWalk!K335,FinancialWalk!L335)</f>
        <v>111296077.41303626</v>
      </c>
      <c r="K335">
        <f>SUMIFS(Financials!$A$5:$A$260,Financials!$D$5:$D$260,FinancialWalk!D335,Financials!$E$5:$E$260,FinancialWalk!E335,Financials!$F$5:$F$260,FinancialWalk!F335)</f>
        <v>249</v>
      </c>
      <c r="L335">
        <f t="shared" si="51"/>
        <v>33</v>
      </c>
    </row>
    <row r="336" spans="2:12" x14ac:dyDescent="0.3">
      <c r="B336" t="str">
        <f>B335</f>
        <v>MarinusPortland</v>
      </c>
      <c r="C336" t="s">
        <v>64</v>
      </c>
      <c r="D336">
        <v>0.95</v>
      </c>
      <c r="E336" t="str">
        <f>E335</f>
        <v>Cal-37</v>
      </c>
      <c r="F336" t="s">
        <v>44</v>
      </c>
      <c r="G336" s="105" t="str">
        <f t="shared" si="48"/>
        <v>Merchant with PPA and Sold Swap NPV</v>
      </c>
      <c r="H336" s="20" cm="1">
        <f t="array" ref="H336">INDEX(Financials!$B$5:$AI$260,FinancialWalk!K336,FinancialWalk!L336)</f>
        <v>52006557.884379834</v>
      </c>
      <c r="K336">
        <f>SUMIFS(Financials!$A$5:$A$260,Financials!$D$5:$D$260,FinancialWalk!D336,Financials!$E$5:$E$260,FinancialWalk!E336,Financials!$F$5:$F$260,FinancialWalk!F336)</f>
        <v>250</v>
      </c>
      <c r="L336">
        <f t="shared" si="51"/>
        <v>33</v>
      </c>
    </row>
    <row r="337" spans="2:12" x14ac:dyDescent="0.3">
      <c r="B337" t="str">
        <f t="shared" ref="B337:B356" si="52">B336</f>
        <v>MarinusPortland</v>
      </c>
      <c r="C337" t="s">
        <v>64</v>
      </c>
      <c r="D337">
        <v>0.95</v>
      </c>
      <c r="E337" t="str">
        <f t="shared" ref="E337:E356" si="53">E336</f>
        <v>Cal-37</v>
      </c>
      <c r="F337" t="s">
        <v>44</v>
      </c>
      <c r="G337" s="105" t="str">
        <f t="shared" si="48"/>
        <v>Merchant with PPA and Sold Swap NPV</v>
      </c>
      <c r="H337" s="20" cm="1">
        <f t="array" ref="H337">INDEX(Financials!$B$5:$AI$260,FinancialWalk!K337,FinancialWalk!L337)</f>
        <v>52006557.884379834</v>
      </c>
      <c r="K337">
        <f>SUMIFS(Financials!$A$5:$A$260,Financials!$D$5:$D$260,FinancialWalk!D337,Financials!$E$5:$E$260,FinancialWalk!E337,Financials!$F$5:$F$260,FinancialWalk!F337)</f>
        <v>250</v>
      </c>
      <c r="L337">
        <f t="shared" si="51"/>
        <v>33</v>
      </c>
    </row>
    <row r="338" spans="2:12" x14ac:dyDescent="0.3">
      <c r="B338" t="str">
        <f t="shared" si="52"/>
        <v>MarinusPortland</v>
      </c>
      <c r="C338" t="s">
        <v>64</v>
      </c>
      <c r="D338">
        <v>0.95</v>
      </c>
      <c r="E338" t="str">
        <f t="shared" si="53"/>
        <v>Cal-37</v>
      </c>
      <c r="F338" t="s">
        <v>44</v>
      </c>
      <c r="G338" s="105" t="str">
        <f t="shared" si="48"/>
        <v>Merchant with PPA and Sold Swap NPV</v>
      </c>
      <c r="H338" s="20" cm="1">
        <f t="array" ref="H338">INDEX(Financials!$B$5:$AI$260,FinancialWalk!K338,FinancialWalk!L338)</f>
        <v>52006557.884379834</v>
      </c>
      <c r="K338">
        <f>SUMIFS(Financials!$A$5:$A$260,Financials!$D$5:$D$260,FinancialWalk!D338,Financials!$E$5:$E$260,FinancialWalk!E338,Financials!$F$5:$F$260,FinancialWalk!F338)</f>
        <v>250</v>
      </c>
      <c r="L338">
        <f t="shared" si="51"/>
        <v>33</v>
      </c>
    </row>
    <row r="339" spans="2:12" x14ac:dyDescent="0.3">
      <c r="B339" t="str">
        <f t="shared" si="52"/>
        <v>MarinusPortland</v>
      </c>
      <c r="C339" t="s">
        <v>64</v>
      </c>
      <c r="D339">
        <v>0.75</v>
      </c>
      <c r="E339" t="str">
        <f t="shared" si="53"/>
        <v>Cal-37</v>
      </c>
      <c r="F339" t="s">
        <v>44</v>
      </c>
      <c r="G339" s="105" t="str">
        <f t="shared" si="48"/>
        <v>Merchant with PPA and Sold Swap NPV</v>
      </c>
      <c r="H339" s="20" cm="1">
        <f t="array" ref="H339">INDEX(Financials!$B$5:$AI$260,FinancialWalk!K339,FinancialWalk!L339)</f>
        <v>23514586.146319475</v>
      </c>
      <c r="K339">
        <f>SUMIFS(Financials!$A$5:$A$260,Financials!$D$5:$D$260,FinancialWalk!D339,Financials!$E$5:$E$260,FinancialWalk!E339,Financials!$F$5:$F$260,FinancialWalk!F339)</f>
        <v>251</v>
      </c>
      <c r="L339">
        <f t="shared" si="51"/>
        <v>33</v>
      </c>
    </row>
    <row r="340" spans="2:12" x14ac:dyDescent="0.3">
      <c r="B340" t="str">
        <f t="shared" si="52"/>
        <v>MarinusPortland</v>
      </c>
      <c r="C340" t="s">
        <v>64</v>
      </c>
      <c r="D340">
        <v>0.75</v>
      </c>
      <c r="E340" t="str">
        <f t="shared" si="53"/>
        <v>Cal-37</v>
      </c>
      <c r="F340" t="s">
        <v>44</v>
      </c>
      <c r="G340" s="105" t="str">
        <f t="shared" si="48"/>
        <v>Merchant with PPA and Sold Swap NPV</v>
      </c>
      <c r="H340" s="20" cm="1">
        <f t="array" ref="H340">INDEX(Financials!$B$5:$AI$260,FinancialWalk!K340,FinancialWalk!L340)</f>
        <v>23514586.146319475</v>
      </c>
      <c r="K340">
        <f>SUMIFS(Financials!$A$5:$A$260,Financials!$D$5:$D$260,FinancialWalk!D340,Financials!$E$5:$E$260,FinancialWalk!E340,Financials!$F$5:$F$260,FinancialWalk!F340)</f>
        <v>251</v>
      </c>
      <c r="L340">
        <f t="shared" si="51"/>
        <v>33</v>
      </c>
    </row>
    <row r="341" spans="2:12" x14ac:dyDescent="0.3">
      <c r="B341" t="str">
        <f t="shared" si="52"/>
        <v>MarinusPortland</v>
      </c>
      <c r="C341" t="s">
        <v>64</v>
      </c>
      <c r="D341">
        <v>0.75</v>
      </c>
      <c r="E341" t="str">
        <f t="shared" si="53"/>
        <v>Cal-37</v>
      </c>
      <c r="F341" t="s">
        <v>44</v>
      </c>
      <c r="G341" s="105" t="str">
        <f t="shared" si="48"/>
        <v>Merchant with PPA and Sold Swap NPV</v>
      </c>
      <c r="H341" s="20" cm="1">
        <f t="array" ref="H341">INDEX(Financials!$B$5:$AI$260,FinancialWalk!K341,FinancialWalk!L341)</f>
        <v>23514586.146319475</v>
      </c>
      <c r="K341">
        <f>SUMIFS(Financials!$A$5:$A$260,Financials!$D$5:$D$260,FinancialWalk!D341,Financials!$E$5:$E$260,FinancialWalk!E341,Financials!$F$5:$F$260,FinancialWalk!F341)</f>
        <v>251</v>
      </c>
      <c r="L341">
        <f t="shared" si="51"/>
        <v>33</v>
      </c>
    </row>
    <row r="342" spans="2:12" x14ac:dyDescent="0.3">
      <c r="B342" t="str">
        <f t="shared" si="52"/>
        <v>MarinusPortland</v>
      </c>
      <c r="C342" t="s">
        <v>64</v>
      </c>
      <c r="D342">
        <v>0.75</v>
      </c>
      <c r="E342" t="str">
        <f t="shared" si="53"/>
        <v>Cal-37</v>
      </c>
      <c r="F342" t="s">
        <v>44</v>
      </c>
      <c r="G342" s="105" t="str">
        <f t="shared" si="48"/>
        <v>Merchant with PPA and Sold Swap NPV</v>
      </c>
      <c r="H342" s="20" cm="1">
        <f t="array" ref="H342">INDEX(Financials!$B$5:$AI$260,FinancialWalk!K342,FinancialWalk!L342)</f>
        <v>23514586.146319475</v>
      </c>
      <c r="K342">
        <f>SUMIFS(Financials!$A$5:$A$260,Financials!$D$5:$D$260,FinancialWalk!D342,Financials!$E$5:$E$260,FinancialWalk!E342,Financials!$F$5:$F$260,FinancialWalk!F342)</f>
        <v>251</v>
      </c>
      <c r="L342">
        <f t="shared" si="51"/>
        <v>33</v>
      </c>
    </row>
    <row r="343" spans="2:12" x14ac:dyDescent="0.3">
      <c r="B343" t="str">
        <f t="shared" si="52"/>
        <v>MarinusPortland</v>
      </c>
      <c r="C343" t="s">
        <v>64</v>
      </c>
      <c r="D343">
        <v>0.5</v>
      </c>
      <c r="E343" t="str">
        <f t="shared" si="53"/>
        <v>Cal-37</v>
      </c>
      <c r="F343" t="s">
        <v>44</v>
      </c>
      <c r="G343" s="105" t="str">
        <f t="shared" si="48"/>
        <v>Merchant with PPA and Sold Swap NPV</v>
      </c>
      <c r="H343" s="20" cm="1">
        <f t="array" ref="H343">INDEX(Financials!$B$5:$AI$260,FinancialWalk!K343,FinancialWalk!L343)</f>
        <v>3166656.8736009984</v>
      </c>
      <c r="K343">
        <f>SUMIFS(Financials!$A$5:$A$260,Financials!$D$5:$D$260,FinancialWalk!D343,Financials!$E$5:$E$260,FinancialWalk!E343,Financials!$F$5:$F$260,FinancialWalk!F343)</f>
        <v>252</v>
      </c>
      <c r="L343">
        <f t="shared" si="51"/>
        <v>33</v>
      </c>
    </row>
    <row r="344" spans="2:12" x14ac:dyDescent="0.3">
      <c r="B344" t="str">
        <f t="shared" si="52"/>
        <v>MarinusPortland</v>
      </c>
      <c r="C344" t="s">
        <v>64</v>
      </c>
      <c r="D344">
        <v>0.5</v>
      </c>
      <c r="E344" t="str">
        <f t="shared" si="53"/>
        <v>Cal-37</v>
      </c>
      <c r="F344" t="s">
        <v>44</v>
      </c>
      <c r="G344" s="105" t="str">
        <f t="shared" si="48"/>
        <v>Merchant with PPA and Sold Swap NPV</v>
      </c>
      <c r="H344" s="20" cm="1">
        <f t="array" ref="H344">INDEX(Financials!$B$5:$AI$260,FinancialWalk!K344,FinancialWalk!L344)</f>
        <v>3166656.8736009984</v>
      </c>
      <c r="K344">
        <f>SUMIFS(Financials!$A$5:$A$260,Financials!$D$5:$D$260,FinancialWalk!D344,Financials!$E$5:$E$260,FinancialWalk!E344,Financials!$F$5:$F$260,FinancialWalk!F344)</f>
        <v>252</v>
      </c>
      <c r="L344">
        <f t="shared" si="51"/>
        <v>33</v>
      </c>
    </row>
    <row r="345" spans="2:12" x14ac:dyDescent="0.3">
      <c r="B345" t="str">
        <f t="shared" si="52"/>
        <v>MarinusPortland</v>
      </c>
      <c r="C345" t="s">
        <v>64</v>
      </c>
      <c r="D345">
        <v>0.5</v>
      </c>
      <c r="E345" t="str">
        <f t="shared" si="53"/>
        <v>Cal-37</v>
      </c>
      <c r="F345" t="s">
        <v>44</v>
      </c>
      <c r="G345" s="105" t="str">
        <f t="shared" si="48"/>
        <v>Merchant with PPA and Sold Swap NPV</v>
      </c>
      <c r="H345" s="20" cm="1">
        <f t="array" ref="H345">INDEX(Financials!$B$5:$AI$260,FinancialWalk!K345,FinancialWalk!L345)</f>
        <v>3166656.8736009984</v>
      </c>
      <c r="K345">
        <f>SUMIFS(Financials!$A$5:$A$260,Financials!$D$5:$D$260,FinancialWalk!D345,Financials!$E$5:$E$260,FinancialWalk!E345,Financials!$F$5:$F$260,FinancialWalk!F345)</f>
        <v>252</v>
      </c>
      <c r="L345">
        <f t="shared" si="51"/>
        <v>33</v>
      </c>
    </row>
    <row r="346" spans="2:12" x14ac:dyDescent="0.3">
      <c r="B346" t="str">
        <f t="shared" si="52"/>
        <v>MarinusPortland</v>
      </c>
      <c r="C346" t="s">
        <v>64</v>
      </c>
      <c r="D346">
        <v>0.5</v>
      </c>
      <c r="E346" t="str">
        <f t="shared" si="53"/>
        <v>Cal-37</v>
      </c>
      <c r="F346" t="s">
        <v>44</v>
      </c>
      <c r="G346" s="105" t="str">
        <f t="shared" si="48"/>
        <v>Merchant with PPA and Sold Swap NPV</v>
      </c>
      <c r="H346" s="20" cm="1">
        <f t="array" ref="H346">INDEX(Financials!$B$5:$AI$260,FinancialWalk!K346,FinancialWalk!L346)</f>
        <v>3166656.8736009984</v>
      </c>
      <c r="K346">
        <f>SUMIFS(Financials!$A$5:$A$260,Financials!$D$5:$D$260,FinancialWalk!D346,Financials!$E$5:$E$260,FinancialWalk!E346,Financials!$F$5:$F$260,FinancialWalk!F346)</f>
        <v>252</v>
      </c>
      <c r="L346">
        <f t="shared" si="51"/>
        <v>33</v>
      </c>
    </row>
    <row r="347" spans="2:12" x14ac:dyDescent="0.3">
      <c r="B347" t="str">
        <f t="shared" si="52"/>
        <v>MarinusPortland</v>
      </c>
      <c r="C347" t="s">
        <v>64</v>
      </c>
      <c r="D347">
        <v>0.5</v>
      </c>
      <c r="E347" t="str">
        <f t="shared" si="53"/>
        <v>Cal-37</v>
      </c>
      <c r="F347" t="s">
        <v>44</v>
      </c>
      <c r="G347" s="105" t="str">
        <f t="shared" si="48"/>
        <v>Merchant with PPA and Sold Swap NPV</v>
      </c>
      <c r="H347" s="20" cm="1">
        <f t="array" ref="H347">INDEX(Financials!$B$5:$AI$260,FinancialWalk!K347,FinancialWalk!L347)</f>
        <v>3166656.8736009984</v>
      </c>
      <c r="K347">
        <f>SUMIFS(Financials!$A$5:$A$260,Financials!$D$5:$D$260,FinancialWalk!D347,Financials!$E$5:$E$260,FinancialWalk!E347,Financials!$F$5:$F$260,FinancialWalk!F347)</f>
        <v>252</v>
      </c>
      <c r="L347">
        <f t="shared" si="51"/>
        <v>33</v>
      </c>
    </row>
    <row r="348" spans="2:12" x14ac:dyDescent="0.3">
      <c r="B348" t="str">
        <f t="shared" si="52"/>
        <v>MarinusPortland</v>
      </c>
      <c r="C348" t="s">
        <v>64</v>
      </c>
      <c r="D348">
        <v>0.25</v>
      </c>
      <c r="E348" t="str">
        <f t="shared" si="53"/>
        <v>Cal-37</v>
      </c>
      <c r="F348" t="s">
        <v>44</v>
      </c>
      <c r="G348" s="105" t="str">
        <f t="shared" si="48"/>
        <v>Merchant with PPA and Sold Swap NPV</v>
      </c>
      <c r="H348" s="20" cm="1">
        <f t="array" ref="H348">INDEX(Financials!$B$5:$AI$260,FinancialWalk!K348,FinancialWalk!L348)</f>
        <v>-14275490.812155738</v>
      </c>
      <c r="K348">
        <f>SUMIFS(Financials!$A$5:$A$260,Financials!$D$5:$D$260,FinancialWalk!D348,Financials!$E$5:$E$260,FinancialWalk!E348,Financials!$F$5:$F$260,FinancialWalk!F348)</f>
        <v>253</v>
      </c>
      <c r="L348">
        <f t="shared" si="51"/>
        <v>33</v>
      </c>
    </row>
    <row r="349" spans="2:12" x14ac:dyDescent="0.3">
      <c r="B349" t="str">
        <f t="shared" si="52"/>
        <v>MarinusPortland</v>
      </c>
      <c r="C349" t="s">
        <v>64</v>
      </c>
      <c r="D349">
        <v>0.25</v>
      </c>
      <c r="E349" t="str">
        <f t="shared" si="53"/>
        <v>Cal-37</v>
      </c>
      <c r="F349" t="s">
        <v>44</v>
      </c>
      <c r="G349" s="105" t="str">
        <f t="shared" si="48"/>
        <v>Merchant with PPA and Sold Swap NPV</v>
      </c>
      <c r="H349" s="20" cm="1">
        <f t="array" ref="H349">INDEX(Financials!$B$5:$AI$260,FinancialWalk!K349,FinancialWalk!L349)</f>
        <v>-14275490.812155738</v>
      </c>
      <c r="K349">
        <f>SUMIFS(Financials!$A$5:$A$260,Financials!$D$5:$D$260,FinancialWalk!D349,Financials!$E$5:$E$260,FinancialWalk!E349,Financials!$F$5:$F$260,FinancialWalk!F349)</f>
        <v>253</v>
      </c>
      <c r="L349">
        <f t="shared" si="51"/>
        <v>33</v>
      </c>
    </row>
    <row r="350" spans="2:12" x14ac:dyDescent="0.3">
      <c r="B350" t="str">
        <f t="shared" si="52"/>
        <v>MarinusPortland</v>
      </c>
      <c r="C350" t="s">
        <v>64</v>
      </c>
      <c r="D350">
        <v>0.25</v>
      </c>
      <c r="E350" t="str">
        <f t="shared" si="53"/>
        <v>Cal-37</v>
      </c>
      <c r="F350" t="s">
        <v>44</v>
      </c>
      <c r="G350" s="105" t="str">
        <f t="shared" si="48"/>
        <v>Merchant with PPA and Sold Swap NPV</v>
      </c>
      <c r="H350" s="20" cm="1">
        <f t="array" ref="H350">INDEX(Financials!$B$5:$AI$260,FinancialWalk!K350,FinancialWalk!L350)</f>
        <v>-14275490.812155738</v>
      </c>
      <c r="K350">
        <f>SUMIFS(Financials!$A$5:$A$260,Financials!$D$5:$D$260,FinancialWalk!D350,Financials!$E$5:$E$260,FinancialWalk!E350,Financials!$F$5:$F$260,FinancialWalk!F350)</f>
        <v>253</v>
      </c>
      <c r="L350">
        <f t="shared" si="51"/>
        <v>33</v>
      </c>
    </row>
    <row r="351" spans="2:12" x14ac:dyDescent="0.3">
      <c r="B351" t="str">
        <f t="shared" si="52"/>
        <v>MarinusPortland</v>
      </c>
      <c r="C351" t="s">
        <v>64</v>
      </c>
      <c r="D351">
        <v>0.25</v>
      </c>
      <c r="E351" t="str">
        <f t="shared" si="53"/>
        <v>Cal-37</v>
      </c>
      <c r="F351" t="s">
        <v>44</v>
      </c>
      <c r="G351" s="105" t="str">
        <f t="shared" si="48"/>
        <v>Merchant with PPA and Sold Swap NPV</v>
      </c>
      <c r="H351" s="20" cm="1">
        <f t="array" ref="H351">INDEX(Financials!$B$5:$AI$260,FinancialWalk!K351,FinancialWalk!L351)</f>
        <v>-14275490.812155738</v>
      </c>
      <c r="K351">
        <f>SUMIFS(Financials!$A$5:$A$260,Financials!$D$5:$D$260,FinancialWalk!D351,Financials!$E$5:$E$260,FinancialWalk!E351,Financials!$F$5:$F$260,FinancialWalk!F351)</f>
        <v>253</v>
      </c>
      <c r="L351">
        <f t="shared" si="51"/>
        <v>33</v>
      </c>
    </row>
    <row r="352" spans="2:12" x14ac:dyDescent="0.3">
      <c r="B352" t="str">
        <f t="shared" si="52"/>
        <v>MarinusPortland</v>
      </c>
      <c r="C352" t="s">
        <v>64</v>
      </c>
      <c r="D352">
        <v>0.05</v>
      </c>
      <c r="E352" t="str">
        <f t="shared" si="53"/>
        <v>Cal-37</v>
      </c>
      <c r="F352" t="s">
        <v>44</v>
      </c>
      <c r="G352" s="105" t="str">
        <f t="shared" si="48"/>
        <v>Merchant with PPA and Sold Swap NPV</v>
      </c>
      <c r="H352" s="20" cm="1">
        <f t="array" ref="H352">INDEX(Financials!$B$5:$AI$260,FinancialWalk!K352,FinancialWalk!L352)</f>
        <v>-61218788.218340591</v>
      </c>
      <c r="K352">
        <f>SUMIFS(Financials!$A$5:$A$260,Financials!$D$5:$D$260,FinancialWalk!D352,Financials!$E$5:$E$260,FinancialWalk!E352,Financials!$F$5:$F$260,FinancialWalk!F352)</f>
        <v>254</v>
      </c>
      <c r="L352">
        <f t="shared" si="51"/>
        <v>33</v>
      </c>
    </row>
    <row r="353" spans="2:12" x14ac:dyDescent="0.3">
      <c r="B353" t="str">
        <f t="shared" si="52"/>
        <v>MarinusPortland</v>
      </c>
      <c r="C353" t="s">
        <v>64</v>
      </c>
      <c r="D353">
        <v>0.05</v>
      </c>
      <c r="E353" t="str">
        <f t="shared" si="53"/>
        <v>Cal-37</v>
      </c>
      <c r="F353" t="s">
        <v>44</v>
      </c>
      <c r="G353" s="105" t="str">
        <f t="shared" si="48"/>
        <v>Merchant with PPA and Sold Swap NPV</v>
      </c>
      <c r="H353" s="20" cm="1">
        <f t="array" ref="H353">INDEX(Financials!$B$5:$AI$260,FinancialWalk!K353,FinancialWalk!L353)</f>
        <v>-61218788.218340591</v>
      </c>
      <c r="K353">
        <f>SUMIFS(Financials!$A$5:$A$260,Financials!$D$5:$D$260,FinancialWalk!D353,Financials!$E$5:$E$260,FinancialWalk!E353,Financials!$F$5:$F$260,FinancialWalk!F353)</f>
        <v>254</v>
      </c>
      <c r="L353">
        <f t="shared" si="51"/>
        <v>33</v>
      </c>
    </row>
    <row r="354" spans="2:12" x14ac:dyDescent="0.3">
      <c r="B354" t="str">
        <f t="shared" si="52"/>
        <v>MarinusPortland</v>
      </c>
      <c r="C354" t="s">
        <v>64</v>
      </c>
      <c r="D354">
        <v>0.05</v>
      </c>
      <c r="E354" t="str">
        <f t="shared" si="53"/>
        <v>Cal-37</v>
      </c>
      <c r="F354" t="s">
        <v>44</v>
      </c>
      <c r="G354" s="105" t="str">
        <f t="shared" si="48"/>
        <v>Merchant with PPA and Sold Swap NPV</v>
      </c>
      <c r="H354" s="20" cm="1">
        <f t="array" ref="H354">INDEX(Financials!$B$5:$AI$260,FinancialWalk!K354,FinancialWalk!L354)</f>
        <v>-61218788.218340591</v>
      </c>
      <c r="K354">
        <f>SUMIFS(Financials!$A$5:$A$260,Financials!$D$5:$D$260,FinancialWalk!D354,Financials!$E$5:$E$260,FinancialWalk!E354,Financials!$F$5:$F$260,FinancialWalk!F354)</f>
        <v>254</v>
      </c>
      <c r="L354">
        <f t="shared" si="51"/>
        <v>33</v>
      </c>
    </row>
    <row r="355" spans="2:12" x14ac:dyDescent="0.3">
      <c r="B355" t="str">
        <f t="shared" si="52"/>
        <v>MarinusPortland</v>
      </c>
      <c r="C355" t="s">
        <v>64</v>
      </c>
      <c r="D355">
        <v>0</v>
      </c>
      <c r="E355" t="str">
        <f t="shared" si="53"/>
        <v>Cal-37</v>
      </c>
      <c r="F355" t="s">
        <v>44</v>
      </c>
      <c r="G355" s="105" t="str">
        <f t="shared" si="48"/>
        <v>Merchant with PPA and Sold Swap NPV</v>
      </c>
      <c r="H355" s="20" cm="1">
        <f t="array" ref="H355">INDEX(Financials!$B$5:$AI$260,FinancialWalk!K355,FinancialWalk!L355)</f>
        <v>-112235611.63862759</v>
      </c>
      <c r="K355">
        <f>SUMIFS(Financials!$A$5:$A$260,Financials!$D$5:$D$260,FinancialWalk!D355,Financials!$E$5:$E$260,FinancialWalk!E355,Financials!$F$5:$F$260,FinancialWalk!F355)</f>
        <v>255</v>
      </c>
      <c r="L355">
        <f t="shared" si="51"/>
        <v>33</v>
      </c>
    </row>
    <row r="356" spans="2:12" x14ac:dyDescent="0.3">
      <c r="B356" t="str">
        <f t="shared" si="52"/>
        <v>MarinusPortland</v>
      </c>
      <c r="C356" t="s">
        <v>64</v>
      </c>
      <c r="D356" t="s">
        <v>24</v>
      </c>
      <c r="E356" t="str">
        <f t="shared" si="53"/>
        <v>Cal-37</v>
      </c>
      <c r="F356" t="s">
        <v>44</v>
      </c>
      <c r="G356" s="105" t="str">
        <f t="shared" si="48"/>
        <v>Merchant with PPA and Sold Swap NPV</v>
      </c>
      <c r="H356" s="20" cm="1">
        <f t="array" ref="H356">INDEX(Financials!$B$5:$AI$260,FinancialWalk!K356,FinancialWalk!L356)</f>
        <v>5840964.0980796041</v>
      </c>
      <c r="K356">
        <f>SUMIFS(Financials!$A$5:$A$260,Financials!$D$5:$D$260,FinancialWalk!D356,Financials!$E$5:$E$260,FinancialWalk!E356,Financials!$F$5:$F$260,FinancialWalk!F356)</f>
        <v>256</v>
      </c>
      <c r="L356">
        <f t="shared" si="51"/>
        <v>33</v>
      </c>
    </row>
    <row r="357" spans="2:12" x14ac:dyDescent="0.3">
      <c r="B357" t="str">
        <f>$B$2</f>
        <v>MarinusPortland</v>
      </c>
      <c r="C357" t="s">
        <v>64</v>
      </c>
      <c r="D357">
        <v>1</v>
      </c>
      <c r="E357" t="s">
        <v>18</v>
      </c>
      <c r="F357" t="s">
        <v>34</v>
      </c>
      <c r="G357" s="105" t="str">
        <f t="shared" ref="G357:G400" si="54">$P$33</f>
        <v>Merchant with PPA and Sold Swap ROI</v>
      </c>
      <c r="H357" s="13" cm="1">
        <f t="array" ref="H357">INDEX(Financials!$B$5:$AI$260,FinancialWalk!K357,FinancialWalk!L357)</f>
        <v>1.9422395822810743</v>
      </c>
      <c r="K357">
        <f>SUMIFS(Financials!$A$5:$A$260,Financials!$D$5:$D$260,FinancialWalk!D357,Financials!$E$5:$E$260,FinancialWalk!E357,Financials!$F$5:$F$260,FinancialWalk!F357)</f>
        <v>121</v>
      </c>
      <c r="L357">
        <f t="shared" si="51"/>
        <v>34</v>
      </c>
    </row>
    <row r="358" spans="2:12" x14ac:dyDescent="0.3">
      <c r="B358" t="str">
        <f>B357</f>
        <v>MarinusPortland</v>
      </c>
      <c r="C358" t="s">
        <v>64</v>
      </c>
      <c r="D358">
        <v>0.95</v>
      </c>
      <c r="E358" t="str">
        <f>E357</f>
        <v>Cal-37</v>
      </c>
      <c r="F358" t="s">
        <v>34</v>
      </c>
      <c r="G358" s="105" t="str">
        <f t="shared" si="54"/>
        <v>Merchant with PPA and Sold Swap ROI</v>
      </c>
      <c r="H358" s="13" cm="1">
        <f t="array" ref="H358">INDEX(Financials!$B$5:$AI$260,FinancialWalk!K358,FinancialWalk!L358)</f>
        <v>0.87784632831567988</v>
      </c>
      <c r="K358">
        <f>SUMIFS(Financials!$A$5:$A$260,Financials!$D$5:$D$260,FinancialWalk!D358,Financials!$E$5:$E$260,FinancialWalk!E358,Financials!$F$5:$F$260,FinancialWalk!F358)</f>
        <v>122</v>
      </c>
      <c r="L358">
        <f t="shared" si="51"/>
        <v>34</v>
      </c>
    </row>
    <row r="359" spans="2:12" x14ac:dyDescent="0.3">
      <c r="B359" t="str">
        <f t="shared" ref="B359:B378" si="55">B358</f>
        <v>MarinusPortland</v>
      </c>
      <c r="C359" t="s">
        <v>64</v>
      </c>
      <c r="D359">
        <v>0.95</v>
      </c>
      <c r="E359" t="str">
        <f t="shared" ref="E359:E378" si="56">E358</f>
        <v>Cal-37</v>
      </c>
      <c r="F359" t="s">
        <v>34</v>
      </c>
      <c r="G359" s="105" t="str">
        <f t="shared" si="54"/>
        <v>Merchant with PPA and Sold Swap ROI</v>
      </c>
      <c r="H359" s="13" cm="1">
        <f t="array" ref="H359">INDEX(Financials!$B$5:$AI$260,FinancialWalk!K359,FinancialWalk!L359)</f>
        <v>0.87784632831567988</v>
      </c>
      <c r="K359">
        <f>SUMIFS(Financials!$A$5:$A$260,Financials!$D$5:$D$260,FinancialWalk!D359,Financials!$E$5:$E$260,FinancialWalk!E359,Financials!$F$5:$F$260,FinancialWalk!F359)</f>
        <v>122</v>
      </c>
      <c r="L359">
        <f t="shared" si="51"/>
        <v>34</v>
      </c>
    </row>
    <row r="360" spans="2:12" x14ac:dyDescent="0.3">
      <c r="B360" t="str">
        <f t="shared" si="55"/>
        <v>MarinusPortland</v>
      </c>
      <c r="C360" t="s">
        <v>64</v>
      </c>
      <c r="D360">
        <v>0.95</v>
      </c>
      <c r="E360" t="str">
        <f t="shared" si="56"/>
        <v>Cal-37</v>
      </c>
      <c r="F360" t="s">
        <v>34</v>
      </c>
      <c r="G360" s="105" t="str">
        <f t="shared" si="54"/>
        <v>Merchant with PPA and Sold Swap ROI</v>
      </c>
      <c r="H360" s="13" cm="1">
        <f t="array" ref="H360">INDEX(Financials!$B$5:$AI$260,FinancialWalk!K360,FinancialWalk!L360)</f>
        <v>0.87784632831567988</v>
      </c>
      <c r="K360">
        <f>SUMIFS(Financials!$A$5:$A$260,Financials!$D$5:$D$260,FinancialWalk!D360,Financials!$E$5:$E$260,FinancialWalk!E360,Financials!$F$5:$F$260,FinancialWalk!F360)</f>
        <v>122</v>
      </c>
      <c r="L360">
        <f t="shared" si="51"/>
        <v>34</v>
      </c>
    </row>
    <row r="361" spans="2:12" x14ac:dyDescent="0.3">
      <c r="B361" t="str">
        <f t="shared" si="55"/>
        <v>MarinusPortland</v>
      </c>
      <c r="C361" t="s">
        <v>64</v>
      </c>
      <c r="D361">
        <v>0.75</v>
      </c>
      <c r="E361" t="str">
        <f t="shared" si="56"/>
        <v>Cal-37</v>
      </c>
      <c r="F361" t="s">
        <v>34</v>
      </c>
      <c r="G361" s="105" t="str">
        <f t="shared" si="54"/>
        <v>Merchant with PPA and Sold Swap ROI</v>
      </c>
      <c r="H361" s="13" cm="1">
        <f t="array" ref="H361">INDEX(Financials!$B$5:$AI$260,FinancialWalk!K361,FinancialWalk!L361)</f>
        <v>0.36067211443428154</v>
      </c>
      <c r="K361">
        <f>SUMIFS(Financials!$A$5:$A$260,Financials!$D$5:$D$260,FinancialWalk!D361,Financials!$E$5:$E$260,FinancialWalk!E361,Financials!$F$5:$F$260,FinancialWalk!F361)</f>
        <v>123</v>
      </c>
      <c r="L361">
        <f t="shared" si="51"/>
        <v>34</v>
      </c>
    </row>
    <row r="362" spans="2:12" x14ac:dyDescent="0.3">
      <c r="B362" t="str">
        <f t="shared" si="55"/>
        <v>MarinusPortland</v>
      </c>
      <c r="C362" t="s">
        <v>64</v>
      </c>
      <c r="D362">
        <v>0.75</v>
      </c>
      <c r="E362" t="str">
        <f t="shared" si="56"/>
        <v>Cal-37</v>
      </c>
      <c r="F362" t="s">
        <v>34</v>
      </c>
      <c r="G362" s="105" t="str">
        <f t="shared" si="54"/>
        <v>Merchant with PPA and Sold Swap ROI</v>
      </c>
      <c r="H362" s="13" cm="1">
        <f t="array" ref="H362">INDEX(Financials!$B$5:$AI$260,FinancialWalk!K362,FinancialWalk!L362)</f>
        <v>0.36067211443428154</v>
      </c>
      <c r="K362">
        <f>SUMIFS(Financials!$A$5:$A$260,Financials!$D$5:$D$260,FinancialWalk!D362,Financials!$E$5:$E$260,FinancialWalk!E362,Financials!$F$5:$F$260,FinancialWalk!F362)</f>
        <v>123</v>
      </c>
      <c r="L362">
        <f t="shared" si="51"/>
        <v>34</v>
      </c>
    </row>
    <row r="363" spans="2:12" x14ac:dyDescent="0.3">
      <c r="B363" t="str">
        <f t="shared" si="55"/>
        <v>MarinusPortland</v>
      </c>
      <c r="C363" t="s">
        <v>64</v>
      </c>
      <c r="D363">
        <v>0.75</v>
      </c>
      <c r="E363" t="str">
        <f t="shared" si="56"/>
        <v>Cal-37</v>
      </c>
      <c r="F363" t="s">
        <v>34</v>
      </c>
      <c r="G363" s="105" t="str">
        <f t="shared" si="54"/>
        <v>Merchant with PPA and Sold Swap ROI</v>
      </c>
      <c r="H363" s="13" cm="1">
        <f t="array" ref="H363">INDEX(Financials!$B$5:$AI$260,FinancialWalk!K363,FinancialWalk!L363)</f>
        <v>0.36067211443428154</v>
      </c>
      <c r="K363">
        <f>SUMIFS(Financials!$A$5:$A$260,Financials!$D$5:$D$260,FinancialWalk!D363,Financials!$E$5:$E$260,FinancialWalk!E363,Financials!$F$5:$F$260,FinancialWalk!F363)</f>
        <v>123</v>
      </c>
      <c r="L363">
        <f t="shared" si="51"/>
        <v>34</v>
      </c>
    </row>
    <row r="364" spans="2:12" x14ac:dyDescent="0.3">
      <c r="B364" t="str">
        <f t="shared" si="55"/>
        <v>MarinusPortland</v>
      </c>
      <c r="C364" t="s">
        <v>64</v>
      </c>
      <c r="D364">
        <v>0.75</v>
      </c>
      <c r="E364" t="str">
        <f t="shared" si="56"/>
        <v>Cal-37</v>
      </c>
      <c r="F364" t="s">
        <v>34</v>
      </c>
      <c r="G364" s="105" t="str">
        <f t="shared" si="54"/>
        <v>Merchant with PPA and Sold Swap ROI</v>
      </c>
      <c r="H364" s="13" cm="1">
        <f t="array" ref="H364">INDEX(Financials!$B$5:$AI$260,FinancialWalk!K364,FinancialWalk!L364)</f>
        <v>0.36067211443428154</v>
      </c>
      <c r="K364">
        <f>SUMIFS(Financials!$A$5:$A$260,Financials!$D$5:$D$260,FinancialWalk!D364,Financials!$E$5:$E$260,FinancialWalk!E364,Financials!$F$5:$F$260,FinancialWalk!F364)</f>
        <v>123</v>
      </c>
      <c r="L364">
        <f t="shared" si="51"/>
        <v>34</v>
      </c>
    </row>
    <row r="365" spans="2:12" x14ac:dyDescent="0.3">
      <c r="B365" t="str">
        <f t="shared" si="55"/>
        <v>MarinusPortland</v>
      </c>
      <c r="C365" t="s">
        <v>64</v>
      </c>
      <c r="D365">
        <v>0.5</v>
      </c>
      <c r="E365" t="str">
        <f t="shared" si="56"/>
        <v>Cal-37</v>
      </c>
      <c r="F365" t="s">
        <v>34</v>
      </c>
      <c r="G365" s="105" t="str">
        <f t="shared" si="54"/>
        <v>Merchant with PPA and Sold Swap ROI</v>
      </c>
      <c r="H365" s="13" cm="1">
        <f t="array" ref="H365">INDEX(Financials!$B$5:$AI$260,FinancialWalk!K365,FinancialWalk!L365)</f>
        <v>3.4025767453878496E-2</v>
      </c>
      <c r="K365">
        <f>SUMIFS(Financials!$A$5:$A$260,Financials!$D$5:$D$260,FinancialWalk!D365,Financials!$E$5:$E$260,FinancialWalk!E365,Financials!$F$5:$F$260,FinancialWalk!F365)</f>
        <v>124</v>
      </c>
      <c r="L365">
        <f t="shared" si="51"/>
        <v>34</v>
      </c>
    </row>
    <row r="366" spans="2:12" x14ac:dyDescent="0.3">
      <c r="B366" t="str">
        <f t="shared" si="55"/>
        <v>MarinusPortland</v>
      </c>
      <c r="C366" t="s">
        <v>64</v>
      </c>
      <c r="D366">
        <v>0.5</v>
      </c>
      <c r="E366" t="str">
        <f t="shared" si="56"/>
        <v>Cal-37</v>
      </c>
      <c r="F366" t="s">
        <v>34</v>
      </c>
      <c r="G366" s="105" t="str">
        <f t="shared" si="54"/>
        <v>Merchant with PPA and Sold Swap ROI</v>
      </c>
      <c r="H366" s="13" cm="1">
        <f t="array" ref="H366">INDEX(Financials!$B$5:$AI$260,FinancialWalk!K366,FinancialWalk!L366)</f>
        <v>3.4025767453878496E-2</v>
      </c>
      <c r="K366">
        <f>SUMIFS(Financials!$A$5:$A$260,Financials!$D$5:$D$260,FinancialWalk!D366,Financials!$E$5:$E$260,FinancialWalk!E366,Financials!$F$5:$F$260,FinancialWalk!F366)</f>
        <v>124</v>
      </c>
      <c r="L366">
        <f t="shared" si="51"/>
        <v>34</v>
      </c>
    </row>
    <row r="367" spans="2:12" x14ac:dyDescent="0.3">
      <c r="B367" t="str">
        <f t="shared" si="55"/>
        <v>MarinusPortland</v>
      </c>
      <c r="C367" t="s">
        <v>64</v>
      </c>
      <c r="D367">
        <v>0.5</v>
      </c>
      <c r="E367" t="str">
        <f t="shared" si="56"/>
        <v>Cal-37</v>
      </c>
      <c r="F367" t="s">
        <v>34</v>
      </c>
      <c r="G367" s="105" t="str">
        <f t="shared" si="54"/>
        <v>Merchant with PPA and Sold Swap ROI</v>
      </c>
      <c r="H367" s="13" cm="1">
        <f t="array" ref="H367">INDEX(Financials!$B$5:$AI$260,FinancialWalk!K367,FinancialWalk!L367)</f>
        <v>3.4025767453878496E-2</v>
      </c>
      <c r="K367">
        <f>SUMIFS(Financials!$A$5:$A$260,Financials!$D$5:$D$260,FinancialWalk!D367,Financials!$E$5:$E$260,FinancialWalk!E367,Financials!$F$5:$F$260,FinancialWalk!F367)</f>
        <v>124</v>
      </c>
      <c r="L367">
        <f t="shared" si="51"/>
        <v>34</v>
      </c>
    </row>
    <row r="368" spans="2:12" x14ac:dyDescent="0.3">
      <c r="B368" t="str">
        <f t="shared" si="55"/>
        <v>MarinusPortland</v>
      </c>
      <c r="C368" t="s">
        <v>64</v>
      </c>
      <c r="D368">
        <v>0.5</v>
      </c>
      <c r="E368" t="str">
        <f t="shared" si="56"/>
        <v>Cal-37</v>
      </c>
      <c r="F368" t="s">
        <v>34</v>
      </c>
      <c r="G368" s="105" t="str">
        <f t="shared" si="54"/>
        <v>Merchant with PPA and Sold Swap ROI</v>
      </c>
      <c r="H368" s="13" cm="1">
        <f t="array" ref="H368">INDEX(Financials!$B$5:$AI$260,FinancialWalk!K368,FinancialWalk!L368)</f>
        <v>3.4025767453878496E-2</v>
      </c>
      <c r="K368">
        <f>SUMIFS(Financials!$A$5:$A$260,Financials!$D$5:$D$260,FinancialWalk!D368,Financials!$E$5:$E$260,FinancialWalk!E368,Financials!$F$5:$F$260,FinancialWalk!F368)</f>
        <v>124</v>
      </c>
      <c r="L368">
        <f t="shared" si="51"/>
        <v>34</v>
      </c>
    </row>
    <row r="369" spans="2:12" x14ac:dyDescent="0.3">
      <c r="B369" t="str">
        <f t="shared" si="55"/>
        <v>MarinusPortland</v>
      </c>
      <c r="C369" t="s">
        <v>64</v>
      </c>
      <c r="D369">
        <v>0.5</v>
      </c>
      <c r="E369" t="str">
        <f t="shared" si="56"/>
        <v>Cal-37</v>
      </c>
      <c r="F369" t="s">
        <v>34</v>
      </c>
      <c r="G369" s="105" t="str">
        <f t="shared" si="54"/>
        <v>Merchant with PPA and Sold Swap ROI</v>
      </c>
      <c r="H369" s="13" cm="1">
        <f t="array" ref="H369">INDEX(Financials!$B$5:$AI$260,FinancialWalk!K369,FinancialWalk!L369)</f>
        <v>3.4025767453878496E-2</v>
      </c>
      <c r="K369">
        <f>SUMIFS(Financials!$A$5:$A$260,Financials!$D$5:$D$260,FinancialWalk!D369,Financials!$E$5:$E$260,FinancialWalk!E369,Financials!$F$5:$F$260,FinancialWalk!F369)</f>
        <v>124</v>
      </c>
      <c r="L369">
        <f t="shared" si="51"/>
        <v>34</v>
      </c>
    </row>
    <row r="370" spans="2:12" x14ac:dyDescent="0.3">
      <c r="B370" t="str">
        <f t="shared" si="55"/>
        <v>MarinusPortland</v>
      </c>
      <c r="C370" t="s">
        <v>64</v>
      </c>
      <c r="D370">
        <v>0.25</v>
      </c>
      <c r="E370" t="str">
        <f t="shared" si="56"/>
        <v>Cal-37</v>
      </c>
      <c r="F370" t="s">
        <v>34</v>
      </c>
      <c r="G370" s="105" t="str">
        <f t="shared" si="54"/>
        <v>Merchant with PPA and Sold Swap ROI</v>
      </c>
      <c r="H370" s="13" cm="1">
        <f t="array" ref="H370">INDEX(Financials!$B$5:$AI$260,FinancialWalk!K370,FinancialWalk!L370)</f>
        <v>-0.23403557904550795</v>
      </c>
      <c r="K370">
        <f>SUMIFS(Financials!$A$5:$A$260,Financials!$D$5:$D$260,FinancialWalk!D370,Financials!$E$5:$E$260,FinancialWalk!E370,Financials!$F$5:$F$260,FinancialWalk!F370)</f>
        <v>125</v>
      </c>
      <c r="L370">
        <f t="shared" si="51"/>
        <v>34</v>
      </c>
    </row>
    <row r="371" spans="2:12" x14ac:dyDescent="0.3">
      <c r="B371" t="str">
        <f t="shared" si="55"/>
        <v>MarinusPortland</v>
      </c>
      <c r="C371" t="s">
        <v>64</v>
      </c>
      <c r="D371">
        <v>0.25</v>
      </c>
      <c r="E371" t="str">
        <f t="shared" si="56"/>
        <v>Cal-37</v>
      </c>
      <c r="F371" t="s">
        <v>34</v>
      </c>
      <c r="G371" s="105" t="str">
        <f t="shared" si="54"/>
        <v>Merchant with PPA and Sold Swap ROI</v>
      </c>
      <c r="H371" s="13" cm="1">
        <f t="array" ref="H371">INDEX(Financials!$B$5:$AI$260,FinancialWalk!K371,FinancialWalk!L371)</f>
        <v>-0.23403557904550795</v>
      </c>
      <c r="K371">
        <f>SUMIFS(Financials!$A$5:$A$260,Financials!$D$5:$D$260,FinancialWalk!D371,Financials!$E$5:$E$260,FinancialWalk!E371,Financials!$F$5:$F$260,FinancialWalk!F371)</f>
        <v>125</v>
      </c>
      <c r="L371">
        <f t="shared" si="51"/>
        <v>34</v>
      </c>
    </row>
    <row r="372" spans="2:12" x14ac:dyDescent="0.3">
      <c r="B372" t="str">
        <f t="shared" si="55"/>
        <v>MarinusPortland</v>
      </c>
      <c r="C372" t="s">
        <v>64</v>
      </c>
      <c r="D372">
        <v>0.25</v>
      </c>
      <c r="E372" t="str">
        <f t="shared" si="56"/>
        <v>Cal-37</v>
      </c>
      <c r="F372" t="s">
        <v>34</v>
      </c>
      <c r="G372" s="105" t="str">
        <f t="shared" si="54"/>
        <v>Merchant with PPA and Sold Swap ROI</v>
      </c>
      <c r="H372" s="13" cm="1">
        <f t="array" ref="H372">INDEX(Financials!$B$5:$AI$260,FinancialWalk!K372,FinancialWalk!L372)</f>
        <v>-0.23403557904550795</v>
      </c>
      <c r="K372">
        <f>SUMIFS(Financials!$A$5:$A$260,Financials!$D$5:$D$260,FinancialWalk!D372,Financials!$E$5:$E$260,FinancialWalk!E372,Financials!$F$5:$F$260,FinancialWalk!F372)</f>
        <v>125</v>
      </c>
      <c r="L372">
        <f t="shared" si="51"/>
        <v>34</v>
      </c>
    </row>
    <row r="373" spans="2:12" x14ac:dyDescent="0.3">
      <c r="B373" t="str">
        <f t="shared" si="55"/>
        <v>MarinusPortland</v>
      </c>
      <c r="C373" t="s">
        <v>64</v>
      </c>
      <c r="D373">
        <v>0.25</v>
      </c>
      <c r="E373" t="str">
        <f t="shared" si="56"/>
        <v>Cal-37</v>
      </c>
      <c r="F373" t="s">
        <v>34</v>
      </c>
      <c r="G373" s="105" t="str">
        <f t="shared" si="54"/>
        <v>Merchant with PPA and Sold Swap ROI</v>
      </c>
      <c r="H373" s="13" cm="1">
        <f t="array" ref="H373">INDEX(Financials!$B$5:$AI$260,FinancialWalk!K373,FinancialWalk!L373)</f>
        <v>-0.23403557904550795</v>
      </c>
      <c r="K373">
        <f>SUMIFS(Financials!$A$5:$A$260,Financials!$D$5:$D$260,FinancialWalk!D373,Financials!$E$5:$E$260,FinancialWalk!E373,Financials!$F$5:$F$260,FinancialWalk!F373)</f>
        <v>125</v>
      </c>
      <c r="L373">
        <f t="shared" si="51"/>
        <v>34</v>
      </c>
    </row>
    <row r="374" spans="2:12" x14ac:dyDescent="0.3">
      <c r="B374" t="str">
        <f t="shared" si="55"/>
        <v>MarinusPortland</v>
      </c>
      <c r="C374" t="s">
        <v>64</v>
      </c>
      <c r="D374">
        <v>0.05</v>
      </c>
      <c r="E374" t="str">
        <f t="shared" si="56"/>
        <v>Cal-37</v>
      </c>
      <c r="F374" t="s">
        <v>34</v>
      </c>
      <c r="G374" s="105" t="str">
        <f t="shared" si="54"/>
        <v>Merchant with PPA and Sold Swap ROI</v>
      </c>
      <c r="H374" s="13" cm="1">
        <f t="array" ref="H374">INDEX(Financials!$B$5:$AI$260,FinancialWalk!K374,FinancialWalk!L374)</f>
        <v>-0.53478537019295236</v>
      </c>
      <c r="K374">
        <f>SUMIFS(Financials!$A$5:$A$260,Financials!$D$5:$D$260,FinancialWalk!D374,Financials!$E$5:$E$260,FinancialWalk!E374,Financials!$F$5:$F$260,FinancialWalk!F374)</f>
        <v>126</v>
      </c>
      <c r="L374">
        <f t="shared" si="51"/>
        <v>34</v>
      </c>
    </row>
    <row r="375" spans="2:12" x14ac:dyDescent="0.3">
      <c r="B375" t="str">
        <f t="shared" si="55"/>
        <v>MarinusPortland</v>
      </c>
      <c r="C375" t="s">
        <v>64</v>
      </c>
      <c r="D375">
        <v>0.05</v>
      </c>
      <c r="E375" t="str">
        <f t="shared" si="56"/>
        <v>Cal-37</v>
      </c>
      <c r="F375" t="s">
        <v>34</v>
      </c>
      <c r="G375" s="105" t="str">
        <f t="shared" si="54"/>
        <v>Merchant with PPA and Sold Swap ROI</v>
      </c>
      <c r="H375" s="13" cm="1">
        <f t="array" ref="H375">INDEX(Financials!$B$5:$AI$260,FinancialWalk!K375,FinancialWalk!L375)</f>
        <v>-0.53478537019295236</v>
      </c>
      <c r="K375">
        <f>SUMIFS(Financials!$A$5:$A$260,Financials!$D$5:$D$260,FinancialWalk!D375,Financials!$E$5:$E$260,FinancialWalk!E375,Financials!$F$5:$F$260,FinancialWalk!F375)</f>
        <v>126</v>
      </c>
      <c r="L375">
        <f t="shared" si="51"/>
        <v>34</v>
      </c>
    </row>
    <row r="376" spans="2:12" x14ac:dyDescent="0.3">
      <c r="B376" t="str">
        <f t="shared" si="55"/>
        <v>MarinusPortland</v>
      </c>
      <c r="C376" t="s">
        <v>64</v>
      </c>
      <c r="D376">
        <v>0.05</v>
      </c>
      <c r="E376" t="str">
        <f t="shared" si="56"/>
        <v>Cal-37</v>
      </c>
      <c r="F376" t="s">
        <v>34</v>
      </c>
      <c r="G376" s="105" t="str">
        <f t="shared" si="54"/>
        <v>Merchant with PPA and Sold Swap ROI</v>
      </c>
      <c r="H376" s="13" cm="1">
        <f t="array" ref="H376">INDEX(Financials!$B$5:$AI$260,FinancialWalk!K376,FinancialWalk!L376)</f>
        <v>-0.53478537019295236</v>
      </c>
      <c r="K376">
        <f>SUMIFS(Financials!$A$5:$A$260,Financials!$D$5:$D$260,FinancialWalk!D376,Financials!$E$5:$E$260,FinancialWalk!E376,Financials!$F$5:$F$260,FinancialWalk!F376)</f>
        <v>126</v>
      </c>
      <c r="L376">
        <f t="shared" si="51"/>
        <v>34</v>
      </c>
    </row>
    <row r="377" spans="2:12" x14ac:dyDescent="0.3">
      <c r="B377" t="str">
        <f t="shared" si="55"/>
        <v>MarinusPortland</v>
      </c>
      <c r="C377" t="s">
        <v>64</v>
      </c>
      <c r="D377">
        <v>0</v>
      </c>
      <c r="E377" t="str">
        <f t="shared" si="56"/>
        <v>Cal-37</v>
      </c>
      <c r="F377" t="s">
        <v>34</v>
      </c>
      <c r="G377" s="105" t="str">
        <f t="shared" si="54"/>
        <v>Merchant with PPA and Sold Swap ROI</v>
      </c>
      <c r="H377" s="13" cm="1">
        <f t="array" ref="H377">INDEX(Financials!$B$5:$AI$260,FinancialWalk!K377,FinancialWalk!L377)</f>
        <v>-1.1516093354604067</v>
      </c>
      <c r="K377">
        <f>SUMIFS(Financials!$A$5:$A$260,Financials!$D$5:$D$260,FinancialWalk!D377,Financials!$E$5:$E$260,FinancialWalk!E377,Financials!$F$5:$F$260,FinancialWalk!F377)</f>
        <v>127</v>
      </c>
      <c r="L377">
        <f t="shared" si="51"/>
        <v>34</v>
      </c>
    </row>
    <row r="378" spans="2:12" x14ac:dyDescent="0.3">
      <c r="B378" t="str">
        <f t="shared" si="55"/>
        <v>MarinusPortland</v>
      </c>
      <c r="C378" t="s">
        <v>64</v>
      </c>
      <c r="D378" t="s">
        <v>24</v>
      </c>
      <c r="E378" t="str">
        <f t="shared" si="56"/>
        <v>Cal-37</v>
      </c>
      <c r="F378" t="s">
        <v>34</v>
      </c>
      <c r="G378" s="105" t="str">
        <f t="shared" si="54"/>
        <v>Merchant with PPA and Sold Swap ROI</v>
      </c>
      <c r="H378" s="13" cm="1">
        <f t="array" ref="H378">INDEX(Financials!$B$5:$AI$260,FinancialWalk!K378,FinancialWalk!L378)</f>
        <v>8.9242619575073387E-2</v>
      </c>
      <c r="K378">
        <f>SUMIFS(Financials!$A$5:$A$260,Financials!$D$5:$D$260,FinancialWalk!D378,Financials!$E$5:$E$260,FinancialWalk!E378,Financials!$F$5:$F$260,FinancialWalk!F378)</f>
        <v>128</v>
      </c>
      <c r="L378">
        <f t="shared" si="51"/>
        <v>34</v>
      </c>
    </row>
    <row r="379" spans="2:12" x14ac:dyDescent="0.3">
      <c r="B379" t="str">
        <f>$B$2</f>
        <v>MarinusPortland</v>
      </c>
      <c r="C379" t="s">
        <v>64</v>
      </c>
      <c r="D379">
        <v>1</v>
      </c>
      <c r="E379" t="s">
        <v>18</v>
      </c>
      <c r="F379" t="s">
        <v>44</v>
      </c>
      <c r="G379" s="105" t="str">
        <f t="shared" si="54"/>
        <v>Merchant with PPA and Sold Swap ROI</v>
      </c>
      <c r="H379" s="13" cm="1">
        <f t="array" ref="H379">INDEX(Financials!$B$5:$AI$260,FinancialWalk!K379,FinancialWalk!L379)</f>
        <v>1.5653960021038624</v>
      </c>
      <c r="K379">
        <f>SUMIFS(Financials!$A$5:$A$260,Financials!$D$5:$D$260,FinancialWalk!D379,Financials!$E$5:$E$260,FinancialWalk!E379,Financials!$F$5:$F$260,FinancialWalk!F379)</f>
        <v>249</v>
      </c>
      <c r="L379">
        <f t="shared" si="51"/>
        <v>34</v>
      </c>
    </row>
    <row r="380" spans="2:12" x14ac:dyDescent="0.3">
      <c r="B380" t="str">
        <f>B379</f>
        <v>MarinusPortland</v>
      </c>
      <c r="C380" t="s">
        <v>64</v>
      </c>
      <c r="D380">
        <v>0.95</v>
      </c>
      <c r="E380" t="str">
        <f>E379</f>
        <v>Cal-37</v>
      </c>
      <c r="F380" t="s">
        <v>44</v>
      </c>
      <c r="G380" s="105" t="str">
        <f t="shared" si="54"/>
        <v>Merchant with PPA and Sold Swap ROI</v>
      </c>
      <c r="H380" s="13" cm="1">
        <f t="array" ref="H380">INDEX(Financials!$B$5:$AI$260,FinancialWalk!K380,FinancialWalk!L380)</f>
        <v>0.73148002775752397</v>
      </c>
      <c r="K380">
        <f>SUMIFS(Financials!$A$5:$A$260,Financials!$D$5:$D$260,FinancialWalk!D380,Financials!$E$5:$E$260,FinancialWalk!E380,Financials!$F$5:$F$260,FinancialWalk!F380)</f>
        <v>250</v>
      </c>
      <c r="L380">
        <f t="shared" si="51"/>
        <v>34</v>
      </c>
    </row>
    <row r="381" spans="2:12" x14ac:dyDescent="0.3">
      <c r="B381" t="str">
        <f t="shared" ref="B381:B400" si="57">B380</f>
        <v>MarinusPortland</v>
      </c>
      <c r="C381" t="s">
        <v>64</v>
      </c>
      <c r="D381">
        <v>0.95</v>
      </c>
      <c r="E381" t="str">
        <f t="shared" ref="E381:E400" si="58">E380</f>
        <v>Cal-37</v>
      </c>
      <c r="F381" t="s">
        <v>44</v>
      </c>
      <c r="G381" s="105" t="str">
        <f t="shared" si="54"/>
        <v>Merchant with PPA and Sold Swap ROI</v>
      </c>
      <c r="H381" s="13" cm="1">
        <f t="array" ref="H381">INDEX(Financials!$B$5:$AI$260,FinancialWalk!K381,FinancialWalk!L381)</f>
        <v>0.73148002775752397</v>
      </c>
      <c r="K381">
        <f>SUMIFS(Financials!$A$5:$A$260,Financials!$D$5:$D$260,FinancialWalk!D381,Financials!$E$5:$E$260,FinancialWalk!E381,Financials!$F$5:$F$260,FinancialWalk!F381)</f>
        <v>250</v>
      </c>
      <c r="L381">
        <f t="shared" si="51"/>
        <v>34</v>
      </c>
    </row>
    <row r="382" spans="2:12" x14ac:dyDescent="0.3">
      <c r="B382" t="str">
        <f t="shared" si="57"/>
        <v>MarinusPortland</v>
      </c>
      <c r="C382" t="s">
        <v>64</v>
      </c>
      <c r="D382">
        <v>0.95</v>
      </c>
      <c r="E382" t="str">
        <f t="shared" si="58"/>
        <v>Cal-37</v>
      </c>
      <c r="F382" t="s">
        <v>44</v>
      </c>
      <c r="G382" s="105" t="str">
        <f t="shared" si="54"/>
        <v>Merchant with PPA and Sold Swap ROI</v>
      </c>
      <c r="H382" s="13" cm="1">
        <f t="array" ref="H382">INDEX(Financials!$B$5:$AI$260,FinancialWalk!K382,FinancialWalk!L382)</f>
        <v>0.73148002775752397</v>
      </c>
      <c r="K382">
        <f>SUMIFS(Financials!$A$5:$A$260,Financials!$D$5:$D$260,FinancialWalk!D382,Financials!$E$5:$E$260,FinancialWalk!E382,Financials!$F$5:$F$260,FinancialWalk!F382)</f>
        <v>250</v>
      </c>
      <c r="L382">
        <f t="shared" si="51"/>
        <v>34</v>
      </c>
    </row>
    <row r="383" spans="2:12" x14ac:dyDescent="0.3">
      <c r="B383" t="str">
        <f t="shared" si="57"/>
        <v>MarinusPortland</v>
      </c>
      <c r="C383" t="s">
        <v>64</v>
      </c>
      <c r="D383">
        <v>0.75</v>
      </c>
      <c r="E383" t="str">
        <f t="shared" si="58"/>
        <v>Cal-37</v>
      </c>
      <c r="F383" t="s">
        <v>44</v>
      </c>
      <c r="G383" s="105" t="str">
        <f t="shared" si="54"/>
        <v>Merchant with PPA and Sold Swap ROI</v>
      </c>
      <c r="H383" s="13" cm="1">
        <f t="array" ref="H383">INDEX(Financials!$B$5:$AI$260,FinancialWalk!K383,FinancialWalk!L383)</f>
        <v>0.33073617687323642</v>
      </c>
      <c r="K383">
        <f>SUMIFS(Financials!$A$5:$A$260,Financials!$D$5:$D$260,FinancialWalk!D383,Financials!$E$5:$E$260,FinancialWalk!E383,Financials!$F$5:$F$260,FinancialWalk!F383)</f>
        <v>251</v>
      </c>
      <c r="L383">
        <f t="shared" si="51"/>
        <v>34</v>
      </c>
    </row>
    <row r="384" spans="2:12" x14ac:dyDescent="0.3">
      <c r="B384" t="str">
        <f t="shared" si="57"/>
        <v>MarinusPortland</v>
      </c>
      <c r="C384" t="s">
        <v>64</v>
      </c>
      <c r="D384">
        <v>0.75</v>
      </c>
      <c r="E384" t="str">
        <f t="shared" si="58"/>
        <v>Cal-37</v>
      </c>
      <c r="F384" t="s">
        <v>44</v>
      </c>
      <c r="G384" s="105" t="str">
        <f t="shared" si="54"/>
        <v>Merchant with PPA and Sold Swap ROI</v>
      </c>
      <c r="H384" s="13" cm="1">
        <f t="array" ref="H384">INDEX(Financials!$B$5:$AI$260,FinancialWalk!K384,FinancialWalk!L384)</f>
        <v>0.33073617687323642</v>
      </c>
      <c r="K384">
        <f>SUMIFS(Financials!$A$5:$A$260,Financials!$D$5:$D$260,FinancialWalk!D384,Financials!$E$5:$E$260,FinancialWalk!E384,Financials!$F$5:$F$260,FinancialWalk!F384)</f>
        <v>251</v>
      </c>
      <c r="L384">
        <f t="shared" si="51"/>
        <v>34</v>
      </c>
    </row>
    <row r="385" spans="2:12" x14ac:dyDescent="0.3">
      <c r="B385" t="str">
        <f t="shared" si="57"/>
        <v>MarinusPortland</v>
      </c>
      <c r="C385" t="s">
        <v>64</v>
      </c>
      <c r="D385">
        <v>0.75</v>
      </c>
      <c r="E385" t="str">
        <f t="shared" si="58"/>
        <v>Cal-37</v>
      </c>
      <c r="F385" t="s">
        <v>44</v>
      </c>
      <c r="G385" s="105" t="str">
        <f t="shared" si="54"/>
        <v>Merchant with PPA and Sold Swap ROI</v>
      </c>
      <c r="H385" s="13" cm="1">
        <f t="array" ref="H385">INDEX(Financials!$B$5:$AI$260,FinancialWalk!K385,FinancialWalk!L385)</f>
        <v>0.33073617687323642</v>
      </c>
      <c r="K385">
        <f>SUMIFS(Financials!$A$5:$A$260,Financials!$D$5:$D$260,FinancialWalk!D385,Financials!$E$5:$E$260,FinancialWalk!E385,Financials!$F$5:$F$260,FinancialWalk!F385)</f>
        <v>251</v>
      </c>
      <c r="L385">
        <f t="shared" si="51"/>
        <v>34</v>
      </c>
    </row>
    <row r="386" spans="2:12" x14ac:dyDescent="0.3">
      <c r="B386" t="str">
        <f t="shared" si="57"/>
        <v>MarinusPortland</v>
      </c>
      <c r="C386" t="s">
        <v>64</v>
      </c>
      <c r="D386">
        <v>0.75</v>
      </c>
      <c r="E386" t="str">
        <f t="shared" si="58"/>
        <v>Cal-37</v>
      </c>
      <c r="F386" t="s">
        <v>44</v>
      </c>
      <c r="G386" s="105" t="str">
        <f t="shared" si="54"/>
        <v>Merchant with PPA and Sold Swap ROI</v>
      </c>
      <c r="H386" s="13" cm="1">
        <f t="array" ref="H386">INDEX(Financials!$B$5:$AI$260,FinancialWalk!K386,FinancialWalk!L386)</f>
        <v>0.33073617687323642</v>
      </c>
      <c r="K386">
        <f>SUMIFS(Financials!$A$5:$A$260,Financials!$D$5:$D$260,FinancialWalk!D386,Financials!$E$5:$E$260,FinancialWalk!E386,Financials!$F$5:$F$260,FinancialWalk!F386)</f>
        <v>251</v>
      </c>
      <c r="L386">
        <f t="shared" si="51"/>
        <v>34</v>
      </c>
    </row>
    <row r="387" spans="2:12" x14ac:dyDescent="0.3">
      <c r="B387" t="str">
        <f t="shared" si="57"/>
        <v>MarinusPortland</v>
      </c>
      <c r="C387" t="s">
        <v>64</v>
      </c>
      <c r="D387">
        <v>0.5</v>
      </c>
      <c r="E387" t="str">
        <f t="shared" si="58"/>
        <v>Cal-37</v>
      </c>
      <c r="F387" t="s">
        <v>44</v>
      </c>
      <c r="G387" s="105" t="str">
        <f t="shared" si="54"/>
        <v>Merchant with PPA and Sold Swap ROI</v>
      </c>
      <c r="H387" s="13" cm="1">
        <f t="array" ref="H387">INDEX(Financials!$B$5:$AI$260,FinancialWalk!K387,FinancialWalk!L387)</f>
        <v>4.4539503324751414E-2</v>
      </c>
      <c r="K387">
        <f>SUMIFS(Financials!$A$5:$A$260,Financials!$D$5:$D$260,FinancialWalk!D387,Financials!$E$5:$E$260,FinancialWalk!E387,Financials!$F$5:$F$260,FinancialWalk!F387)</f>
        <v>252</v>
      </c>
      <c r="L387">
        <f t="shared" si="51"/>
        <v>34</v>
      </c>
    </row>
    <row r="388" spans="2:12" x14ac:dyDescent="0.3">
      <c r="B388" t="str">
        <f t="shared" si="57"/>
        <v>MarinusPortland</v>
      </c>
      <c r="C388" t="s">
        <v>64</v>
      </c>
      <c r="D388">
        <v>0.5</v>
      </c>
      <c r="E388" t="str">
        <f t="shared" si="58"/>
        <v>Cal-37</v>
      </c>
      <c r="F388" t="s">
        <v>44</v>
      </c>
      <c r="G388" s="105" t="str">
        <f t="shared" si="54"/>
        <v>Merchant with PPA and Sold Swap ROI</v>
      </c>
      <c r="H388" s="13" cm="1">
        <f t="array" ref="H388">INDEX(Financials!$B$5:$AI$260,FinancialWalk!K388,FinancialWalk!L388)</f>
        <v>4.4539503324751414E-2</v>
      </c>
      <c r="K388">
        <f>SUMIFS(Financials!$A$5:$A$260,Financials!$D$5:$D$260,FinancialWalk!D388,Financials!$E$5:$E$260,FinancialWalk!E388,Financials!$F$5:$F$260,FinancialWalk!F388)</f>
        <v>252</v>
      </c>
      <c r="L388">
        <f t="shared" si="51"/>
        <v>34</v>
      </c>
    </row>
    <row r="389" spans="2:12" x14ac:dyDescent="0.3">
      <c r="B389" t="str">
        <f t="shared" si="57"/>
        <v>MarinusPortland</v>
      </c>
      <c r="C389" t="s">
        <v>64</v>
      </c>
      <c r="D389">
        <v>0.5</v>
      </c>
      <c r="E389" t="str">
        <f t="shared" si="58"/>
        <v>Cal-37</v>
      </c>
      <c r="F389" t="s">
        <v>44</v>
      </c>
      <c r="G389" s="105" t="str">
        <f t="shared" si="54"/>
        <v>Merchant with PPA and Sold Swap ROI</v>
      </c>
      <c r="H389" s="13" cm="1">
        <f t="array" ref="H389">INDEX(Financials!$B$5:$AI$260,FinancialWalk!K389,FinancialWalk!L389)</f>
        <v>4.4539503324751414E-2</v>
      </c>
      <c r="K389">
        <f>SUMIFS(Financials!$A$5:$A$260,Financials!$D$5:$D$260,FinancialWalk!D389,Financials!$E$5:$E$260,FinancialWalk!E389,Financials!$F$5:$F$260,FinancialWalk!F389)</f>
        <v>252</v>
      </c>
      <c r="L389">
        <f t="shared" ref="L389:L452" si="59">VLOOKUP(G389,$P$5:$Q$33,2,FALSE)</f>
        <v>34</v>
      </c>
    </row>
    <row r="390" spans="2:12" x14ac:dyDescent="0.3">
      <c r="B390" t="str">
        <f t="shared" si="57"/>
        <v>MarinusPortland</v>
      </c>
      <c r="C390" t="s">
        <v>64</v>
      </c>
      <c r="D390">
        <v>0.5</v>
      </c>
      <c r="E390" t="str">
        <f t="shared" si="58"/>
        <v>Cal-37</v>
      </c>
      <c r="F390" t="s">
        <v>44</v>
      </c>
      <c r="G390" s="105" t="str">
        <f t="shared" si="54"/>
        <v>Merchant with PPA and Sold Swap ROI</v>
      </c>
      <c r="H390" s="13" cm="1">
        <f t="array" ref="H390">INDEX(Financials!$B$5:$AI$260,FinancialWalk!K390,FinancialWalk!L390)</f>
        <v>4.4539503324751414E-2</v>
      </c>
      <c r="K390">
        <f>SUMIFS(Financials!$A$5:$A$260,Financials!$D$5:$D$260,FinancialWalk!D390,Financials!$E$5:$E$260,FinancialWalk!E390,Financials!$F$5:$F$260,FinancialWalk!F390)</f>
        <v>252</v>
      </c>
      <c r="L390">
        <f t="shared" si="59"/>
        <v>34</v>
      </c>
    </row>
    <row r="391" spans="2:12" x14ac:dyDescent="0.3">
      <c r="B391" t="str">
        <f t="shared" si="57"/>
        <v>MarinusPortland</v>
      </c>
      <c r="C391" t="s">
        <v>64</v>
      </c>
      <c r="D391">
        <v>0.5</v>
      </c>
      <c r="E391" t="str">
        <f t="shared" si="58"/>
        <v>Cal-37</v>
      </c>
      <c r="F391" t="s">
        <v>44</v>
      </c>
      <c r="G391" s="105" t="str">
        <f t="shared" si="54"/>
        <v>Merchant with PPA and Sold Swap ROI</v>
      </c>
      <c r="H391" s="13" cm="1">
        <f t="array" ref="H391">INDEX(Financials!$B$5:$AI$260,FinancialWalk!K391,FinancialWalk!L391)</f>
        <v>4.4539503324751414E-2</v>
      </c>
      <c r="K391">
        <f>SUMIFS(Financials!$A$5:$A$260,Financials!$D$5:$D$260,FinancialWalk!D391,Financials!$E$5:$E$260,FinancialWalk!E391,Financials!$F$5:$F$260,FinancialWalk!F391)</f>
        <v>252</v>
      </c>
      <c r="L391">
        <f t="shared" si="59"/>
        <v>34</v>
      </c>
    </row>
    <row r="392" spans="2:12" x14ac:dyDescent="0.3">
      <c r="B392" t="str">
        <f t="shared" si="57"/>
        <v>MarinusPortland</v>
      </c>
      <c r="C392" t="s">
        <v>64</v>
      </c>
      <c r="D392">
        <v>0.25</v>
      </c>
      <c r="E392" t="str">
        <f t="shared" si="58"/>
        <v>Cal-37</v>
      </c>
      <c r="F392" t="s">
        <v>44</v>
      </c>
      <c r="G392" s="105" t="str">
        <f t="shared" si="54"/>
        <v>Merchant with PPA and Sold Swap ROI</v>
      </c>
      <c r="H392" s="13" cm="1">
        <f t="array" ref="H392">INDEX(Financials!$B$5:$AI$260,FinancialWalk!K392,FinancialWalk!L392)</f>
        <v>-0.20078691688734668</v>
      </c>
      <c r="K392">
        <f>SUMIFS(Financials!$A$5:$A$260,Financials!$D$5:$D$260,FinancialWalk!D392,Financials!$E$5:$E$260,FinancialWalk!E392,Financials!$F$5:$F$260,FinancialWalk!F392)</f>
        <v>253</v>
      </c>
      <c r="L392">
        <f t="shared" si="59"/>
        <v>34</v>
      </c>
    </row>
    <row r="393" spans="2:12" x14ac:dyDescent="0.3">
      <c r="B393" t="str">
        <f t="shared" si="57"/>
        <v>MarinusPortland</v>
      </c>
      <c r="C393" t="s">
        <v>64</v>
      </c>
      <c r="D393">
        <v>0.25</v>
      </c>
      <c r="E393" t="str">
        <f t="shared" si="58"/>
        <v>Cal-37</v>
      </c>
      <c r="F393" t="s">
        <v>44</v>
      </c>
      <c r="G393" s="105" t="str">
        <f t="shared" si="54"/>
        <v>Merchant with PPA and Sold Swap ROI</v>
      </c>
      <c r="H393" s="13" cm="1">
        <f t="array" ref="H393">INDEX(Financials!$B$5:$AI$260,FinancialWalk!K393,FinancialWalk!L393)</f>
        <v>-0.20078691688734668</v>
      </c>
      <c r="K393">
        <f>SUMIFS(Financials!$A$5:$A$260,Financials!$D$5:$D$260,FinancialWalk!D393,Financials!$E$5:$E$260,FinancialWalk!E393,Financials!$F$5:$F$260,FinancialWalk!F393)</f>
        <v>253</v>
      </c>
      <c r="L393">
        <f t="shared" si="59"/>
        <v>34</v>
      </c>
    </row>
    <row r="394" spans="2:12" x14ac:dyDescent="0.3">
      <c r="B394" t="str">
        <f t="shared" si="57"/>
        <v>MarinusPortland</v>
      </c>
      <c r="C394" t="s">
        <v>64</v>
      </c>
      <c r="D394">
        <v>0.25</v>
      </c>
      <c r="E394" t="str">
        <f t="shared" si="58"/>
        <v>Cal-37</v>
      </c>
      <c r="F394" t="s">
        <v>44</v>
      </c>
      <c r="G394" s="105" t="str">
        <f t="shared" si="54"/>
        <v>Merchant with PPA and Sold Swap ROI</v>
      </c>
      <c r="H394" s="13" cm="1">
        <f t="array" ref="H394">INDEX(Financials!$B$5:$AI$260,FinancialWalk!K394,FinancialWalk!L394)</f>
        <v>-0.20078691688734668</v>
      </c>
      <c r="K394">
        <f>SUMIFS(Financials!$A$5:$A$260,Financials!$D$5:$D$260,FinancialWalk!D394,Financials!$E$5:$E$260,FinancialWalk!E394,Financials!$F$5:$F$260,FinancialWalk!F394)</f>
        <v>253</v>
      </c>
      <c r="L394">
        <f t="shared" si="59"/>
        <v>34</v>
      </c>
    </row>
    <row r="395" spans="2:12" x14ac:dyDescent="0.3">
      <c r="B395" t="str">
        <f t="shared" si="57"/>
        <v>MarinusPortland</v>
      </c>
      <c r="C395" t="s">
        <v>64</v>
      </c>
      <c r="D395">
        <v>0.25</v>
      </c>
      <c r="E395" t="str">
        <f t="shared" si="58"/>
        <v>Cal-37</v>
      </c>
      <c r="F395" t="s">
        <v>44</v>
      </c>
      <c r="G395" s="105" t="str">
        <f t="shared" si="54"/>
        <v>Merchant with PPA and Sold Swap ROI</v>
      </c>
      <c r="H395" s="13" cm="1">
        <f t="array" ref="H395">INDEX(Financials!$B$5:$AI$260,FinancialWalk!K395,FinancialWalk!L395)</f>
        <v>-0.20078691688734668</v>
      </c>
      <c r="K395">
        <f>SUMIFS(Financials!$A$5:$A$260,Financials!$D$5:$D$260,FinancialWalk!D395,Financials!$E$5:$E$260,FinancialWalk!E395,Financials!$F$5:$F$260,FinancialWalk!F395)</f>
        <v>253</v>
      </c>
      <c r="L395">
        <f t="shared" si="59"/>
        <v>34</v>
      </c>
    </row>
    <row r="396" spans="2:12" x14ac:dyDescent="0.3">
      <c r="B396" t="str">
        <f t="shared" si="57"/>
        <v>MarinusPortland</v>
      </c>
      <c r="C396" t="s">
        <v>64</v>
      </c>
      <c r="D396">
        <v>0.05</v>
      </c>
      <c r="E396" t="str">
        <f t="shared" si="58"/>
        <v>Cal-37</v>
      </c>
      <c r="F396" t="s">
        <v>44</v>
      </c>
      <c r="G396" s="105" t="str">
        <f t="shared" si="54"/>
        <v>Merchant with PPA and Sold Swap ROI</v>
      </c>
      <c r="H396" s="13" cm="1">
        <f t="array" ref="H396">INDEX(Financials!$B$5:$AI$260,FinancialWalk!K396,FinancialWalk!L396)</f>
        <v>-0.86105142749090724</v>
      </c>
      <c r="K396">
        <f>SUMIFS(Financials!$A$5:$A$260,Financials!$D$5:$D$260,FinancialWalk!D396,Financials!$E$5:$E$260,FinancialWalk!E396,Financials!$F$5:$F$260,FinancialWalk!F396)</f>
        <v>254</v>
      </c>
      <c r="L396">
        <f t="shared" si="59"/>
        <v>34</v>
      </c>
    </row>
    <row r="397" spans="2:12" x14ac:dyDescent="0.3">
      <c r="B397" t="str">
        <f t="shared" si="57"/>
        <v>MarinusPortland</v>
      </c>
      <c r="C397" t="s">
        <v>64</v>
      </c>
      <c r="D397">
        <v>0.05</v>
      </c>
      <c r="E397" t="str">
        <f t="shared" si="58"/>
        <v>Cal-37</v>
      </c>
      <c r="F397" t="s">
        <v>44</v>
      </c>
      <c r="G397" s="105" t="str">
        <f t="shared" si="54"/>
        <v>Merchant with PPA and Sold Swap ROI</v>
      </c>
      <c r="H397" s="13" cm="1">
        <f t="array" ref="H397">INDEX(Financials!$B$5:$AI$260,FinancialWalk!K397,FinancialWalk!L397)</f>
        <v>-0.86105142749090724</v>
      </c>
      <c r="K397">
        <f>SUMIFS(Financials!$A$5:$A$260,Financials!$D$5:$D$260,FinancialWalk!D397,Financials!$E$5:$E$260,FinancialWalk!E397,Financials!$F$5:$F$260,FinancialWalk!F397)</f>
        <v>254</v>
      </c>
      <c r="L397">
        <f t="shared" si="59"/>
        <v>34</v>
      </c>
    </row>
    <row r="398" spans="2:12" x14ac:dyDescent="0.3">
      <c r="B398" t="str">
        <f t="shared" si="57"/>
        <v>MarinusPortland</v>
      </c>
      <c r="C398" t="s">
        <v>64</v>
      </c>
      <c r="D398">
        <v>0.05</v>
      </c>
      <c r="E398" t="str">
        <f t="shared" si="58"/>
        <v>Cal-37</v>
      </c>
      <c r="F398" t="s">
        <v>44</v>
      </c>
      <c r="G398" s="105" t="str">
        <f t="shared" si="54"/>
        <v>Merchant with PPA and Sold Swap ROI</v>
      </c>
      <c r="H398" s="13" cm="1">
        <f t="array" ref="H398">INDEX(Financials!$B$5:$AI$260,FinancialWalk!K398,FinancialWalk!L398)</f>
        <v>-0.86105142749090724</v>
      </c>
      <c r="K398">
        <f>SUMIFS(Financials!$A$5:$A$260,Financials!$D$5:$D$260,FinancialWalk!D398,Financials!$E$5:$E$260,FinancialWalk!E398,Financials!$F$5:$F$260,FinancialWalk!F398)</f>
        <v>254</v>
      </c>
      <c r="L398">
        <f t="shared" si="59"/>
        <v>34</v>
      </c>
    </row>
    <row r="399" spans="2:12" x14ac:dyDescent="0.3">
      <c r="B399" t="str">
        <f t="shared" si="57"/>
        <v>MarinusPortland</v>
      </c>
      <c r="C399" t="s">
        <v>64</v>
      </c>
      <c r="D399">
        <v>0</v>
      </c>
      <c r="E399" t="str">
        <f t="shared" si="58"/>
        <v>Cal-37</v>
      </c>
      <c r="F399" t="s">
        <v>44</v>
      </c>
      <c r="G399" s="105" t="str">
        <f t="shared" si="54"/>
        <v>Merchant with PPA and Sold Swap ROI</v>
      </c>
      <c r="H399" s="13" cm="1">
        <f t="array" ref="H399">INDEX(Financials!$B$5:$AI$260,FinancialWalk!K399,FinancialWalk!L399)</f>
        <v>-1.5786106917386307</v>
      </c>
      <c r="K399">
        <f>SUMIFS(Financials!$A$5:$A$260,Financials!$D$5:$D$260,FinancialWalk!D399,Financials!$E$5:$E$260,FinancialWalk!E399,Financials!$F$5:$F$260,FinancialWalk!F399)</f>
        <v>255</v>
      </c>
      <c r="L399">
        <f t="shared" si="59"/>
        <v>34</v>
      </c>
    </row>
    <row r="400" spans="2:12" x14ac:dyDescent="0.3">
      <c r="B400" t="str">
        <f t="shared" si="57"/>
        <v>MarinusPortland</v>
      </c>
      <c r="C400" t="s">
        <v>64</v>
      </c>
      <c r="D400" t="s">
        <v>24</v>
      </c>
      <c r="E400" t="str">
        <f t="shared" si="58"/>
        <v>Cal-37</v>
      </c>
      <c r="F400" t="s">
        <v>44</v>
      </c>
      <c r="G400" s="105" t="str">
        <f t="shared" si="54"/>
        <v>Merchant with PPA and Sold Swap ROI</v>
      </c>
      <c r="H400" s="13" cm="1">
        <f t="array" ref="H400">INDEX(Financials!$B$5:$AI$260,FinancialWalk!K400,FinancialWalk!L400)</f>
        <v>8.2154035075588591E-2</v>
      </c>
      <c r="K400">
        <f>SUMIFS(Financials!$A$5:$A$260,Financials!$D$5:$D$260,FinancialWalk!D400,Financials!$E$5:$E$260,FinancialWalk!E400,Financials!$F$5:$F$260,FinancialWalk!F400)</f>
        <v>256</v>
      </c>
      <c r="L400">
        <f t="shared" si="59"/>
        <v>34</v>
      </c>
    </row>
    <row r="401" spans="1:12" x14ac:dyDescent="0.3">
      <c r="A401">
        <v>1</v>
      </c>
      <c r="B401" t="str">
        <f>$B$2</f>
        <v>MarinusPortland</v>
      </c>
      <c r="C401" t="s">
        <v>64</v>
      </c>
      <c r="D401">
        <v>1</v>
      </c>
      <c r="E401" t="s">
        <v>18</v>
      </c>
      <c r="F401" t="s">
        <v>34</v>
      </c>
      <c r="G401" s="105" t="s">
        <v>133</v>
      </c>
      <c r="H401" s="20" cm="1">
        <f t="array" ref="H401">INDEX(Financials!$B$5:$AI$260,FinancialWalk!K401,FinancialWalk!L401)</f>
        <v>206325010.05516896</v>
      </c>
      <c r="K401">
        <f>SUMIFS(Financials!$A$5:$A$260,Financials!$D$5:$D$260,FinancialWalk!D401,Financials!$E$5:$E$260,FinancialWalk!E401,Financials!$F$5:$F$260,FinancialWalk!F401)</f>
        <v>121</v>
      </c>
      <c r="L401">
        <f t="shared" si="59"/>
        <v>20</v>
      </c>
    </row>
    <row r="402" spans="1:12" x14ac:dyDescent="0.3">
      <c r="B402" t="str">
        <f>B401</f>
        <v>MarinusPortland</v>
      </c>
      <c r="C402" t="s">
        <v>64</v>
      </c>
      <c r="D402">
        <v>0.95</v>
      </c>
      <c r="E402" t="str">
        <f>E401</f>
        <v>Cal-37</v>
      </c>
      <c r="F402" t="s">
        <v>34</v>
      </c>
      <c r="G402" s="105" t="s">
        <v>133</v>
      </c>
      <c r="H402" s="20" cm="1">
        <f t="array" ref="H402">INDEX(Financials!$B$5:$AI$260,FinancialWalk!K402,FinancialWalk!L402)</f>
        <v>96129780.673750639</v>
      </c>
      <c r="K402">
        <f>SUMIFS(Financials!$A$5:$A$260,Financials!$D$5:$D$260,FinancialWalk!D402,Financials!$E$5:$E$260,FinancialWalk!E402,Financials!$F$5:$F$260,FinancialWalk!F402)</f>
        <v>122</v>
      </c>
      <c r="L402">
        <f t="shared" si="59"/>
        <v>20</v>
      </c>
    </row>
    <row r="403" spans="1:12" x14ac:dyDescent="0.3">
      <c r="B403" t="str">
        <f t="shared" ref="B403:B422" si="60">B402</f>
        <v>MarinusPortland</v>
      </c>
      <c r="C403" t="s">
        <v>64</v>
      </c>
      <c r="D403">
        <v>0.95</v>
      </c>
      <c r="E403" t="str">
        <f t="shared" ref="E403:E422" si="61">E402</f>
        <v>Cal-37</v>
      </c>
      <c r="F403" t="s">
        <v>34</v>
      </c>
      <c r="G403" s="105" t="s">
        <v>133</v>
      </c>
      <c r="H403" s="20" cm="1">
        <f t="array" ref="H403">INDEX(Financials!$B$5:$AI$260,FinancialWalk!K403,FinancialWalk!L403)</f>
        <v>96129780.673750639</v>
      </c>
      <c r="K403">
        <f>SUMIFS(Financials!$A$5:$A$260,Financials!$D$5:$D$260,FinancialWalk!D403,Financials!$E$5:$E$260,FinancialWalk!E403,Financials!$F$5:$F$260,FinancialWalk!F403)</f>
        <v>122</v>
      </c>
      <c r="L403">
        <f t="shared" si="59"/>
        <v>20</v>
      </c>
    </row>
    <row r="404" spans="1:12" x14ac:dyDescent="0.3">
      <c r="B404" t="str">
        <f t="shared" si="60"/>
        <v>MarinusPortland</v>
      </c>
      <c r="C404" t="s">
        <v>64</v>
      </c>
      <c r="D404">
        <v>0.95</v>
      </c>
      <c r="E404" t="str">
        <f t="shared" si="61"/>
        <v>Cal-37</v>
      </c>
      <c r="F404" t="s">
        <v>34</v>
      </c>
      <c r="G404" s="105" t="s">
        <v>133</v>
      </c>
      <c r="H404" s="20" cm="1">
        <f t="array" ref="H404">INDEX(Financials!$B$5:$AI$260,FinancialWalk!K404,FinancialWalk!L404)</f>
        <v>96129780.673750639</v>
      </c>
      <c r="K404">
        <f>SUMIFS(Financials!$A$5:$A$260,Financials!$D$5:$D$260,FinancialWalk!D404,Financials!$E$5:$E$260,FinancialWalk!E404,Financials!$F$5:$F$260,FinancialWalk!F404)</f>
        <v>122</v>
      </c>
      <c r="L404">
        <f t="shared" si="59"/>
        <v>20</v>
      </c>
    </row>
    <row r="405" spans="1:12" x14ac:dyDescent="0.3">
      <c r="B405" t="str">
        <f t="shared" si="60"/>
        <v>MarinusPortland</v>
      </c>
      <c r="C405" t="s">
        <v>64</v>
      </c>
      <c r="D405">
        <v>0.75</v>
      </c>
      <c r="E405" t="str">
        <f t="shared" si="61"/>
        <v>Cal-37</v>
      </c>
      <c r="F405" t="s">
        <v>34</v>
      </c>
      <c r="G405" s="105" t="s">
        <v>133</v>
      </c>
      <c r="H405" s="20" cm="1">
        <f t="array" ref="H405">INDEX(Financials!$B$5:$AI$260,FinancialWalk!K405,FinancialWalk!L405)</f>
        <v>42413583.526129827</v>
      </c>
      <c r="K405">
        <f>SUMIFS(Financials!$A$5:$A$260,Financials!$D$5:$D$260,FinancialWalk!D405,Financials!$E$5:$E$260,FinancialWalk!E405,Financials!$F$5:$F$260,FinancialWalk!F405)</f>
        <v>123</v>
      </c>
      <c r="L405">
        <f t="shared" si="59"/>
        <v>20</v>
      </c>
    </row>
    <row r="406" spans="1:12" x14ac:dyDescent="0.3">
      <c r="B406" t="str">
        <f t="shared" si="60"/>
        <v>MarinusPortland</v>
      </c>
      <c r="C406" t="s">
        <v>64</v>
      </c>
      <c r="D406">
        <v>0.75</v>
      </c>
      <c r="E406" t="str">
        <f t="shared" si="61"/>
        <v>Cal-37</v>
      </c>
      <c r="F406" t="s">
        <v>34</v>
      </c>
      <c r="G406" s="105" t="s">
        <v>133</v>
      </c>
      <c r="H406" s="20" cm="1">
        <f t="array" ref="H406">INDEX(Financials!$B$5:$AI$260,FinancialWalk!K406,FinancialWalk!L406)</f>
        <v>42413583.526129827</v>
      </c>
      <c r="K406">
        <f>SUMIFS(Financials!$A$5:$A$260,Financials!$D$5:$D$260,FinancialWalk!D406,Financials!$E$5:$E$260,FinancialWalk!E406,Financials!$F$5:$F$260,FinancialWalk!F406)</f>
        <v>123</v>
      </c>
      <c r="L406">
        <f t="shared" si="59"/>
        <v>20</v>
      </c>
    </row>
    <row r="407" spans="1:12" x14ac:dyDescent="0.3">
      <c r="B407" t="str">
        <f t="shared" si="60"/>
        <v>MarinusPortland</v>
      </c>
      <c r="C407" t="s">
        <v>64</v>
      </c>
      <c r="D407">
        <v>0.75</v>
      </c>
      <c r="E407" t="str">
        <f t="shared" si="61"/>
        <v>Cal-37</v>
      </c>
      <c r="F407" t="s">
        <v>34</v>
      </c>
      <c r="G407" s="105" t="s">
        <v>133</v>
      </c>
      <c r="H407" s="20" cm="1">
        <f t="array" ref="H407">INDEX(Financials!$B$5:$AI$260,FinancialWalk!K407,FinancialWalk!L407)</f>
        <v>42413583.526129827</v>
      </c>
      <c r="K407">
        <f>SUMIFS(Financials!$A$5:$A$260,Financials!$D$5:$D$260,FinancialWalk!D407,Financials!$E$5:$E$260,FinancialWalk!E407,Financials!$F$5:$F$260,FinancialWalk!F407)</f>
        <v>123</v>
      </c>
      <c r="L407">
        <f t="shared" si="59"/>
        <v>20</v>
      </c>
    </row>
    <row r="408" spans="1:12" x14ac:dyDescent="0.3">
      <c r="B408" t="str">
        <f t="shared" si="60"/>
        <v>MarinusPortland</v>
      </c>
      <c r="C408" t="s">
        <v>64</v>
      </c>
      <c r="D408">
        <v>0.75</v>
      </c>
      <c r="E408" t="str">
        <f t="shared" si="61"/>
        <v>Cal-37</v>
      </c>
      <c r="F408" t="s">
        <v>34</v>
      </c>
      <c r="G408" s="105" t="s">
        <v>133</v>
      </c>
      <c r="H408" s="20" cm="1">
        <f t="array" ref="H408">INDEX(Financials!$B$5:$AI$260,FinancialWalk!K408,FinancialWalk!L408)</f>
        <v>42413583.526129827</v>
      </c>
      <c r="K408">
        <f>SUMIFS(Financials!$A$5:$A$260,Financials!$D$5:$D$260,FinancialWalk!D408,Financials!$E$5:$E$260,FinancialWalk!E408,Financials!$F$5:$F$260,FinancialWalk!F408)</f>
        <v>123</v>
      </c>
      <c r="L408">
        <f t="shared" si="59"/>
        <v>20</v>
      </c>
    </row>
    <row r="409" spans="1:12" x14ac:dyDescent="0.3">
      <c r="B409" t="str">
        <f t="shared" si="60"/>
        <v>MarinusPortland</v>
      </c>
      <c r="C409" t="s">
        <v>64</v>
      </c>
      <c r="D409">
        <v>0.5</v>
      </c>
      <c r="E409" t="str">
        <f t="shared" si="61"/>
        <v>Cal-37</v>
      </c>
      <c r="F409" t="s">
        <v>34</v>
      </c>
      <c r="G409" s="105" t="s">
        <v>133</v>
      </c>
      <c r="H409" s="20" cm="1">
        <f t="array" ref="H409">INDEX(Financials!$B$5:$AI$260,FinancialWalk!K409,FinancialWalk!L409)</f>
        <v>4401584.6845321357</v>
      </c>
      <c r="K409">
        <f>SUMIFS(Financials!$A$5:$A$260,Financials!$D$5:$D$260,FinancialWalk!D409,Financials!$E$5:$E$260,FinancialWalk!E409,Financials!$F$5:$F$260,FinancialWalk!F409)</f>
        <v>124</v>
      </c>
      <c r="L409">
        <f t="shared" si="59"/>
        <v>20</v>
      </c>
    </row>
    <row r="410" spans="1:12" x14ac:dyDescent="0.3">
      <c r="B410" t="str">
        <f t="shared" si="60"/>
        <v>MarinusPortland</v>
      </c>
      <c r="C410" t="s">
        <v>64</v>
      </c>
      <c r="D410">
        <v>0.5</v>
      </c>
      <c r="E410" t="str">
        <f t="shared" si="61"/>
        <v>Cal-37</v>
      </c>
      <c r="F410" t="s">
        <v>34</v>
      </c>
      <c r="G410" s="105" t="s">
        <v>133</v>
      </c>
      <c r="H410" s="20" cm="1">
        <f t="array" ref="H410">INDEX(Financials!$B$5:$AI$260,FinancialWalk!K410,FinancialWalk!L410)</f>
        <v>4401584.6845321357</v>
      </c>
      <c r="K410">
        <f>SUMIFS(Financials!$A$5:$A$260,Financials!$D$5:$D$260,FinancialWalk!D410,Financials!$E$5:$E$260,FinancialWalk!E410,Financials!$F$5:$F$260,FinancialWalk!F410)</f>
        <v>124</v>
      </c>
      <c r="L410">
        <f t="shared" si="59"/>
        <v>20</v>
      </c>
    </row>
    <row r="411" spans="1:12" x14ac:dyDescent="0.3">
      <c r="B411" t="str">
        <f t="shared" si="60"/>
        <v>MarinusPortland</v>
      </c>
      <c r="C411" t="s">
        <v>64</v>
      </c>
      <c r="D411">
        <v>0.5</v>
      </c>
      <c r="E411" t="str">
        <f t="shared" si="61"/>
        <v>Cal-37</v>
      </c>
      <c r="F411" t="s">
        <v>34</v>
      </c>
      <c r="G411" s="105" t="s">
        <v>133</v>
      </c>
      <c r="H411" s="20" cm="1">
        <f t="array" ref="H411">INDEX(Financials!$B$5:$AI$260,FinancialWalk!K411,FinancialWalk!L411)</f>
        <v>4401584.6845321357</v>
      </c>
      <c r="K411">
        <f>SUMIFS(Financials!$A$5:$A$260,Financials!$D$5:$D$260,FinancialWalk!D411,Financials!$E$5:$E$260,FinancialWalk!E411,Financials!$F$5:$F$260,FinancialWalk!F411)</f>
        <v>124</v>
      </c>
      <c r="L411">
        <f t="shared" si="59"/>
        <v>20</v>
      </c>
    </row>
    <row r="412" spans="1:12" x14ac:dyDescent="0.3">
      <c r="B412" t="str">
        <f t="shared" si="60"/>
        <v>MarinusPortland</v>
      </c>
      <c r="C412" t="s">
        <v>64</v>
      </c>
      <c r="D412">
        <v>0.5</v>
      </c>
      <c r="E412" t="str">
        <f t="shared" si="61"/>
        <v>Cal-37</v>
      </c>
      <c r="F412" t="s">
        <v>34</v>
      </c>
      <c r="G412" s="105" t="s">
        <v>133</v>
      </c>
      <c r="H412" s="20" cm="1">
        <f t="array" ref="H412">INDEX(Financials!$B$5:$AI$260,FinancialWalk!K412,FinancialWalk!L412)</f>
        <v>4401584.6845321357</v>
      </c>
      <c r="K412">
        <f>SUMIFS(Financials!$A$5:$A$260,Financials!$D$5:$D$260,FinancialWalk!D412,Financials!$E$5:$E$260,FinancialWalk!E412,Financials!$F$5:$F$260,FinancialWalk!F412)</f>
        <v>124</v>
      </c>
      <c r="L412">
        <f t="shared" si="59"/>
        <v>20</v>
      </c>
    </row>
    <row r="413" spans="1:12" x14ac:dyDescent="0.3">
      <c r="B413" t="str">
        <f t="shared" si="60"/>
        <v>MarinusPortland</v>
      </c>
      <c r="C413" t="s">
        <v>64</v>
      </c>
      <c r="D413">
        <v>0.5</v>
      </c>
      <c r="E413" t="str">
        <f t="shared" si="61"/>
        <v>Cal-37</v>
      </c>
      <c r="F413" t="s">
        <v>34</v>
      </c>
      <c r="G413" s="105" t="s">
        <v>133</v>
      </c>
      <c r="H413" s="20" cm="1">
        <f t="array" ref="H413">INDEX(Financials!$B$5:$AI$260,FinancialWalk!K413,FinancialWalk!L413)</f>
        <v>4401584.6845321357</v>
      </c>
      <c r="K413">
        <f>SUMIFS(Financials!$A$5:$A$260,Financials!$D$5:$D$260,FinancialWalk!D413,Financials!$E$5:$E$260,FinancialWalk!E413,Financials!$F$5:$F$260,FinancialWalk!F413)</f>
        <v>124</v>
      </c>
      <c r="L413">
        <f t="shared" si="59"/>
        <v>20</v>
      </c>
    </row>
    <row r="414" spans="1:12" x14ac:dyDescent="0.3">
      <c r="B414" t="str">
        <f t="shared" si="60"/>
        <v>MarinusPortland</v>
      </c>
      <c r="C414" t="s">
        <v>64</v>
      </c>
      <c r="D414">
        <v>0.25</v>
      </c>
      <c r="E414" t="str">
        <f t="shared" si="61"/>
        <v>Cal-37</v>
      </c>
      <c r="F414" t="s">
        <v>34</v>
      </c>
      <c r="G414" s="105" t="s">
        <v>133</v>
      </c>
      <c r="H414" s="20" cm="1">
        <f t="array" ref="H414">INDEX(Financials!$B$5:$AI$260,FinancialWalk!K414,FinancialWalk!L414)</f>
        <v>-30248803.945498239</v>
      </c>
      <c r="K414">
        <f>SUMIFS(Financials!$A$5:$A$260,Financials!$D$5:$D$260,FinancialWalk!D414,Financials!$E$5:$E$260,FinancialWalk!E414,Financials!$F$5:$F$260,FinancialWalk!F414)</f>
        <v>125</v>
      </c>
      <c r="L414">
        <f t="shared" si="59"/>
        <v>20</v>
      </c>
    </row>
    <row r="415" spans="1:12" x14ac:dyDescent="0.3">
      <c r="B415" t="str">
        <f t="shared" si="60"/>
        <v>MarinusPortland</v>
      </c>
      <c r="C415" t="s">
        <v>64</v>
      </c>
      <c r="D415">
        <v>0.25</v>
      </c>
      <c r="E415" t="str">
        <f t="shared" si="61"/>
        <v>Cal-37</v>
      </c>
      <c r="F415" t="s">
        <v>34</v>
      </c>
      <c r="G415" s="105" t="s">
        <v>133</v>
      </c>
      <c r="H415" s="20" cm="1">
        <f t="array" ref="H415">INDEX(Financials!$B$5:$AI$260,FinancialWalk!K415,FinancialWalk!L415)</f>
        <v>-30248803.945498239</v>
      </c>
      <c r="K415">
        <f>SUMIFS(Financials!$A$5:$A$260,Financials!$D$5:$D$260,FinancialWalk!D415,Financials!$E$5:$E$260,FinancialWalk!E415,Financials!$F$5:$F$260,FinancialWalk!F415)</f>
        <v>125</v>
      </c>
      <c r="L415">
        <f t="shared" si="59"/>
        <v>20</v>
      </c>
    </row>
    <row r="416" spans="1:12" x14ac:dyDescent="0.3">
      <c r="B416" t="str">
        <f t="shared" si="60"/>
        <v>MarinusPortland</v>
      </c>
      <c r="C416" t="s">
        <v>64</v>
      </c>
      <c r="D416">
        <v>0.25</v>
      </c>
      <c r="E416" t="str">
        <f t="shared" si="61"/>
        <v>Cal-37</v>
      </c>
      <c r="F416" t="s">
        <v>34</v>
      </c>
      <c r="G416" s="105" t="s">
        <v>133</v>
      </c>
      <c r="H416" s="20" cm="1">
        <f t="array" ref="H416">INDEX(Financials!$B$5:$AI$260,FinancialWalk!K416,FinancialWalk!L416)</f>
        <v>-30248803.945498239</v>
      </c>
      <c r="K416">
        <f>SUMIFS(Financials!$A$5:$A$260,Financials!$D$5:$D$260,FinancialWalk!D416,Financials!$E$5:$E$260,FinancialWalk!E416,Financials!$F$5:$F$260,FinancialWalk!F416)</f>
        <v>125</v>
      </c>
      <c r="L416">
        <f t="shared" si="59"/>
        <v>20</v>
      </c>
    </row>
    <row r="417" spans="2:12" x14ac:dyDescent="0.3">
      <c r="B417" t="str">
        <f t="shared" si="60"/>
        <v>MarinusPortland</v>
      </c>
      <c r="C417" t="s">
        <v>64</v>
      </c>
      <c r="D417">
        <v>0.25</v>
      </c>
      <c r="E417" t="str">
        <f t="shared" si="61"/>
        <v>Cal-37</v>
      </c>
      <c r="F417" t="s">
        <v>34</v>
      </c>
      <c r="G417" s="105" t="s">
        <v>133</v>
      </c>
      <c r="H417" s="20" cm="1">
        <f t="array" ref="H417">INDEX(Financials!$B$5:$AI$260,FinancialWalk!K417,FinancialWalk!L417)</f>
        <v>-30248803.945498239</v>
      </c>
      <c r="K417">
        <f>SUMIFS(Financials!$A$5:$A$260,Financials!$D$5:$D$260,FinancialWalk!D417,Financials!$E$5:$E$260,FinancialWalk!E417,Financials!$F$5:$F$260,FinancialWalk!F417)</f>
        <v>125</v>
      </c>
      <c r="L417">
        <f t="shared" si="59"/>
        <v>20</v>
      </c>
    </row>
    <row r="418" spans="2:12" x14ac:dyDescent="0.3">
      <c r="B418" t="str">
        <f t="shared" si="60"/>
        <v>MarinusPortland</v>
      </c>
      <c r="C418" t="s">
        <v>64</v>
      </c>
      <c r="D418">
        <v>0.05</v>
      </c>
      <c r="E418" t="str">
        <f t="shared" si="61"/>
        <v>Cal-37</v>
      </c>
      <c r="F418" t="s">
        <v>34</v>
      </c>
      <c r="G418" s="105" t="s">
        <v>133</v>
      </c>
      <c r="H418" s="20" cm="1">
        <f t="array" ref="H418">INDEX(Financials!$B$5:$AI$260,FinancialWalk!K418,FinancialWalk!L418)</f>
        <v>-73136840.394511402</v>
      </c>
      <c r="K418">
        <f>SUMIFS(Financials!$A$5:$A$260,Financials!$D$5:$D$260,FinancialWalk!D418,Financials!$E$5:$E$260,FinancialWalk!E418,Financials!$F$5:$F$260,FinancialWalk!F418)</f>
        <v>126</v>
      </c>
      <c r="L418">
        <f t="shared" si="59"/>
        <v>20</v>
      </c>
    </row>
    <row r="419" spans="2:12" x14ac:dyDescent="0.3">
      <c r="B419" t="str">
        <f t="shared" si="60"/>
        <v>MarinusPortland</v>
      </c>
      <c r="C419" t="s">
        <v>64</v>
      </c>
      <c r="D419">
        <v>0.05</v>
      </c>
      <c r="E419" t="str">
        <f t="shared" si="61"/>
        <v>Cal-37</v>
      </c>
      <c r="F419" t="s">
        <v>34</v>
      </c>
      <c r="G419" s="105" t="s">
        <v>133</v>
      </c>
      <c r="H419" s="20" cm="1">
        <f t="array" ref="H419">INDEX(Financials!$B$5:$AI$260,FinancialWalk!K419,FinancialWalk!L419)</f>
        <v>-73136840.394511402</v>
      </c>
      <c r="K419">
        <f>SUMIFS(Financials!$A$5:$A$260,Financials!$D$5:$D$260,FinancialWalk!D419,Financials!$E$5:$E$260,FinancialWalk!E419,Financials!$F$5:$F$260,FinancialWalk!F419)</f>
        <v>126</v>
      </c>
      <c r="L419">
        <f t="shared" si="59"/>
        <v>20</v>
      </c>
    </row>
    <row r="420" spans="2:12" x14ac:dyDescent="0.3">
      <c r="B420" t="str">
        <f t="shared" si="60"/>
        <v>MarinusPortland</v>
      </c>
      <c r="C420" t="s">
        <v>64</v>
      </c>
      <c r="D420">
        <v>0.05</v>
      </c>
      <c r="E420" t="str">
        <f t="shared" si="61"/>
        <v>Cal-37</v>
      </c>
      <c r="F420" t="s">
        <v>34</v>
      </c>
      <c r="G420" s="105" t="s">
        <v>133</v>
      </c>
      <c r="H420" s="20" cm="1">
        <f t="array" ref="H420">INDEX(Financials!$B$5:$AI$260,FinancialWalk!K420,FinancialWalk!L420)</f>
        <v>-73136840.394511402</v>
      </c>
      <c r="K420">
        <f>SUMIFS(Financials!$A$5:$A$260,Financials!$D$5:$D$260,FinancialWalk!D420,Financials!$E$5:$E$260,FinancialWalk!E420,Financials!$F$5:$F$260,FinancialWalk!F420)</f>
        <v>126</v>
      </c>
      <c r="L420">
        <f t="shared" si="59"/>
        <v>20</v>
      </c>
    </row>
    <row r="421" spans="2:12" x14ac:dyDescent="0.3">
      <c r="B421" t="str">
        <f t="shared" si="60"/>
        <v>MarinusPortland</v>
      </c>
      <c r="C421" t="s">
        <v>64</v>
      </c>
      <c r="D421">
        <v>0</v>
      </c>
      <c r="E421" t="str">
        <f t="shared" si="61"/>
        <v>Cal-37</v>
      </c>
      <c r="F421" t="s">
        <v>34</v>
      </c>
      <c r="G421" s="105" t="s">
        <v>133</v>
      </c>
      <c r="H421" s="20" cm="1">
        <f t="array" ref="H421">INDEX(Financials!$B$5:$AI$260,FinancialWalk!K421,FinancialWalk!L421)</f>
        <v>-124025021.89958903</v>
      </c>
      <c r="K421">
        <f>SUMIFS(Financials!$A$5:$A$260,Financials!$D$5:$D$260,FinancialWalk!D421,Financials!$E$5:$E$260,FinancialWalk!E421,Financials!$F$5:$F$260,FinancialWalk!F421)</f>
        <v>127</v>
      </c>
      <c r="L421">
        <f t="shared" si="59"/>
        <v>20</v>
      </c>
    </row>
    <row r="422" spans="2:12" x14ac:dyDescent="0.3">
      <c r="B422" t="str">
        <f t="shared" si="60"/>
        <v>MarinusPortland</v>
      </c>
      <c r="C422" t="s">
        <v>64</v>
      </c>
      <c r="D422" t="s">
        <v>24</v>
      </c>
      <c r="E422" t="str">
        <f t="shared" si="61"/>
        <v>Cal-37</v>
      </c>
      <c r="F422" t="s">
        <v>34</v>
      </c>
      <c r="G422" s="105" t="s">
        <v>133</v>
      </c>
      <c r="H422" s="20" cm="1">
        <f t="array" ref="H422">INDEX(Financials!$B$5:$AI$260,FinancialWalk!K422,FinancialWalk!L422)</f>
        <v>7253740.8762575872</v>
      </c>
      <c r="K422">
        <f>SUMIFS(Financials!$A$5:$A$260,Financials!$D$5:$D$260,FinancialWalk!D422,Financials!$E$5:$E$260,FinancialWalk!E422,Financials!$F$5:$F$260,FinancialWalk!F422)</f>
        <v>128</v>
      </c>
      <c r="L422">
        <f t="shared" si="59"/>
        <v>20</v>
      </c>
    </row>
    <row r="423" spans="2:12" x14ac:dyDescent="0.3">
      <c r="B423" t="str">
        <f>$B$2</f>
        <v>MarinusPortland</v>
      </c>
      <c r="C423" t="s">
        <v>64</v>
      </c>
      <c r="D423">
        <v>1</v>
      </c>
      <c r="E423" t="s">
        <v>18</v>
      </c>
      <c r="F423" t="s">
        <v>44</v>
      </c>
      <c r="G423" s="105" t="s">
        <v>133</v>
      </c>
      <c r="H423" s="20" cm="1">
        <f t="array" ref="H423">INDEX(Financials!$B$5:$AI$260,FinancialWalk!K423,FinancialWalk!L423)</f>
        <v>206325010.05516896</v>
      </c>
      <c r="K423">
        <f>SUMIFS(Financials!$A$5:$A$260,Financials!$D$5:$D$260,FinancialWalk!D423,Financials!$E$5:$E$260,FinancialWalk!E423,Financials!$F$5:$F$260,FinancialWalk!F423)</f>
        <v>249</v>
      </c>
      <c r="L423">
        <f t="shared" si="59"/>
        <v>20</v>
      </c>
    </row>
    <row r="424" spans="2:12" x14ac:dyDescent="0.3">
      <c r="B424" t="str">
        <f>B423</f>
        <v>MarinusPortland</v>
      </c>
      <c r="C424" t="s">
        <v>64</v>
      </c>
      <c r="D424">
        <v>0.95</v>
      </c>
      <c r="E424" t="str">
        <f>E423</f>
        <v>Cal-37</v>
      </c>
      <c r="F424" t="s">
        <v>44</v>
      </c>
      <c r="G424" s="105" t="s">
        <v>133</v>
      </c>
      <c r="H424" s="20" cm="1">
        <f t="array" ref="H424">INDEX(Financials!$B$5:$AI$260,FinancialWalk!K424,FinancialWalk!L424)</f>
        <v>96129780.673750639</v>
      </c>
      <c r="K424">
        <f>SUMIFS(Financials!$A$5:$A$260,Financials!$D$5:$D$260,FinancialWalk!D424,Financials!$E$5:$E$260,FinancialWalk!E424,Financials!$F$5:$F$260,FinancialWalk!F424)</f>
        <v>250</v>
      </c>
      <c r="L424">
        <f t="shared" si="59"/>
        <v>20</v>
      </c>
    </row>
    <row r="425" spans="2:12" x14ac:dyDescent="0.3">
      <c r="B425" t="str">
        <f t="shared" ref="B425:B444" si="62">B424</f>
        <v>MarinusPortland</v>
      </c>
      <c r="C425" t="s">
        <v>64</v>
      </c>
      <c r="D425">
        <v>0.95</v>
      </c>
      <c r="E425" t="str">
        <f t="shared" ref="E425:E444" si="63">E424</f>
        <v>Cal-37</v>
      </c>
      <c r="F425" t="s">
        <v>44</v>
      </c>
      <c r="G425" s="105" t="s">
        <v>133</v>
      </c>
      <c r="H425" s="20" cm="1">
        <f t="array" ref="H425">INDEX(Financials!$B$5:$AI$260,FinancialWalk!K425,FinancialWalk!L425)</f>
        <v>96129780.673750639</v>
      </c>
      <c r="K425">
        <f>SUMIFS(Financials!$A$5:$A$260,Financials!$D$5:$D$260,FinancialWalk!D425,Financials!$E$5:$E$260,FinancialWalk!E425,Financials!$F$5:$F$260,FinancialWalk!F425)</f>
        <v>250</v>
      </c>
      <c r="L425">
        <f t="shared" si="59"/>
        <v>20</v>
      </c>
    </row>
    <row r="426" spans="2:12" x14ac:dyDescent="0.3">
      <c r="B426" t="str">
        <f t="shared" si="62"/>
        <v>MarinusPortland</v>
      </c>
      <c r="C426" t="s">
        <v>64</v>
      </c>
      <c r="D426">
        <v>0.95</v>
      </c>
      <c r="E426" t="str">
        <f t="shared" si="63"/>
        <v>Cal-37</v>
      </c>
      <c r="F426" t="s">
        <v>44</v>
      </c>
      <c r="G426" s="105" t="s">
        <v>133</v>
      </c>
      <c r="H426" s="20" cm="1">
        <f t="array" ref="H426">INDEX(Financials!$B$5:$AI$260,FinancialWalk!K426,FinancialWalk!L426)</f>
        <v>96129780.673750639</v>
      </c>
      <c r="K426">
        <f>SUMIFS(Financials!$A$5:$A$260,Financials!$D$5:$D$260,FinancialWalk!D426,Financials!$E$5:$E$260,FinancialWalk!E426,Financials!$F$5:$F$260,FinancialWalk!F426)</f>
        <v>250</v>
      </c>
      <c r="L426">
        <f t="shared" si="59"/>
        <v>20</v>
      </c>
    </row>
    <row r="427" spans="2:12" x14ac:dyDescent="0.3">
      <c r="B427" t="str">
        <f t="shared" si="62"/>
        <v>MarinusPortland</v>
      </c>
      <c r="C427" t="s">
        <v>64</v>
      </c>
      <c r="D427">
        <v>0.75</v>
      </c>
      <c r="E427" t="str">
        <f t="shared" si="63"/>
        <v>Cal-37</v>
      </c>
      <c r="F427" t="s">
        <v>44</v>
      </c>
      <c r="G427" s="105" t="s">
        <v>133</v>
      </c>
      <c r="H427" s="20" cm="1">
        <f t="array" ref="H427">INDEX(Financials!$B$5:$AI$260,FinancialWalk!K427,FinancialWalk!L427)</f>
        <v>42413583.526129827</v>
      </c>
      <c r="K427">
        <f>SUMIFS(Financials!$A$5:$A$260,Financials!$D$5:$D$260,FinancialWalk!D427,Financials!$E$5:$E$260,FinancialWalk!E427,Financials!$F$5:$F$260,FinancialWalk!F427)</f>
        <v>251</v>
      </c>
      <c r="L427">
        <f t="shared" si="59"/>
        <v>20</v>
      </c>
    </row>
    <row r="428" spans="2:12" x14ac:dyDescent="0.3">
      <c r="B428" t="str">
        <f t="shared" si="62"/>
        <v>MarinusPortland</v>
      </c>
      <c r="C428" t="s">
        <v>64</v>
      </c>
      <c r="D428">
        <v>0.75</v>
      </c>
      <c r="E428" t="str">
        <f t="shared" si="63"/>
        <v>Cal-37</v>
      </c>
      <c r="F428" t="s">
        <v>44</v>
      </c>
      <c r="G428" s="105" t="s">
        <v>133</v>
      </c>
      <c r="H428" s="20" cm="1">
        <f t="array" ref="H428">INDEX(Financials!$B$5:$AI$260,FinancialWalk!K428,FinancialWalk!L428)</f>
        <v>42413583.526129827</v>
      </c>
      <c r="K428">
        <f>SUMIFS(Financials!$A$5:$A$260,Financials!$D$5:$D$260,FinancialWalk!D428,Financials!$E$5:$E$260,FinancialWalk!E428,Financials!$F$5:$F$260,FinancialWalk!F428)</f>
        <v>251</v>
      </c>
      <c r="L428">
        <f t="shared" si="59"/>
        <v>20</v>
      </c>
    </row>
    <row r="429" spans="2:12" x14ac:dyDescent="0.3">
      <c r="B429" t="str">
        <f t="shared" si="62"/>
        <v>MarinusPortland</v>
      </c>
      <c r="C429" t="s">
        <v>64</v>
      </c>
      <c r="D429">
        <v>0.75</v>
      </c>
      <c r="E429" t="str">
        <f t="shared" si="63"/>
        <v>Cal-37</v>
      </c>
      <c r="F429" t="s">
        <v>44</v>
      </c>
      <c r="G429" s="105" t="s">
        <v>133</v>
      </c>
      <c r="H429" s="20" cm="1">
        <f t="array" ref="H429">INDEX(Financials!$B$5:$AI$260,FinancialWalk!K429,FinancialWalk!L429)</f>
        <v>42413583.526129827</v>
      </c>
      <c r="K429">
        <f>SUMIFS(Financials!$A$5:$A$260,Financials!$D$5:$D$260,FinancialWalk!D429,Financials!$E$5:$E$260,FinancialWalk!E429,Financials!$F$5:$F$260,FinancialWalk!F429)</f>
        <v>251</v>
      </c>
      <c r="L429">
        <f t="shared" si="59"/>
        <v>20</v>
      </c>
    </row>
    <row r="430" spans="2:12" x14ac:dyDescent="0.3">
      <c r="B430" t="str">
        <f t="shared" si="62"/>
        <v>MarinusPortland</v>
      </c>
      <c r="C430" t="s">
        <v>64</v>
      </c>
      <c r="D430">
        <v>0.75</v>
      </c>
      <c r="E430" t="str">
        <f t="shared" si="63"/>
        <v>Cal-37</v>
      </c>
      <c r="F430" t="s">
        <v>44</v>
      </c>
      <c r="G430" s="105" t="s">
        <v>133</v>
      </c>
      <c r="H430" s="20" cm="1">
        <f t="array" ref="H430">INDEX(Financials!$B$5:$AI$260,FinancialWalk!K430,FinancialWalk!L430)</f>
        <v>42413583.526129827</v>
      </c>
      <c r="K430">
        <f>SUMIFS(Financials!$A$5:$A$260,Financials!$D$5:$D$260,FinancialWalk!D430,Financials!$E$5:$E$260,FinancialWalk!E430,Financials!$F$5:$F$260,FinancialWalk!F430)</f>
        <v>251</v>
      </c>
      <c r="L430">
        <f t="shared" si="59"/>
        <v>20</v>
      </c>
    </row>
    <row r="431" spans="2:12" x14ac:dyDescent="0.3">
      <c r="B431" t="str">
        <f t="shared" si="62"/>
        <v>MarinusPortland</v>
      </c>
      <c r="C431" t="s">
        <v>64</v>
      </c>
      <c r="D431">
        <v>0.5</v>
      </c>
      <c r="E431" t="str">
        <f t="shared" si="63"/>
        <v>Cal-37</v>
      </c>
      <c r="F431" t="s">
        <v>44</v>
      </c>
      <c r="G431" s="105" t="s">
        <v>133</v>
      </c>
      <c r="H431" s="20" cm="1">
        <f t="array" ref="H431">INDEX(Financials!$B$5:$AI$260,FinancialWalk!K431,FinancialWalk!L431)</f>
        <v>4401584.6845321357</v>
      </c>
      <c r="K431">
        <f>SUMIFS(Financials!$A$5:$A$260,Financials!$D$5:$D$260,FinancialWalk!D431,Financials!$E$5:$E$260,FinancialWalk!E431,Financials!$F$5:$F$260,FinancialWalk!F431)</f>
        <v>252</v>
      </c>
      <c r="L431">
        <f t="shared" si="59"/>
        <v>20</v>
      </c>
    </row>
    <row r="432" spans="2:12" x14ac:dyDescent="0.3">
      <c r="B432" t="str">
        <f t="shared" si="62"/>
        <v>MarinusPortland</v>
      </c>
      <c r="C432" t="s">
        <v>64</v>
      </c>
      <c r="D432">
        <v>0.5</v>
      </c>
      <c r="E432" t="str">
        <f t="shared" si="63"/>
        <v>Cal-37</v>
      </c>
      <c r="F432" t="s">
        <v>44</v>
      </c>
      <c r="G432" s="105" t="s">
        <v>133</v>
      </c>
      <c r="H432" s="20" cm="1">
        <f t="array" ref="H432">INDEX(Financials!$B$5:$AI$260,FinancialWalk!K432,FinancialWalk!L432)</f>
        <v>4401584.6845321357</v>
      </c>
      <c r="K432">
        <f>SUMIFS(Financials!$A$5:$A$260,Financials!$D$5:$D$260,FinancialWalk!D432,Financials!$E$5:$E$260,FinancialWalk!E432,Financials!$F$5:$F$260,FinancialWalk!F432)</f>
        <v>252</v>
      </c>
      <c r="L432">
        <f t="shared" si="59"/>
        <v>20</v>
      </c>
    </row>
    <row r="433" spans="1:12" x14ac:dyDescent="0.3">
      <c r="B433" t="str">
        <f t="shared" si="62"/>
        <v>MarinusPortland</v>
      </c>
      <c r="C433" t="s">
        <v>64</v>
      </c>
      <c r="D433">
        <v>0.5</v>
      </c>
      <c r="E433" t="str">
        <f t="shared" si="63"/>
        <v>Cal-37</v>
      </c>
      <c r="F433" t="s">
        <v>44</v>
      </c>
      <c r="G433" s="105" t="s">
        <v>133</v>
      </c>
      <c r="H433" s="20" cm="1">
        <f t="array" ref="H433">INDEX(Financials!$B$5:$AI$260,FinancialWalk!K433,FinancialWalk!L433)</f>
        <v>4401584.6845321357</v>
      </c>
      <c r="K433">
        <f>SUMIFS(Financials!$A$5:$A$260,Financials!$D$5:$D$260,FinancialWalk!D433,Financials!$E$5:$E$260,FinancialWalk!E433,Financials!$F$5:$F$260,FinancialWalk!F433)</f>
        <v>252</v>
      </c>
      <c r="L433">
        <f t="shared" si="59"/>
        <v>20</v>
      </c>
    </row>
    <row r="434" spans="1:12" x14ac:dyDescent="0.3">
      <c r="B434" t="str">
        <f t="shared" si="62"/>
        <v>MarinusPortland</v>
      </c>
      <c r="C434" t="s">
        <v>64</v>
      </c>
      <c r="D434">
        <v>0.5</v>
      </c>
      <c r="E434" t="str">
        <f t="shared" si="63"/>
        <v>Cal-37</v>
      </c>
      <c r="F434" t="s">
        <v>44</v>
      </c>
      <c r="G434" s="105" t="s">
        <v>133</v>
      </c>
      <c r="H434" s="20" cm="1">
        <f t="array" ref="H434">INDEX(Financials!$B$5:$AI$260,FinancialWalk!K434,FinancialWalk!L434)</f>
        <v>4401584.6845321357</v>
      </c>
      <c r="K434">
        <f>SUMIFS(Financials!$A$5:$A$260,Financials!$D$5:$D$260,FinancialWalk!D434,Financials!$E$5:$E$260,FinancialWalk!E434,Financials!$F$5:$F$260,FinancialWalk!F434)</f>
        <v>252</v>
      </c>
      <c r="L434">
        <f t="shared" si="59"/>
        <v>20</v>
      </c>
    </row>
    <row r="435" spans="1:12" x14ac:dyDescent="0.3">
      <c r="B435" t="str">
        <f t="shared" si="62"/>
        <v>MarinusPortland</v>
      </c>
      <c r="C435" t="s">
        <v>64</v>
      </c>
      <c r="D435">
        <v>0.5</v>
      </c>
      <c r="E435" t="str">
        <f t="shared" si="63"/>
        <v>Cal-37</v>
      </c>
      <c r="F435" t="s">
        <v>44</v>
      </c>
      <c r="G435" s="105" t="s">
        <v>133</v>
      </c>
      <c r="H435" s="20" cm="1">
        <f t="array" ref="H435">INDEX(Financials!$B$5:$AI$260,FinancialWalk!K435,FinancialWalk!L435)</f>
        <v>4401584.6845321357</v>
      </c>
      <c r="K435">
        <f>SUMIFS(Financials!$A$5:$A$260,Financials!$D$5:$D$260,FinancialWalk!D435,Financials!$E$5:$E$260,FinancialWalk!E435,Financials!$F$5:$F$260,FinancialWalk!F435)</f>
        <v>252</v>
      </c>
      <c r="L435">
        <f t="shared" si="59"/>
        <v>20</v>
      </c>
    </row>
    <row r="436" spans="1:12" x14ac:dyDescent="0.3">
      <c r="B436" t="str">
        <f t="shared" si="62"/>
        <v>MarinusPortland</v>
      </c>
      <c r="C436" t="s">
        <v>64</v>
      </c>
      <c r="D436">
        <v>0.25</v>
      </c>
      <c r="E436" t="str">
        <f t="shared" si="63"/>
        <v>Cal-37</v>
      </c>
      <c r="F436" t="s">
        <v>44</v>
      </c>
      <c r="G436" s="105" t="s">
        <v>133</v>
      </c>
      <c r="H436" s="20" cm="1">
        <f t="array" ref="H436">INDEX(Financials!$B$5:$AI$260,FinancialWalk!K436,FinancialWalk!L436)</f>
        <v>-30248803.945498239</v>
      </c>
      <c r="K436">
        <f>SUMIFS(Financials!$A$5:$A$260,Financials!$D$5:$D$260,FinancialWalk!D436,Financials!$E$5:$E$260,FinancialWalk!E436,Financials!$F$5:$F$260,FinancialWalk!F436)</f>
        <v>253</v>
      </c>
      <c r="L436">
        <f t="shared" si="59"/>
        <v>20</v>
      </c>
    </row>
    <row r="437" spans="1:12" x14ac:dyDescent="0.3">
      <c r="B437" t="str">
        <f t="shared" si="62"/>
        <v>MarinusPortland</v>
      </c>
      <c r="C437" t="s">
        <v>64</v>
      </c>
      <c r="D437">
        <v>0.25</v>
      </c>
      <c r="E437" t="str">
        <f t="shared" si="63"/>
        <v>Cal-37</v>
      </c>
      <c r="F437" t="s">
        <v>44</v>
      </c>
      <c r="G437" s="105" t="s">
        <v>133</v>
      </c>
      <c r="H437" s="20" cm="1">
        <f t="array" ref="H437">INDEX(Financials!$B$5:$AI$260,FinancialWalk!K437,FinancialWalk!L437)</f>
        <v>-30248803.945498239</v>
      </c>
      <c r="K437">
        <f>SUMIFS(Financials!$A$5:$A$260,Financials!$D$5:$D$260,FinancialWalk!D437,Financials!$E$5:$E$260,FinancialWalk!E437,Financials!$F$5:$F$260,FinancialWalk!F437)</f>
        <v>253</v>
      </c>
      <c r="L437">
        <f t="shared" si="59"/>
        <v>20</v>
      </c>
    </row>
    <row r="438" spans="1:12" x14ac:dyDescent="0.3">
      <c r="B438" t="str">
        <f t="shared" si="62"/>
        <v>MarinusPortland</v>
      </c>
      <c r="C438" t="s">
        <v>64</v>
      </c>
      <c r="D438">
        <v>0.25</v>
      </c>
      <c r="E438" t="str">
        <f t="shared" si="63"/>
        <v>Cal-37</v>
      </c>
      <c r="F438" t="s">
        <v>44</v>
      </c>
      <c r="G438" s="105" t="s">
        <v>133</v>
      </c>
      <c r="H438" s="20" cm="1">
        <f t="array" ref="H438">INDEX(Financials!$B$5:$AI$260,FinancialWalk!K438,FinancialWalk!L438)</f>
        <v>-30248803.945498239</v>
      </c>
      <c r="K438">
        <f>SUMIFS(Financials!$A$5:$A$260,Financials!$D$5:$D$260,FinancialWalk!D438,Financials!$E$5:$E$260,FinancialWalk!E438,Financials!$F$5:$F$260,FinancialWalk!F438)</f>
        <v>253</v>
      </c>
      <c r="L438">
        <f t="shared" si="59"/>
        <v>20</v>
      </c>
    </row>
    <row r="439" spans="1:12" x14ac:dyDescent="0.3">
      <c r="B439" t="str">
        <f t="shared" si="62"/>
        <v>MarinusPortland</v>
      </c>
      <c r="C439" t="s">
        <v>64</v>
      </c>
      <c r="D439">
        <v>0.25</v>
      </c>
      <c r="E439" t="str">
        <f t="shared" si="63"/>
        <v>Cal-37</v>
      </c>
      <c r="F439" t="s">
        <v>44</v>
      </c>
      <c r="G439" s="105" t="s">
        <v>133</v>
      </c>
      <c r="H439" s="20" cm="1">
        <f t="array" ref="H439">INDEX(Financials!$B$5:$AI$260,FinancialWalk!K439,FinancialWalk!L439)</f>
        <v>-30248803.945498239</v>
      </c>
      <c r="K439">
        <f>SUMIFS(Financials!$A$5:$A$260,Financials!$D$5:$D$260,FinancialWalk!D439,Financials!$E$5:$E$260,FinancialWalk!E439,Financials!$F$5:$F$260,FinancialWalk!F439)</f>
        <v>253</v>
      </c>
      <c r="L439">
        <f t="shared" si="59"/>
        <v>20</v>
      </c>
    </row>
    <row r="440" spans="1:12" x14ac:dyDescent="0.3">
      <c r="B440" t="str">
        <f t="shared" si="62"/>
        <v>MarinusPortland</v>
      </c>
      <c r="C440" t="s">
        <v>64</v>
      </c>
      <c r="D440">
        <v>0.05</v>
      </c>
      <c r="E440" t="str">
        <f t="shared" si="63"/>
        <v>Cal-37</v>
      </c>
      <c r="F440" t="s">
        <v>44</v>
      </c>
      <c r="G440" s="105" t="s">
        <v>133</v>
      </c>
      <c r="H440" s="20" cm="1">
        <f t="array" ref="H440">INDEX(Financials!$B$5:$AI$260,FinancialWalk!K440,FinancialWalk!L440)</f>
        <v>-73136840.394511402</v>
      </c>
      <c r="K440">
        <f>SUMIFS(Financials!$A$5:$A$260,Financials!$D$5:$D$260,FinancialWalk!D440,Financials!$E$5:$E$260,FinancialWalk!E440,Financials!$F$5:$F$260,FinancialWalk!F440)</f>
        <v>254</v>
      </c>
      <c r="L440">
        <f t="shared" si="59"/>
        <v>20</v>
      </c>
    </row>
    <row r="441" spans="1:12" x14ac:dyDescent="0.3">
      <c r="B441" t="str">
        <f t="shared" si="62"/>
        <v>MarinusPortland</v>
      </c>
      <c r="C441" t="s">
        <v>64</v>
      </c>
      <c r="D441">
        <v>0.05</v>
      </c>
      <c r="E441" t="str">
        <f t="shared" si="63"/>
        <v>Cal-37</v>
      </c>
      <c r="F441" t="s">
        <v>44</v>
      </c>
      <c r="G441" s="105" t="s">
        <v>133</v>
      </c>
      <c r="H441" s="20" cm="1">
        <f t="array" ref="H441">INDEX(Financials!$B$5:$AI$260,FinancialWalk!K441,FinancialWalk!L441)</f>
        <v>-73136840.394511402</v>
      </c>
      <c r="K441">
        <f>SUMIFS(Financials!$A$5:$A$260,Financials!$D$5:$D$260,FinancialWalk!D441,Financials!$E$5:$E$260,FinancialWalk!E441,Financials!$F$5:$F$260,FinancialWalk!F441)</f>
        <v>254</v>
      </c>
      <c r="L441">
        <f t="shared" si="59"/>
        <v>20</v>
      </c>
    </row>
    <row r="442" spans="1:12" x14ac:dyDescent="0.3">
      <c r="B442" t="str">
        <f t="shared" si="62"/>
        <v>MarinusPortland</v>
      </c>
      <c r="C442" t="s">
        <v>64</v>
      </c>
      <c r="D442">
        <v>0.05</v>
      </c>
      <c r="E442" t="str">
        <f t="shared" si="63"/>
        <v>Cal-37</v>
      </c>
      <c r="F442" t="s">
        <v>44</v>
      </c>
      <c r="G442" s="105" t="s">
        <v>133</v>
      </c>
      <c r="H442" s="20" cm="1">
        <f t="array" ref="H442">INDEX(Financials!$B$5:$AI$260,FinancialWalk!K442,FinancialWalk!L442)</f>
        <v>-73136840.394511402</v>
      </c>
      <c r="K442">
        <f>SUMIFS(Financials!$A$5:$A$260,Financials!$D$5:$D$260,FinancialWalk!D442,Financials!$E$5:$E$260,FinancialWalk!E442,Financials!$F$5:$F$260,FinancialWalk!F442)</f>
        <v>254</v>
      </c>
      <c r="L442">
        <f t="shared" si="59"/>
        <v>20</v>
      </c>
    </row>
    <row r="443" spans="1:12" x14ac:dyDescent="0.3">
      <c r="B443" t="str">
        <f t="shared" si="62"/>
        <v>MarinusPortland</v>
      </c>
      <c r="C443" t="s">
        <v>64</v>
      </c>
      <c r="D443">
        <v>0</v>
      </c>
      <c r="E443" t="str">
        <f t="shared" si="63"/>
        <v>Cal-37</v>
      </c>
      <c r="F443" t="s">
        <v>44</v>
      </c>
      <c r="G443" s="105" t="s">
        <v>133</v>
      </c>
      <c r="H443" s="20" cm="1">
        <f t="array" ref="H443">INDEX(Financials!$B$5:$AI$260,FinancialWalk!K443,FinancialWalk!L443)</f>
        <v>-119782402.40117411</v>
      </c>
      <c r="K443">
        <f>SUMIFS(Financials!$A$5:$A$260,Financials!$D$5:$D$260,FinancialWalk!D443,Financials!$E$5:$E$260,FinancialWalk!E443,Financials!$F$5:$F$260,FinancialWalk!F443)</f>
        <v>255</v>
      </c>
      <c r="L443">
        <f t="shared" si="59"/>
        <v>20</v>
      </c>
    </row>
    <row r="444" spans="1:12" x14ac:dyDescent="0.3">
      <c r="B444" t="str">
        <f t="shared" si="62"/>
        <v>MarinusPortland</v>
      </c>
      <c r="C444" t="s">
        <v>64</v>
      </c>
      <c r="D444" t="s">
        <v>24</v>
      </c>
      <c r="E444" t="str">
        <f t="shared" si="63"/>
        <v>Cal-37</v>
      </c>
      <c r="F444" t="s">
        <v>44</v>
      </c>
      <c r="G444" s="105" t="s">
        <v>133</v>
      </c>
      <c r="H444" s="20" cm="1">
        <f t="array" ref="H444">INDEX(Financials!$B$5:$AI$260,FinancialWalk!K444,FinancialWalk!L444)</f>
        <v>7253740.8762575872</v>
      </c>
      <c r="K444">
        <f>SUMIFS(Financials!$A$5:$A$260,Financials!$D$5:$D$260,FinancialWalk!D444,Financials!$E$5:$E$260,FinancialWalk!E444,Financials!$F$5:$F$260,FinancialWalk!F444)</f>
        <v>256</v>
      </c>
      <c r="L444">
        <f t="shared" si="59"/>
        <v>20</v>
      </c>
    </row>
    <row r="445" spans="1:12" x14ac:dyDescent="0.3">
      <c r="A445">
        <v>1</v>
      </c>
      <c r="B445" t="str">
        <f>$B$2</f>
        <v>MarinusPortland</v>
      </c>
      <c r="C445" t="s">
        <v>64</v>
      </c>
      <c r="D445">
        <v>1</v>
      </c>
      <c r="E445" t="s">
        <v>18</v>
      </c>
      <c r="F445" t="s">
        <v>34</v>
      </c>
      <c r="G445" s="105" t="s">
        <v>134</v>
      </c>
      <c r="H445" s="20" cm="1">
        <f t="array" ref="H445">INDEX(Financials!$B$5:$AI$260,FinancialWalk!K445,FinancialWalk!L445)</f>
        <v>206325010.05516896</v>
      </c>
      <c r="K445">
        <f>SUMIFS(Financials!$A$5:$A$260,Financials!$D$5:$D$260,FinancialWalk!D445,Financials!$E$5:$E$260,FinancialWalk!E445,Financials!$F$5:$F$260,FinancialWalk!F445)</f>
        <v>121</v>
      </c>
      <c r="L445">
        <f t="shared" si="59"/>
        <v>21</v>
      </c>
    </row>
    <row r="446" spans="1:12" x14ac:dyDescent="0.3">
      <c r="B446" t="str">
        <f>B445</f>
        <v>MarinusPortland</v>
      </c>
      <c r="C446" t="s">
        <v>64</v>
      </c>
      <c r="D446">
        <v>0.95</v>
      </c>
      <c r="E446" t="str">
        <f>E445</f>
        <v>Cal-37</v>
      </c>
      <c r="F446" t="s">
        <v>34</v>
      </c>
      <c r="G446" s="105" t="s">
        <v>134</v>
      </c>
      <c r="H446" s="20" cm="1">
        <f t="array" ref="H446">INDEX(Financials!$B$5:$AI$260,FinancialWalk!K446,FinancialWalk!L446)</f>
        <v>96129780.673750639</v>
      </c>
      <c r="K446">
        <f>SUMIFS(Financials!$A$5:$A$260,Financials!$D$5:$D$260,FinancialWalk!D446,Financials!$E$5:$E$260,FinancialWalk!E446,Financials!$F$5:$F$260,FinancialWalk!F446)</f>
        <v>122</v>
      </c>
      <c r="L446">
        <f t="shared" si="59"/>
        <v>21</v>
      </c>
    </row>
    <row r="447" spans="1:12" x14ac:dyDescent="0.3">
      <c r="B447" t="str">
        <f t="shared" ref="B447:B466" si="64">B446</f>
        <v>MarinusPortland</v>
      </c>
      <c r="C447" t="s">
        <v>64</v>
      </c>
      <c r="D447">
        <v>0.95</v>
      </c>
      <c r="E447" t="str">
        <f t="shared" ref="E447:E466" si="65">E446</f>
        <v>Cal-37</v>
      </c>
      <c r="F447" t="s">
        <v>34</v>
      </c>
      <c r="G447" s="105" t="s">
        <v>134</v>
      </c>
      <c r="H447" s="20" cm="1">
        <f t="array" ref="H447">INDEX(Financials!$B$5:$AI$260,FinancialWalk!K447,FinancialWalk!L447)</f>
        <v>96129780.673750639</v>
      </c>
      <c r="K447">
        <f>SUMIFS(Financials!$A$5:$A$260,Financials!$D$5:$D$260,FinancialWalk!D447,Financials!$E$5:$E$260,FinancialWalk!E447,Financials!$F$5:$F$260,FinancialWalk!F447)</f>
        <v>122</v>
      </c>
      <c r="L447">
        <f t="shared" si="59"/>
        <v>21</v>
      </c>
    </row>
    <row r="448" spans="1:12" x14ac:dyDescent="0.3">
      <c r="B448" t="str">
        <f t="shared" si="64"/>
        <v>MarinusPortland</v>
      </c>
      <c r="C448" t="s">
        <v>64</v>
      </c>
      <c r="D448">
        <v>0.95</v>
      </c>
      <c r="E448" t="str">
        <f t="shared" si="65"/>
        <v>Cal-37</v>
      </c>
      <c r="F448" t="s">
        <v>34</v>
      </c>
      <c r="G448" s="105" t="s">
        <v>134</v>
      </c>
      <c r="H448" s="20" cm="1">
        <f t="array" ref="H448">INDEX(Financials!$B$5:$AI$260,FinancialWalk!K448,FinancialWalk!L448)</f>
        <v>96129780.673750639</v>
      </c>
      <c r="K448">
        <f>SUMIFS(Financials!$A$5:$A$260,Financials!$D$5:$D$260,FinancialWalk!D448,Financials!$E$5:$E$260,FinancialWalk!E448,Financials!$F$5:$F$260,FinancialWalk!F448)</f>
        <v>122</v>
      </c>
      <c r="L448">
        <f t="shared" si="59"/>
        <v>21</v>
      </c>
    </row>
    <row r="449" spans="2:12" x14ac:dyDescent="0.3">
      <c r="B449" t="str">
        <f t="shared" si="64"/>
        <v>MarinusPortland</v>
      </c>
      <c r="C449" t="s">
        <v>64</v>
      </c>
      <c r="D449">
        <v>0.75</v>
      </c>
      <c r="E449" t="str">
        <f t="shared" si="65"/>
        <v>Cal-37</v>
      </c>
      <c r="F449" t="s">
        <v>34</v>
      </c>
      <c r="G449" s="105" t="s">
        <v>134</v>
      </c>
      <c r="H449" s="20" cm="1">
        <f t="array" ref="H449">INDEX(Financials!$B$5:$AI$260,FinancialWalk!K449,FinancialWalk!L449)</f>
        <v>42413583.526129827</v>
      </c>
      <c r="K449">
        <f>SUMIFS(Financials!$A$5:$A$260,Financials!$D$5:$D$260,FinancialWalk!D449,Financials!$E$5:$E$260,FinancialWalk!E449,Financials!$F$5:$F$260,FinancialWalk!F449)</f>
        <v>123</v>
      </c>
      <c r="L449">
        <f t="shared" si="59"/>
        <v>21</v>
      </c>
    </row>
    <row r="450" spans="2:12" x14ac:dyDescent="0.3">
      <c r="B450" t="str">
        <f t="shared" si="64"/>
        <v>MarinusPortland</v>
      </c>
      <c r="C450" t="s">
        <v>64</v>
      </c>
      <c r="D450">
        <v>0.75</v>
      </c>
      <c r="E450" t="str">
        <f t="shared" si="65"/>
        <v>Cal-37</v>
      </c>
      <c r="F450" t="s">
        <v>34</v>
      </c>
      <c r="G450" s="105" t="s">
        <v>134</v>
      </c>
      <c r="H450" s="20" cm="1">
        <f t="array" ref="H450">INDEX(Financials!$B$5:$AI$260,FinancialWalk!K450,FinancialWalk!L450)</f>
        <v>42413583.526129827</v>
      </c>
      <c r="K450">
        <f>SUMIFS(Financials!$A$5:$A$260,Financials!$D$5:$D$260,FinancialWalk!D450,Financials!$E$5:$E$260,FinancialWalk!E450,Financials!$F$5:$F$260,FinancialWalk!F450)</f>
        <v>123</v>
      </c>
      <c r="L450">
        <f t="shared" si="59"/>
        <v>21</v>
      </c>
    </row>
    <row r="451" spans="2:12" x14ac:dyDescent="0.3">
      <c r="B451" t="str">
        <f t="shared" si="64"/>
        <v>MarinusPortland</v>
      </c>
      <c r="C451" t="s">
        <v>64</v>
      </c>
      <c r="D451">
        <v>0.75</v>
      </c>
      <c r="E451" t="str">
        <f t="shared" si="65"/>
        <v>Cal-37</v>
      </c>
      <c r="F451" t="s">
        <v>34</v>
      </c>
      <c r="G451" s="105" t="s">
        <v>134</v>
      </c>
      <c r="H451" s="20" cm="1">
        <f t="array" ref="H451">INDEX(Financials!$B$5:$AI$260,FinancialWalk!K451,FinancialWalk!L451)</f>
        <v>42413583.526129827</v>
      </c>
      <c r="K451">
        <f>SUMIFS(Financials!$A$5:$A$260,Financials!$D$5:$D$260,FinancialWalk!D451,Financials!$E$5:$E$260,FinancialWalk!E451,Financials!$F$5:$F$260,FinancialWalk!F451)</f>
        <v>123</v>
      </c>
      <c r="L451">
        <f t="shared" si="59"/>
        <v>21</v>
      </c>
    </row>
    <row r="452" spans="2:12" x14ac:dyDescent="0.3">
      <c r="B452" t="str">
        <f t="shared" si="64"/>
        <v>MarinusPortland</v>
      </c>
      <c r="C452" t="s">
        <v>64</v>
      </c>
      <c r="D452">
        <v>0.75</v>
      </c>
      <c r="E452" t="str">
        <f t="shared" si="65"/>
        <v>Cal-37</v>
      </c>
      <c r="F452" t="s">
        <v>34</v>
      </c>
      <c r="G452" s="105" t="s">
        <v>134</v>
      </c>
      <c r="H452" s="20" cm="1">
        <f t="array" ref="H452">INDEX(Financials!$B$5:$AI$260,FinancialWalk!K452,FinancialWalk!L452)</f>
        <v>42413583.526129827</v>
      </c>
      <c r="K452">
        <f>SUMIFS(Financials!$A$5:$A$260,Financials!$D$5:$D$260,FinancialWalk!D452,Financials!$E$5:$E$260,FinancialWalk!E452,Financials!$F$5:$F$260,FinancialWalk!F452)</f>
        <v>123</v>
      </c>
      <c r="L452">
        <f t="shared" si="59"/>
        <v>21</v>
      </c>
    </row>
    <row r="453" spans="2:12" x14ac:dyDescent="0.3">
      <c r="B453" t="str">
        <f t="shared" si="64"/>
        <v>MarinusPortland</v>
      </c>
      <c r="C453" t="s">
        <v>64</v>
      </c>
      <c r="D453">
        <v>0.5</v>
      </c>
      <c r="E453" t="str">
        <f t="shared" si="65"/>
        <v>Cal-37</v>
      </c>
      <c r="F453" t="s">
        <v>34</v>
      </c>
      <c r="G453" s="105" t="s">
        <v>134</v>
      </c>
      <c r="H453" s="20" cm="1">
        <f t="array" ref="H453">INDEX(Financials!$B$5:$AI$260,FinancialWalk!K453,FinancialWalk!L453)</f>
        <v>4401584.6845321357</v>
      </c>
      <c r="K453">
        <f>SUMIFS(Financials!$A$5:$A$260,Financials!$D$5:$D$260,FinancialWalk!D453,Financials!$E$5:$E$260,FinancialWalk!E453,Financials!$F$5:$F$260,FinancialWalk!F453)</f>
        <v>124</v>
      </c>
      <c r="L453">
        <f t="shared" ref="L453:L516" si="66">VLOOKUP(G453,$P$5:$Q$33,2,FALSE)</f>
        <v>21</v>
      </c>
    </row>
    <row r="454" spans="2:12" x14ac:dyDescent="0.3">
      <c r="B454" t="str">
        <f t="shared" si="64"/>
        <v>MarinusPortland</v>
      </c>
      <c r="C454" t="s">
        <v>64</v>
      </c>
      <c r="D454">
        <v>0.5</v>
      </c>
      <c r="E454" t="str">
        <f t="shared" si="65"/>
        <v>Cal-37</v>
      </c>
      <c r="F454" t="s">
        <v>34</v>
      </c>
      <c r="G454" s="105" t="s">
        <v>134</v>
      </c>
      <c r="H454" s="20" cm="1">
        <f t="array" ref="H454">INDEX(Financials!$B$5:$AI$260,FinancialWalk!K454,FinancialWalk!L454)</f>
        <v>4401584.6845321357</v>
      </c>
      <c r="K454">
        <f>SUMIFS(Financials!$A$5:$A$260,Financials!$D$5:$D$260,FinancialWalk!D454,Financials!$E$5:$E$260,FinancialWalk!E454,Financials!$F$5:$F$260,FinancialWalk!F454)</f>
        <v>124</v>
      </c>
      <c r="L454">
        <f t="shared" si="66"/>
        <v>21</v>
      </c>
    </row>
    <row r="455" spans="2:12" x14ac:dyDescent="0.3">
      <c r="B455" t="str">
        <f t="shared" si="64"/>
        <v>MarinusPortland</v>
      </c>
      <c r="C455" t="s">
        <v>64</v>
      </c>
      <c r="D455">
        <v>0.5</v>
      </c>
      <c r="E455" t="str">
        <f t="shared" si="65"/>
        <v>Cal-37</v>
      </c>
      <c r="F455" t="s">
        <v>34</v>
      </c>
      <c r="G455" s="105" t="s">
        <v>134</v>
      </c>
      <c r="H455" s="20" cm="1">
        <f t="array" ref="H455">INDEX(Financials!$B$5:$AI$260,FinancialWalk!K455,FinancialWalk!L455)</f>
        <v>4401584.6845321357</v>
      </c>
      <c r="K455">
        <f>SUMIFS(Financials!$A$5:$A$260,Financials!$D$5:$D$260,FinancialWalk!D455,Financials!$E$5:$E$260,FinancialWalk!E455,Financials!$F$5:$F$260,FinancialWalk!F455)</f>
        <v>124</v>
      </c>
      <c r="L455">
        <f t="shared" si="66"/>
        <v>21</v>
      </c>
    </row>
    <row r="456" spans="2:12" x14ac:dyDescent="0.3">
      <c r="B456" t="str">
        <f t="shared" si="64"/>
        <v>MarinusPortland</v>
      </c>
      <c r="C456" t="s">
        <v>64</v>
      </c>
      <c r="D456">
        <v>0.5</v>
      </c>
      <c r="E456" t="str">
        <f t="shared" si="65"/>
        <v>Cal-37</v>
      </c>
      <c r="F456" t="s">
        <v>34</v>
      </c>
      <c r="G456" s="105" t="s">
        <v>134</v>
      </c>
      <c r="H456" s="20" cm="1">
        <f t="array" ref="H456">INDEX(Financials!$B$5:$AI$260,FinancialWalk!K456,FinancialWalk!L456)</f>
        <v>4401584.6845321357</v>
      </c>
      <c r="K456">
        <f>SUMIFS(Financials!$A$5:$A$260,Financials!$D$5:$D$260,FinancialWalk!D456,Financials!$E$5:$E$260,FinancialWalk!E456,Financials!$F$5:$F$260,FinancialWalk!F456)</f>
        <v>124</v>
      </c>
      <c r="L456">
        <f t="shared" si="66"/>
        <v>21</v>
      </c>
    </row>
    <row r="457" spans="2:12" x14ac:dyDescent="0.3">
      <c r="B457" t="str">
        <f t="shared" si="64"/>
        <v>MarinusPortland</v>
      </c>
      <c r="C457" t="s">
        <v>64</v>
      </c>
      <c r="D457">
        <v>0.5</v>
      </c>
      <c r="E457" t="str">
        <f t="shared" si="65"/>
        <v>Cal-37</v>
      </c>
      <c r="F457" t="s">
        <v>34</v>
      </c>
      <c r="G457" s="105" t="s">
        <v>134</v>
      </c>
      <c r="H457" s="20" cm="1">
        <f t="array" ref="H457">INDEX(Financials!$B$5:$AI$260,FinancialWalk!K457,FinancialWalk!L457)</f>
        <v>4401584.6845321357</v>
      </c>
      <c r="K457">
        <f>SUMIFS(Financials!$A$5:$A$260,Financials!$D$5:$D$260,FinancialWalk!D457,Financials!$E$5:$E$260,FinancialWalk!E457,Financials!$F$5:$F$260,FinancialWalk!F457)</f>
        <v>124</v>
      </c>
      <c r="L457">
        <f t="shared" si="66"/>
        <v>21</v>
      </c>
    </row>
    <row r="458" spans="2:12" x14ac:dyDescent="0.3">
      <c r="B458" t="str">
        <f t="shared" si="64"/>
        <v>MarinusPortland</v>
      </c>
      <c r="C458" t="s">
        <v>64</v>
      </c>
      <c r="D458">
        <v>0.25</v>
      </c>
      <c r="E458" t="str">
        <f t="shared" si="65"/>
        <v>Cal-37</v>
      </c>
      <c r="F458" t="s">
        <v>34</v>
      </c>
      <c r="G458" s="105" t="s">
        <v>134</v>
      </c>
      <c r="H458" s="20" cm="1">
        <f t="array" ref="H458">INDEX(Financials!$B$5:$AI$260,FinancialWalk!K458,FinancialWalk!L458)</f>
        <v>-30248803.945498239</v>
      </c>
      <c r="K458">
        <f>SUMIFS(Financials!$A$5:$A$260,Financials!$D$5:$D$260,FinancialWalk!D458,Financials!$E$5:$E$260,FinancialWalk!E458,Financials!$F$5:$F$260,FinancialWalk!F458)</f>
        <v>125</v>
      </c>
      <c r="L458">
        <f t="shared" si="66"/>
        <v>21</v>
      </c>
    </row>
    <row r="459" spans="2:12" x14ac:dyDescent="0.3">
      <c r="B459" t="str">
        <f t="shared" si="64"/>
        <v>MarinusPortland</v>
      </c>
      <c r="C459" t="s">
        <v>64</v>
      </c>
      <c r="D459">
        <v>0.25</v>
      </c>
      <c r="E459" t="str">
        <f t="shared" si="65"/>
        <v>Cal-37</v>
      </c>
      <c r="F459" t="s">
        <v>34</v>
      </c>
      <c r="G459" s="105" t="s">
        <v>134</v>
      </c>
      <c r="H459" s="20" cm="1">
        <f t="array" ref="H459">INDEX(Financials!$B$5:$AI$260,FinancialWalk!K459,FinancialWalk!L459)</f>
        <v>-30248803.945498239</v>
      </c>
      <c r="K459">
        <f>SUMIFS(Financials!$A$5:$A$260,Financials!$D$5:$D$260,FinancialWalk!D459,Financials!$E$5:$E$260,FinancialWalk!E459,Financials!$F$5:$F$260,FinancialWalk!F459)</f>
        <v>125</v>
      </c>
      <c r="L459">
        <f t="shared" si="66"/>
        <v>21</v>
      </c>
    </row>
    <row r="460" spans="2:12" x14ac:dyDescent="0.3">
      <c r="B460" t="str">
        <f t="shared" si="64"/>
        <v>MarinusPortland</v>
      </c>
      <c r="C460" t="s">
        <v>64</v>
      </c>
      <c r="D460">
        <v>0.25</v>
      </c>
      <c r="E460" t="str">
        <f t="shared" si="65"/>
        <v>Cal-37</v>
      </c>
      <c r="F460" t="s">
        <v>34</v>
      </c>
      <c r="G460" s="105" t="s">
        <v>134</v>
      </c>
      <c r="H460" s="20" cm="1">
        <f t="array" ref="H460">INDEX(Financials!$B$5:$AI$260,FinancialWalk!K460,FinancialWalk!L460)</f>
        <v>-30248803.945498239</v>
      </c>
      <c r="K460">
        <f>SUMIFS(Financials!$A$5:$A$260,Financials!$D$5:$D$260,FinancialWalk!D460,Financials!$E$5:$E$260,FinancialWalk!E460,Financials!$F$5:$F$260,FinancialWalk!F460)</f>
        <v>125</v>
      </c>
      <c r="L460">
        <f t="shared" si="66"/>
        <v>21</v>
      </c>
    </row>
    <row r="461" spans="2:12" x14ac:dyDescent="0.3">
      <c r="B461" t="str">
        <f t="shared" si="64"/>
        <v>MarinusPortland</v>
      </c>
      <c r="C461" t="s">
        <v>64</v>
      </c>
      <c r="D461">
        <v>0.25</v>
      </c>
      <c r="E461" t="str">
        <f t="shared" si="65"/>
        <v>Cal-37</v>
      </c>
      <c r="F461" t="s">
        <v>34</v>
      </c>
      <c r="G461" s="105" t="s">
        <v>134</v>
      </c>
      <c r="H461" s="20" cm="1">
        <f t="array" ref="H461">INDEX(Financials!$B$5:$AI$260,FinancialWalk!K461,FinancialWalk!L461)</f>
        <v>-30248803.945498239</v>
      </c>
      <c r="K461">
        <f>SUMIFS(Financials!$A$5:$A$260,Financials!$D$5:$D$260,FinancialWalk!D461,Financials!$E$5:$E$260,FinancialWalk!E461,Financials!$F$5:$F$260,FinancialWalk!F461)</f>
        <v>125</v>
      </c>
      <c r="L461">
        <f t="shared" si="66"/>
        <v>21</v>
      </c>
    </row>
    <row r="462" spans="2:12" x14ac:dyDescent="0.3">
      <c r="B462" t="str">
        <f t="shared" si="64"/>
        <v>MarinusPortland</v>
      </c>
      <c r="C462" t="s">
        <v>64</v>
      </c>
      <c r="D462">
        <v>0.05</v>
      </c>
      <c r="E462" t="str">
        <f t="shared" si="65"/>
        <v>Cal-37</v>
      </c>
      <c r="F462" t="s">
        <v>34</v>
      </c>
      <c r="G462" s="105" t="s">
        <v>134</v>
      </c>
      <c r="H462" s="20" cm="1">
        <f t="array" ref="H462">INDEX(Financials!$B$5:$AI$260,FinancialWalk!K462,FinancialWalk!L462)</f>
        <v>-73136840.394511402</v>
      </c>
      <c r="K462">
        <f>SUMIFS(Financials!$A$5:$A$260,Financials!$D$5:$D$260,FinancialWalk!D462,Financials!$E$5:$E$260,FinancialWalk!E462,Financials!$F$5:$F$260,FinancialWalk!F462)</f>
        <v>126</v>
      </c>
      <c r="L462">
        <f t="shared" si="66"/>
        <v>21</v>
      </c>
    </row>
    <row r="463" spans="2:12" x14ac:dyDescent="0.3">
      <c r="B463" t="str">
        <f t="shared" si="64"/>
        <v>MarinusPortland</v>
      </c>
      <c r="C463" t="s">
        <v>64</v>
      </c>
      <c r="D463">
        <v>0.05</v>
      </c>
      <c r="E463" t="str">
        <f t="shared" si="65"/>
        <v>Cal-37</v>
      </c>
      <c r="F463" t="s">
        <v>34</v>
      </c>
      <c r="G463" s="105" t="s">
        <v>134</v>
      </c>
      <c r="H463" s="20" cm="1">
        <f t="array" ref="H463">INDEX(Financials!$B$5:$AI$260,FinancialWalk!K463,FinancialWalk!L463)</f>
        <v>-73136840.394511402</v>
      </c>
      <c r="K463">
        <f>SUMIFS(Financials!$A$5:$A$260,Financials!$D$5:$D$260,FinancialWalk!D463,Financials!$E$5:$E$260,FinancialWalk!E463,Financials!$F$5:$F$260,FinancialWalk!F463)</f>
        <v>126</v>
      </c>
      <c r="L463">
        <f t="shared" si="66"/>
        <v>21</v>
      </c>
    </row>
    <row r="464" spans="2:12" x14ac:dyDescent="0.3">
      <c r="B464" t="str">
        <f t="shared" si="64"/>
        <v>MarinusPortland</v>
      </c>
      <c r="C464" t="s">
        <v>64</v>
      </c>
      <c r="D464">
        <v>0.05</v>
      </c>
      <c r="E464" t="str">
        <f t="shared" si="65"/>
        <v>Cal-37</v>
      </c>
      <c r="F464" t="s">
        <v>34</v>
      </c>
      <c r="G464" s="105" t="s">
        <v>134</v>
      </c>
      <c r="H464" s="20" cm="1">
        <f t="array" ref="H464">INDEX(Financials!$B$5:$AI$260,FinancialWalk!K464,FinancialWalk!L464)</f>
        <v>-73136840.394511402</v>
      </c>
      <c r="K464">
        <f>SUMIFS(Financials!$A$5:$A$260,Financials!$D$5:$D$260,FinancialWalk!D464,Financials!$E$5:$E$260,FinancialWalk!E464,Financials!$F$5:$F$260,FinancialWalk!F464)</f>
        <v>126</v>
      </c>
      <c r="L464">
        <f t="shared" si="66"/>
        <v>21</v>
      </c>
    </row>
    <row r="465" spans="2:12" x14ac:dyDescent="0.3">
      <c r="B465" t="str">
        <f t="shared" si="64"/>
        <v>MarinusPortland</v>
      </c>
      <c r="C465" t="s">
        <v>64</v>
      </c>
      <c r="D465">
        <v>0</v>
      </c>
      <c r="E465" t="str">
        <f t="shared" si="65"/>
        <v>Cal-37</v>
      </c>
      <c r="F465" t="s">
        <v>34</v>
      </c>
      <c r="G465" s="105" t="s">
        <v>134</v>
      </c>
      <c r="H465" s="20" cm="1">
        <f t="array" ref="H465">INDEX(Financials!$B$5:$AI$260,FinancialWalk!K465,FinancialWalk!L465)</f>
        <v>-124025021.89958903</v>
      </c>
      <c r="K465">
        <f>SUMIFS(Financials!$A$5:$A$260,Financials!$D$5:$D$260,FinancialWalk!D465,Financials!$E$5:$E$260,FinancialWalk!E465,Financials!$F$5:$F$260,FinancialWalk!F465)</f>
        <v>127</v>
      </c>
      <c r="L465">
        <f t="shared" si="66"/>
        <v>21</v>
      </c>
    </row>
    <row r="466" spans="2:12" x14ac:dyDescent="0.3">
      <c r="B466" t="str">
        <f t="shared" si="64"/>
        <v>MarinusPortland</v>
      </c>
      <c r="C466" t="s">
        <v>64</v>
      </c>
      <c r="D466" t="s">
        <v>24</v>
      </c>
      <c r="E466" t="str">
        <f t="shared" si="65"/>
        <v>Cal-37</v>
      </c>
      <c r="F466" t="s">
        <v>34</v>
      </c>
      <c r="G466" s="105" t="s">
        <v>134</v>
      </c>
      <c r="H466" s="20" cm="1">
        <f t="array" ref="H466">INDEX(Financials!$B$5:$AI$260,FinancialWalk!K466,FinancialWalk!L466)</f>
        <v>7253740.8762575872</v>
      </c>
      <c r="K466">
        <f>SUMIFS(Financials!$A$5:$A$260,Financials!$D$5:$D$260,FinancialWalk!D466,Financials!$E$5:$E$260,FinancialWalk!E466,Financials!$F$5:$F$260,FinancialWalk!F466)</f>
        <v>128</v>
      </c>
      <c r="L466">
        <f t="shared" si="66"/>
        <v>21</v>
      </c>
    </row>
    <row r="467" spans="2:12" x14ac:dyDescent="0.3">
      <c r="B467" t="str">
        <f>$B$2</f>
        <v>MarinusPortland</v>
      </c>
      <c r="C467" t="s">
        <v>64</v>
      </c>
      <c r="D467">
        <v>1</v>
      </c>
      <c r="E467" t="s">
        <v>18</v>
      </c>
      <c r="F467" t="s">
        <v>44</v>
      </c>
      <c r="G467" s="105" t="s">
        <v>134</v>
      </c>
      <c r="H467" s="20" cm="1">
        <f t="array" ref="H467">INDEX(Financials!$B$5:$AI$260,FinancialWalk!K467,FinancialWalk!L467)</f>
        <v>206325010.05516896</v>
      </c>
      <c r="K467">
        <f>SUMIFS(Financials!$A$5:$A$260,Financials!$D$5:$D$260,FinancialWalk!D467,Financials!$E$5:$E$260,FinancialWalk!E467,Financials!$F$5:$F$260,FinancialWalk!F467)</f>
        <v>249</v>
      </c>
      <c r="L467">
        <f t="shared" si="66"/>
        <v>21</v>
      </c>
    </row>
    <row r="468" spans="2:12" x14ac:dyDescent="0.3">
      <c r="B468" t="str">
        <f>B467</f>
        <v>MarinusPortland</v>
      </c>
      <c r="C468" t="s">
        <v>64</v>
      </c>
      <c r="D468">
        <v>0.95</v>
      </c>
      <c r="E468" t="str">
        <f>E467</f>
        <v>Cal-37</v>
      </c>
      <c r="F468" t="s">
        <v>44</v>
      </c>
      <c r="G468" s="105" t="s">
        <v>134</v>
      </c>
      <c r="H468" s="20" cm="1">
        <f t="array" ref="H468">INDEX(Financials!$B$5:$AI$260,FinancialWalk!K468,FinancialWalk!L468)</f>
        <v>96129780.673750639</v>
      </c>
      <c r="K468">
        <f>SUMIFS(Financials!$A$5:$A$260,Financials!$D$5:$D$260,FinancialWalk!D468,Financials!$E$5:$E$260,FinancialWalk!E468,Financials!$F$5:$F$260,FinancialWalk!F468)</f>
        <v>250</v>
      </c>
      <c r="L468">
        <f t="shared" si="66"/>
        <v>21</v>
      </c>
    </row>
    <row r="469" spans="2:12" x14ac:dyDescent="0.3">
      <c r="B469" t="str">
        <f t="shared" ref="B469:B488" si="67">B468</f>
        <v>MarinusPortland</v>
      </c>
      <c r="C469" t="s">
        <v>64</v>
      </c>
      <c r="D469">
        <v>0.95</v>
      </c>
      <c r="E469" t="str">
        <f t="shared" ref="E469:E488" si="68">E468</f>
        <v>Cal-37</v>
      </c>
      <c r="F469" t="s">
        <v>44</v>
      </c>
      <c r="G469" s="105" t="s">
        <v>134</v>
      </c>
      <c r="H469" s="20" cm="1">
        <f t="array" ref="H469">INDEX(Financials!$B$5:$AI$260,FinancialWalk!K469,FinancialWalk!L469)</f>
        <v>96129780.673750639</v>
      </c>
      <c r="K469">
        <f>SUMIFS(Financials!$A$5:$A$260,Financials!$D$5:$D$260,FinancialWalk!D469,Financials!$E$5:$E$260,FinancialWalk!E469,Financials!$F$5:$F$260,FinancialWalk!F469)</f>
        <v>250</v>
      </c>
      <c r="L469">
        <f t="shared" si="66"/>
        <v>21</v>
      </c>
    </row>
    <row r="470" spans="2:12" x14ac:dyDescent="0.3">
      <c r="B470" t="str">
        <f t="shared" si="67"/>
        <v>MarinusPortland</v>
      </c>
      <c r="C470" t="s">
        <v>64</v>
      </c>
      <c r="D470">
        <v>0.95</v>
      </c>
      <c r="E470" t="str">
        <f t="shared" si="68"/>
        <v>Cal-37</v>
      </c>
      <c r="F470" t="s">
        <v>44</v>
      </c>
      <c r="G470" s="105" t="s">
        <v>134</v>
      </c>
      <c r="H470" s="20" cm="1">
        <f t="array" ref="H470">INDEX(Financials!$B$5:$AI$260,FinancialWalk!K470,FinancialWalk!L470)</f>
        <v>96129780.673750639</v>
      </c>
      <c r="K470">
        <f>SUMIFS(Financials!$A$5:$A$260,Financials!$D$5:$D$260,FinancialWalk!D470,Financials!$E$5:$E$260,FinancialWalk!E470,Financials!$F$5:$F$260,FinancialWalk!F470)</f>
        <v>250</v>
      </c>
      <c r="L470">
        <f t="shared" si="66"/>
        <v>21</v>
      </c>
    </row>
    <row r="471" spans="2:12" x14ac:dyDescent="0.3">
      <c r="B471" t="str">
        <f t="shared" si="67"/>
        <v>MarinusPortland</v>
      </c>
      <c r="C471" t="s">
        <v>64</v>
      </c>
      <c r="D471">
        <v>0.75</v>
      </c>
      <c r="E471" t="str">
        <f t="shared" si="68"/>
        <v>Cal-37</v>
      </c>
      <c r="F471" t="s">
        <v>44</v>
      </c>
      <c r="G471" s="105" t="s">
        <v>134</v>
      </c>
      <c r="H471" s="20" cm="1">
        <f t="array" ref="H471">INDEX(Financials!$B$5:$AI$260,FinancialWalk!K471,FinancialWalk!L471)</f>
        <v>42413583.526129827</v>
      </c>
      <c r="K471">
        <f>SUMIFS(Financials!$A$5:$A$260,Financials!$D$5:$D$260,FinancialWalk!D471,Financials!$E$5:$E$260,FinancialWalk!E471,Financials!$F$5:$F$260,FinancialWalk!F471)</f>
        <v>251</v>
      </c>
      <c r="L471">
        <f t="shared" si="66"/>
        <v>21</v>
      </c>
    </row>
    <row r="472" spans="2:12" x14ac:dyDescent="0.3">
      <c r="B472" t="str">
        <f t="shared" si="67"/>
        <v>MarinusPortland</v>
      </c>
      <c r="C472" t="s">
        <v>64</v>
      </c>
      <c r="D472">
        <v>0.75</v>
      </c>
      <c r="E472" t="str">
        <f t="shared" si="68"/>
        <v>Cal-37</v>
      </c>
      <c r="F472" t="s">
        <v>44</v>
      </c>
      <c r="G472" s="105" t="s">
        <v>134</v>
      </c>
      <c r="H472" s="20" cm="1">
        <f t="array" ref="H472">INDEX(Financials!$B$5:$AI$260,FinancialWalk!K472,FinancialWalk!L472)</f>
        <v>42413583.526129827</v>
      </c>
      <c r="K472">
        <f>SUMIFS(Financials!$A$5:$A$260,Financials!$D$5:$D$260,FinancialWalk!D472,Financials!$E$5:$E$260,FinancialWalk!E472,Financials!$F$5:$F$260,FinancialWalk!F472)</f>
        <v>251</v>
      </c>
      <c r="L472">
        <f t="shared" si="66"/>
        <v>21</v>
      </c>
    </row>
    <row r="473" spans="2:12" x14ac:dyDescent="0.3">
      <c r="B473" t="str">
        <f t="shared" si="67"/>
        <v>MarinusPortland</v>
      </c>
      <c r="C473" t="s">
        <v>64</v>
      </c>
      <c r="D473">
        <v>0.75</v>
      </c>
      <c r="E473" t="str">
        <f t="shared" si="68"/>
        <v>Cal-37</v>
      </c>
      <c r="F473" t="s">
        <v>44</v>
      </c>
      <c r="G473" s="105" t="s">
        <v>134</v>
      </c>
      <c r="H473" s="20" cm="1">
        <f t="array" ref="H473">INDEX(Financials!$B$5:$AI$260,FinancialWalk!K473,FinancialWalk!L473)</f>
        <v>42413583.526129827</v>
      </c>
      <c r="K473">
        <f>SUMIFS(Financials!$A$5:$A$260,Financials!$D$5:$D$260,FinancialWalk!D473,Financials!$E$5:$E$260,FinancialWalk!E473,Financials!$F$5:$F$260,FinancialWalk!F473)</f>
        <v>251</v>
      </c>
      <c r="L473">
        <f t="shared" si="66"/>
        <v>21</v>
      </c>
    </row>
    <row r="474" spans="2:12" x14ac:dyDescent="0.3">
      <c r="B474" t="str">
        <f t="shared" si="67"/>
        <v>MarinusPortland</v>
      </c>
      <c r="C474" t="s">
        <v>64</v>
      </c>
      <c r="D474">
        <v>0.75</v>
      </c>
      <c r="E474" t="str">
        <f t="shared" si="68"/>
        <v>Cal-37</v>
      </c>
      <c r="F474" t="s">
        <v>44</v>
      </c>
      <c r="G474" s="105" t="s">
        <v>134</v>
      </c>
      <c r="H474" s="20" cm="1">
        <f t="array" ref="H474">INDEX(Financials!$B$5:$AI$260,FinancialWalk!K474,FinancialWalk!L474)</f>
        <v>42413583.526129827</v>
      </c>
      <c r="K474">
        <f>SUMIFS(Financials!$A$5:$A$260,Financials!$D$5:$D$260,FinancialWalk!D474,Financials!$E$5:$E$260,FinancialWalk!E474,Financials!$F$5:$F$260,FinancialWalk!F474)</f>
        <v>251</v>
      </c>
      <c r="L474">
        <f t="shared" si="66"/>
        <v>21</v>
      </c>
    </row>
    <row r="475" spans="2:12" x14ac:dyDescent="0.3">
      <c r="B475" t="str">
        <f t="shared" si="67"/>
        <v>MarinusPortland</v>
      </c>
      <c r="C475" t="s">
        <v>64</v>
      </c>
      <c r="D475">
        <v>0.5</v>
      </c>
      <c r="E475" t="str">
        <f t="shared" si="68"/>
        <v>Cal-37</v>
      </c>
      <c r="F475" t="s">
        <v>44</v>
      </c>
      <c r="G475" s="105" t="s">
        <v>134</v>
      </c>
      <c r="H475" s="20" cm="1">
        <f t="array" ref="H475">INDEX(Financials!$B$5:$AI$260,FinancialWalk!K475,FinancialWalk!L475)</f>
        <v>4401584.6845321357</v>
      </c>
      <c r="K475">
        <f>SUMIFS(Financials!$A$5:$A$260,Financials!$D$5:$D$260,FinancialWalk!D475,Financials!$E$5:$E$260,FinancialWalk!E475,Financials!$F$5:$F$260,FinancialWalk!F475)</f>
        <v>252</v>
      </c>
      <c r="L475">
        <f t="shared" si="66"/>
        <v>21</v>
      </c>
    </row>
    <row r="476" spans="2:12" x14ac:dyDescent="0.3">
      <c r="B476" t="str">
        <f t="shared" si="67"/>
        <v>MarinusPortland</v>
      </c>
      <c r="C476" t="s">
        <v>64</v>
      </c>
      <c r="D476">
        <v>0.5</v>
      </c>
      <c r="E476" t="str">
        <f t="shared" si="68"/>
        <v>Cal-37</v>
      </c>
      <c r="F476" t="s">
        <v>44</v>
      </c>
      <c r="G476" s="105" t="s">
        <v>134</v>
      </c>
      <c r="H476" s="20" cm="1">
        <f t="array" ref="H476">INDEX(Financials!$B$5:$AI$260,FinancialWalk!K476,FinancialWalk!L476)</f>
        <v>4401584.6845321357</v>
      </c>
      <c r="K476">
        <f>SUMIFS(Financials!$A$5:$A$260,Financials!$D$5:$D$260,FinancialWalk!D476,Financials!$E$5:$E$260,FinancialWalk!E476,Financials!$F$5:$F$260,FinancialWalk!F476)</f>
        <v>252</v>
      </c>
      <c r="L476">
        <f t="shared" si="66"/>
        <v>21</v>
      </c>
    </row>
    <row r="477" spans="2:12" x14ac:dyDescent="0.3">
      <c r="B477" t="str">
        <f t="shared" si="67"/>
        <v>MarinusPortland</v>
      </c>
      <c r="C477" t="s">
        <v>64</v>
      </c>
      <c r="D477">
        <v>0.5</v>
      </c>
      <c r="E477" t="str">
        <f t="shared" si="68"/>
        <v>Cal-37</v>
      </c>
      <c r="F477" t="s">
        <v>44</v>
      </c>
      <c r="G477" s="105" t="s">
        <v>134</v>
      </c>
      <c r="H477" s="20" cm="1">
        <f t="array" ref="H477">INDEX(Financials!$B$5:$AI$260,FinancialWalk!K477,FinancialWalk!L477)</f>
        <v>4401584.6845321357</v>
      </c>
      <c r="K477">
        <f>SUMIFS(Financials!$A$5:$A$260,Financials!$D$5:$D$260,FinancialWalk!D477,Financials!$E$5:$E$260,FinancialWalk!E477,Financials!$F$5:$F$260,FinancialWalk!F477)</f>
        <v>252</v>
      </c>
      <c r="L477">
        <f t="shared" si="66"/>
        <v>21</v>
      </c>
    </row>
    <row r="478" spans="2:12" x14ac:dyDescent="0.3">
      <c r="B478" t="str">
        <f t="shared" si="67"/>
        <v>MarinusPortland</v>
      </c>
      <c r="C478" t="s">
        <v>64</v>
      </c>
      <c r="D478">
        <v>0.5</v>
      </c>
      <c r="E478" t="str">
        <f t="shared" si="68"/>
        <v>Cal-37</v>
      </c>
      <c r="F478" t="s">
        <v>44</v>
      </c>
      <c r="G478" s="105" t="s">
        <v>134</v>
      </c>
      <c r="H478" s="20" cm="1">
        <f t="array" ref="H478">INDEX(Financials!$B$5:$AI$260,FinancialWalk!K478,FinancialWalk!L478)</f>
        <v>4401584.6845321357</v>
      </c>
      <c r="K478">
        <f>SUMIFS(Financials!$A$5:$A$260,Financials!$D$5:$D$260,FinancialWalk!D478,Financials!$E$5:$E$260,FinancialWalk!E478,Financials!$F$5:$F$260,FinancialWalk!F478)</f>
        <v>252</v>
      </c>
      <c r="L478">
        <f t="shared" si="66"/>
        <v>21</v>
      </c>
    </row>
    <row r="479" spans="2:12" x14ac:dyDescent="0.3">
      <c r="B479" t="str">
        <f t="shared" si="67"/>
        <v>MarinusPortland</v>
      </c>
      <c r="C479" t="s">
        <v>64</v>
      </c>
      <c r="D479">
        <v>0.5</v>
      </c>
      <c r="E479" t="str">
        <f t="shared" si="68"/>
        <v>Cal-37</v>
      </c>
      <c r="F479" t="s">
        <v>44</v>
      </c>
      <c r="G479" s="105" t="s">
        <v>134</v>
      </c>
      <c r="H479" s="20" cm="1">
        <f t="array" ref="H479">INDEX(Financials!$B$5:$AI$260,FinancialWalk!K479,FinancialWalk!L479)</f>
        <v>4401584.6845321357</v>
      </c>
      <c r="K479">
        <f>SUMIFS(Financials!$A$5:$A$260,Financials!$D$5:$D$260,FinancialWalk!D479,Financials!$E$5:$E$260,FinancialWalk!E479,Financials!$F$5:$F$260,FinancialWalk!F479)</f>
        <v>252</v>
      </c>
      <c r="L479">
        <f t="shared" si="66"/>
        <v>21</v>
      </c>
    </row>
    <row r="480" spans="2:12" x14ac:dyDescent="0.3">
      <c r="B480" t="str">
        <f t="shared" si="67"/>
        <v>MarinusPortland</v>
      </c>
      <c r="C480" t="s">
        <v>64</v>
      </c>
      <c r="D480">
        <v>0.25</v>
      </c>
      <c r="E480" t="str">
        <f t="shared" si="68"/>
        <v>Cal-37</v>
      </c>
      <c r="F480" t="s">
        <v>44</v>
      </c>
      <c r="G480" s="105" t="s">
        <v>134</v>
      </c>
      <c r="H480" s="20" cm="1">
        <f t="array" ref="H480">INDEX(Financials!$B$5:$AI$260,FinancialWalk!K480,FinancialWalk!L480)</f>
        <v>-30248803.945498239</v>
      </c>
      <c r="K480">
        <f>SUMIFS(Financials!$A$5:$A$260,Financials!$D$5:$D$260,FinancialWalk!D480,Financials!$E$5:$E$260,FinancialWalk!E480,Financials!$F$5:$F$260,FinancialWalk!F480)</f>
        <v>253</v>
      </c>
      <c r="L480">
        <f t="shared" si="66"/>
        <v>21</v>
      </c>
    </row>
    <row r="481" spans="2:12" x14ac:dyDescent="0.3">
      <c r="B481" t="str">
        <f t="shared" si="67"/>
        <v>MarinusPortland</v>
      </c>
      <c r="C481" t="s">
        <v>64</v>
      </c>
      <c r="D481">
        <v>0.25</v>
      </c>
      <c r="E481" t="str">
        <f t="shared" si="68"/>
        <v>Cal-37</v>
      </c>
      <c r="F481" t="s">
        <v>44</v>
      </c>
      <c r="G481" s="105" t="s">
        <v>134</v>
      </c>
      <c r="H481" s="20" cm="1">
        <f t="array" ref="H481">INDEX(Financials!$B$5:$AI$260,FinancialWalk!K481,FinancialWalk!L481)</f>
        <v>-30248803.945498239</v>
      </c>
      <c r="K481">
        <f>SUMIFS(Financials!$A$5:$A$260,Financials!$D$5:$D$260,FinancialWalk!D481,Financials!$E$5:$E$260,FinancialWalk!E481,Financials!$F$5:$F$260,FinancialWalk!F481)</f>
        <v>253</v>
      </c>
      <c r="L481">
        <f t="shared" si="66"/>
        <v>21</v>
      </c>
    </row>
    <row r="482" spans="2:12" x14ac:dyDescent="0.3">
      <c r="B482" t="str">
        <f t="shared" si="67"/>
        <v>MarinusPortland</v>
      </c>
      <c r="C482" t="s">
        <v>64</v>
      </c>
      <c r="D482">
        <v>0.25</v>
      </c>
      <c r="E482" t="str">
        <f t="shared" si="68"/>
        <v>Cal-37</v>
      </c>
      <c r="F482" t="s">
        <v>44</v>
      </c>
      <c r="G482" s="105" t="s">
        <v>134</v>
      </c>
      <c r="H482" s="20" cm="1">
        <f t="array" ref="H482">INDEX(Financials!$B$5:$AI$260,FinancialWalk!K482,FinancialWalk!L482)</f>
        <v>-30248803.945498239</v>
      </c>
      <c r="K482">
        <f>SUMIFS(Financials!$A$5:$A$260,Financials!$D$5:$D$260,FinancialWalk!D482,Financials!$E$5:$E$260,FinancialWalk!E482,Financials!$F$5:$F$260,FinancialWalk!F482)</f>
        <v>253</v>
      </c>
      <c r="L482">
        <f t="shared" si="66"/>
        <v>21</v>
      </c>
    </row>
    <row r="483" spans="2:12" x14ac:dyDescent="0.3">
      <c r="B483" t="str">
        <f t="shared" si="67"/>
        <v>MarinusPortland</v>
      </c>
      <c r="C483" t="s">
        <v>64</v>
      </c>
      <c r="D483">
        <v>0.25</v>
      </c>
      <c r="E483" t="str">
        <f t="shared" si="68"/>
        <v>Cal-37</v>
      </c>
      <c r="F483" t="s">
        <v>44</v>
      </c>
      <c r="G483" s="105" t="s">
        <v>134</v>
      </c>
      <c r="H483" s="20" cm="1">
        <f t="array" ref="H483">INDEX(Financials!$B$5:$AI$260,FinancialWalk!K483,FinancialWalk!L483)</f>
        <v>-30248803.945498239</v>
      </c>
      <c r="K483">
        <f>SUMIFS(Financials!$A$5:$A$260,Financials!$D$5:$D$260,FinancialWalk!D483,Financials!$E$5:$E$260,FinancialWalk!E483,Financials!$F$5:$F$260,FinancialWalk!F483)</f>
        <v>253</v>
      </c>
      <c r="L483">
        <f t="shared" si="66"/>
        <v>21</v>
      </c>
    </row>
    <row r="484" spans="2:12" x14ac:dyDescent="0.3">
      <c r="B484" t="str">
        <f t="shared" si="67"/>
        <v>MarinusPortland</v>
      </c>
      <c r="C484" t="s">
        <v>64</v>
      </c>
      <c r="D484">
        <v>0.05</v>
      </c>
      <c r="E484" t="str">
        <f t="shared" si="68"/>
        <v>Cal-37</v>
      </c>
      <c r="F484" t="s">
        <v>44</v>
      </c>
      <c r="G484" s="105" t="s">
        <v>134</v>
      </c>
      <c r="H484" s="20" cm="1">
        <f t="array" ref="H484">INDEX(Financials!$B$5:$AI$260,FinancialWalk!K484,FinancialWalk!L484)</f>
        <v>-73136840.394511402</v>
      </c>
      <c r="K484">
        <f>SUMIFS(Financials!$A$5:$A$260,Financials!$D$5:$D$260,FinancialWalk!D484,Financials!$E$5:$E$260,FinancialWalk!E484,Financials!$F$5:$F$260,FinancialWalk!F484)</f>
        <v>254</v>
      </c>
      <c r="L484">
        <f t="shared" si="66"/>
        <v>21</v>
      </c>
    </row>
    <row r="485" spans="2:12" x14ac:dyDescent="0.3">
      <c r="B485" t="str">
        <f t="shared" si="67"/>
        <v>MarinusPortland</v>
      </c>
      <c r="C485" t="s">
        <v>64</v>
      </c>
      <c r="D485">
        <v>0.05</v>
      </c>
      <c r="E485" t="str">
        <f t="shared" si="68"/>
        <v>Cal-37</v>
      </c>
      <c r="F485" t="s">
        <v>44</v>
      </c>
      <c r="G485" s="105" t="s">
        <v>134</v>
      </c>
      <c r="H485" s="20" cm="1">
        <f t="array" ref="H485">INDEX(Financials!$B$5:$AI$260,FinancialWalk!K485,FinancialWalk!L485)</f>
        <v>-73136840.394511402</v>
      </c>
      <c r="K485">
        <f>SUMIFS(Financials!$A$5:$A$260,Financials!$D$5:$D$260,FinancialWalk!D485,Financials!$E$5:$E$260,FinancialWalk!E485,Financials!$F$5:$F$260,FinancialWalk!F485)</f>
        <v>254</v>
      </c>
      <c r="L485">
        <f t="shared" si="66"/>
        <v>21</v>
      </c>
    </row>
    <row r="486" spans="2:12" x14ac:dyDescent="0.3">
      <c r="B486" t="str">
        <f t="shared" si="67"/>
        <v>MarinusPortland</v>
      </c>
      <c r="C486" t="s">
        <v>64</v>
      </c>
      <c r="D486">
        <v>0.05</v>
      </c>
      <c r="E486" t="str">
        <f t="shared" si="68"/>
        <v>Cal-37</v>
      </c>
      <c r="F486" t="s">
        <v>44</v>
      </c>
      <c r="G486" s="105" t="s">
        <v>134</v>
      </c>
      <c r="H486" s="20" cm="1">
        <f t="array" ref="H486">INDEX(Financials!$B$5:$AI$260,FinancialWalk!K486,FinancialWalk!L486)</f>
        <v>-73136840.394511402</v>
      </c>
      <c r="K486">
        <f>SUMIFS(Financials!$A$5:$A$260,Financials!$D$5:$D$260,FinancialWalk!D486,Financials!$E$5:$E$260,FinancialWalk!E486,Financials!$F$5:$F$260,FinancialWalk!F486)</f>
        <v>254</v>
      </c>
      <c r="L486">
        <f t="shared" si="66"/>
        <v>21</v>
      </c>
    </row>
    <row r="487" spans="2:12" x14ac:dyDescent="0.3">
      <c r="B487" t="str">
        <f t="shared" si="67"/>
        <v>MarinusPortland</v>
      </c>
      <c r="C487" t="s">
        <v>64</v>
      </c>
      <c r="D487">
        <v>0</v>
      </c>
      <c r="E487" t="str">
        <f t="shared" si="68"/>
        <v>Cal-37</v>
      </c>
      <c r="F487" t="s">
        <v>44</v>
      </c>
      <c r="G487" s="105" t="s">
        <v>134</v>
      </c>
      <c r="H487" s="20" cm="1">
        <f t="array" ref="H487">INDEX(Financials!$B$5:$AI$260,FinancialWalk!K487,FinancialWalk!L487)</f>
        <v>-119782402.40117411</v>
      </c>
      <c r="K487">
        <f>SUMIFS(Financials!$A$5:$A$260,Financials!$D$5:$D$260,FinancialWalk!D487,Financials!$E$5:$E$260,FinancialWalk!E487,Financials!$F$5:$F$260,FinancialWalk!F487)</f>
        <v>255</v>
      </c>
      <c r="L487">
        <f t="shared" si="66"/>
        <v>21</v>
      </c>
    </row>
    <row r="488" spans="2:12" x14ac:dyDescent="0.3">
      <c r="B488" t="str">
        <f t="shared" si="67"/>
        <v>MarinusPortland</v>
      </c>
      <c r="C488" t="s">
        <v>64</v>
      </c>
      <c r="D488" t="s">
        <v>24</v>
      </c>
      <c r="E488" t="str">
        <f t="shared" si="68"/>
        <v>Cal-37</v>
      </c>
      <c r="F488" t="s">
        <v>44</v>
      </c>
      <c r="G488" s="105" t="s">
        <v>134</v>
      </c>
      <c r="H488" s="20" cm="1">
        <f t="array" ref="H488">INDEX(Financials!$B$5:$AI$260,FinancialWalk!K488,FinancialWalk!L488)</f>
        <v>7253740.8762575872</v>
      </c>
      <c r="K488">
        <f>SUMIFS(Financials!$A$5:$A$260,Financials!$D$5:$D$260,FinancialWalk!D488,Financials!$E$5:$E$260,FinancialWalk!E488,Financials!$F$5:$F$260,FinancialWalk!F488)</f>
        <v>256</v>
      </c>
      <c r="L488">
        <f t="shared" si="66"/>
        <v>21</v>
      </c>
    </row>
    <row r="489" spans="2:12" x14ac:dyDescent="0.3">
      <c r="B489" t="str">
        <f>$B$2</f>
        <v>MarinusPortland</v>
      </c>
      <c r="C489" t="s">
        <v>64</v>
      </c>
      <c r="D489">
        <v>1</v>
      </c>
      <c r="E489" t="s">
        <v>18</v>
      </c>
      <c r="F489" t="s">
        <v>34</v>
      </c>
      <c r="G489" t="s">
        <v>138</v>
      </c>
      <c r="H489" s="20" cm="1">
        <f t="array" ref="H489">INDEX(Financials!$B$5:$AI$260,FinancialWalk!K489,FinancialWalk!L489)</f>
        <v>-177005727.9519234</v>
      </c>
      <c r="K489">
        <f>SUMIFS(Financials!$A$5:$A$260,Financials!$D$5:$D$260,FinancialWalk!D489,Financials!$E$5:$E$260,FinancialWalk!E489,Financials!$F$5:$F$260,FinancialWalk!F489)</f>
        <v>121</v>
      </c>
      <c r="L489">
        <f t="shared" si="66"/>
        <v>28</v>
      </c>
    </row>
    <row r="490" spans="2:12" x14ac:dyDescent="0.3">
      <c r="B490" t="str">
        <f>B489</f>
        <v>MarinusPortland</v>
      </c>
      <c r="C490" t="s">
        <v>64</v>
      </c>
      <c r="D490">
        <v>0.95</v>
      </c>
      <c r="E490" t="str">
        <f>E489</f>
        <v>Cal-37</v>
      </c>
      <c r="F490" t="s">
        <v>34</v>
      </c>
      <c r="G490" t="s">
        <v>138</v>
      </c>
      <c r="H490" s="20" cm="1">
        <f t="array" ref="H490">INDEX(Financials!$B$5:$AI$260,FinancialWalk!K490,FinancialWalk!L490)</f>
        <v>-76246170.356692344</v>
      </c>
      <c r="K490">
        <f>SUMIFS(Financials!$A$5:$A$260,Financials!$D$5:$D$260,FinancialWalk!D490,Financials!$E$5:$E$260,FinancialWalk!E490,Financials!$F$5:$F$260,FinancialWalk!F490)</f>
        <v>122</v>
      </c>
      <c r="L490">
        <f t="shared" si="66"/>
        <v>28</v>
      </c>
    </row>
    <row r="491" spans="2:12" x14ac:dyDescent="0.3">
      <c r="B491" t="str">
        <f t="shared" ref="B491:B510" si="69">B490</f>
        <v>MarinusPortland</v>
      </c>
      <c r="C491" t="s">
        <v>64</v>
      </c>
      <c r="D491">
        <v>0.95</v>
      </c>
      <c r="E491" t="str">
        <f t="shared" ref="E491:E510" si="70">E490</f>
        <v>Cal-37</v>
      </c>
      <c r="F491" t="s">
        <v>34</v>
      </c>
      <c r="G491" t="s">
        <v>138</v>
      </c>
      <c r="H491" s="20" cm="1">
        <f t="array" ref="H491">INDEX(Financials!$B$5:$AI$260,FinancialWalk!K491,FinancialWalk!L491)</f>
        <v>-76246170.356692344</v>
      </c>
      <c r="K491">
        <f>SUMIFS(Financials!$A$5:$A$260,Financials!$D$5:$D$260,FinancialWalk!D491,Financials!$E$5:$E$260,FinancialWalk!E491,Financials!$F$5:$F$260,FinancialWalk!F491)</f>
        <v>122</v>
      </c>
      <c r="L491">
        <f t="shared" si="66"/>
        <v>28</v>
      </c>
    </row>
    <row r="492" spans="2:12" x14ac:dyDescent="0.3">
      <c r="B492" t="str">
        <f t="shared" si="69"/>
        <v>MarinusPortland</v>
      </c>
      <c r="C492" t="s">
        <v>64</v>
      </c>
      <c r="D492">
        <v>0.95</v>
      </c>
      <c r="E492" t="str">
        <f t="shared" si="70"/>
        <v>Cal-37</v>
      </c>
      <c r="F492" t="s">
        <v>34</v>
      </c>
      <c r="G492" t="s">
        <v>138</v>
      </c>
      <c r="H492" s="20" cm="1">
        <f t="array" ref="H492">INDEX(Financials!$B$5:$AI$260,FinancialWalk!K492,FinancialWalk!L492)</f>
        <v>-76246170.356692344</v>
      </c>
      <c r="K492">
        <f>SUMIFS(Financials!$A$5:$A$260,Financials!$D$5:$D$260,FinancialWalk!D492,Financials!$E$5:$E$260,FinancialWalk!E492,Financials!$F$5:$F$260,FinancialWalk!F492)</f>
        <v>122</v>
      </c>
      <c r="L492">
        <f t="shared" si="66"/>
        <v>28</v>
      </c>
    </row>
    <row r="493" spans="2:12" x14ac:dyDescent="0.3">
      <c r="B493" t="str">
        <f t="shared" si="69"/>
        <v>MarinusPortland</v>
      </c>
      <c r="C493" t="s">
        <v>64</v>
      </c>
      <c r="D493">
        <v>0.75</v>
      </c>
      <c r="E493" t="str">
        <f t="shared" si="70"/>
        <v>Cal-37</v>
      </c>
      <c r="F493" t="s">
        <v>34</v>
      </c>
      <c r="G493" t="s">
        <v>138</v>
      </c>
      <c r="H493" s="20" cm="1">
        <f t="array" ref="H493">INDEX(Financials!$B$5:$AI$260,FinancialWalk!K493,FinancialWalk!L493)</f>
        <v>-31753682.67183445</v>
      </c>
      <c r="K493">
        <f>SUMIFS(Financials!$A$5:$A$260,Financials!$D$5:$D$260,FinancialWalk!D493,Financials!$E$5:$E$260,FinancialWalk!E493,Financials!$F$5:$F$260,FinancialWalk!F493)</f>
        <v>123</v>
      </c>
      <c r="L493">
        <f t="shared" si="66"/>
        <v>28</v>
      </c>
    </row>
    <row r="494" spans="2:12" x14ac:dyDescent="0.3">
      <c r="B494" t="str">
        <f t="shared" si="69"/>
        <v>MarinusPortland</v>
      </c>
      <c r="C494" t="s">
        <v>64</v>
      </c>
      <c r="D494">
        <v>0.75</v>
      </c>
      <c r="E494" t="str">
        <f t="shared" si="70"/>
        <v>Cal-37</v>
      </c>
      <c r="F494" t="s">
        <v>34</v>
      </c>
      <c r="G494" t="s">
        <v>138</v>
      </c>
      <c r="H494" s="20" cm="1">
        <f t="array" ref="H494">INDEX(Financials!$B$5:$AI$260,FinancialWalk!K494,FinancialWalk!L494)</f>
        <v>-31753682.67183445</v>
      </c>
      <c r="K494">
        <f>SUMIFS(Financials!$A$5:$A$260,Financials!$D$5:$D$260,FinancialWalk!D494,Financials!$E$5:$E$260,FinancialWalk!E494,Financials!$F$5:$F$260,FinancialWalk!F494)</f>
        <v>123</v>
      </c>
      <c r="L494">
        <f t="shared" si="66"/>
        <v>28</v>
      </c>
    </row>
    <row r="495" spans="2:12" x14ac:dyDescent="0.3">
      <c r="B495" t="str">
        <f t="shared" si="69"/>
        <v>MarinusPortland</v>
      </c>
      <c r="C495" t="s">
        <v>64</v>
      </c>
      <c r="D495">
        <v>0.75</v>
      </c>
      <c r="E495" t="str">
        <f t="shared" si="70"/>
        <v>Cal-37</v>
      </c>
      <c r="F495" t="s">
        <v>34</v>
      </c>
      <c r="G495" t="s">
        <v>138</v>
      </c>
      <c r="H495" s="20" cm="1">
        <f t="array" ref="H495">INDEX(Financials!$B$5:$AI$260,FinancialWalk!K495,FinancialWalk!L495)</f>
        <v>-31753682.67183445</v>
      </c>
      <c r="K495">
        <f>SUMIFS(Financials!$A$5:$A$260,Financials!$D$5:$D$260,FinancialWalk!D495,Financials!$E$5:$E$260,FinancialWalk!E495,Financials!$F$5:$F$260,FinancialWalk!F495)</f>
        <v>123</v>
      </c>
      <c r="L495">
        <f t="shared" si="66"/>
        <v>28</v>
      </c>
    </row>
    <row r="496" spans="2:12" x14ac:dyDescent="0.3">
      <c r="B496" t="str">
        <f t="shared" si="69"/>
        <v>MarinusPortland</v>
      </c>
      <c r="C496" t="s">
        <v>64</v>
      </c>
      <c r="D496">
        <v>0.75</v>
      </c>
      <c r="E496" t="str">
        <f t="shared" si="70"/>
        <v>Cal-37</v>
      </c>
      <c r="F496" t="s">
        <v>34</v>
      </c>
      <c r="G496" t="s">
        <v>138</v>
      </c>
      <c r="H496" s="20" cm="1">
        <f t="array" ref="H496">INDEX(Financials!$B$5:$AI$260,FinancialWalk!K496,FinancialWalk!L496)</f>
        <v>-31753682.67183445</v>
      </c>
      <c r="K496">
        <f>SUMIFS(Financials!$A$5:$A$260,Financials!$D$5:$D$260,FinancialWalk!D496,Financials!$E$5:$E$260,FinancialWalk!E496,Financials!$F$5:$F$260,FinancialWalk!F496)</f>
        <v>123</v>
      </c>
      <c r="L496">
        <f t="shared" si="66"/>
        <v>28</v>
      </c>
    </row>
    <row r="497" spans="2:12" x14ac:dyDescent="0.3">
      <c r="B497" t="str">
        <f t="shared" si="69"/>
        <v>MarinusPortland</v>
      </c>
      <c r="C497" t="s">
        <v>64</v>
      </c>
      <c r="D497">
        <v>0.5</v>
      </c>
      <c r="E497" t="str">
        <f t="shared" si="70"/>
        <v>Cal-37</v>
      </c>
      <c r="F497" t="s">
        <v>34</v>
      </c>
      <c r="G497" t="s">
        <v>138</v>
      </c>
      <c r="H497" s="20" cm="1">
        <f t="array" ref="H497">INDEX(Financials!$B$5:$AI$260,FinancialWalk!K497,FinancialWalk!L497)</f>
        <v>-345552.08027942281</v>
      </c>
      <c r="K497">
        <f>SUMIFS(Financials!$A$5:$A$260,Financials!$D$5:$D$260,FinancialWalk!D497,Financials!$E$5:$E$260,FinancialWalk!E497,Financials!$F$5:$F$260,FinancialWalk!F497)</f>
        <v>124</v>
      </c>
      <c r="L497">
        <f t="shared" si="66"/>
        <v>28</v>
      </c>
    </row>
    <row r="498" spans="2:12" x14ac:dyDescent="0.3">
      <c r="B498" t="str">
        <f t="shared" si="69"/>
        <v>MarinusPortland</v>
      </c>
      <c r="C498" t="s">
        <v>64</v>
      </c>
      <c r="D498">
        <v>0.5</v>
      </c>
      <c r="E498" t="str">
        <f t="shared" si="70"/>
        <v>Cal-37</v>
      </c>
      <c r="F498" t="s">
        <v>34</v>
      </c>
      <c r="G498" t="s">
        <v>138</v>
      </c>
      <c r="H498" s="20" cm="1">
        <f t="array" ref="H498">INDEX(Financials!$B$5:$AI$260,FinancialWalk!K498,FinancialWalk!L498)</f>
        <v>-345552.08027942281</v>
      </c>
      <c r="K498">
        <f>SUMIFS(Financials!$A$5:$A$260,Financials!$D$5:$D$260,FinancialWalk!D498,Financials!$E$5:$E$260,FinancialWalk!E498,Financials!$F$5:$F$260,FinancialWalk!F498)</f>
        <v>124</v>
      </c>
      <c r="L498">
        <f t="shared" si="66"/>
        <v>28</v>
      </c>
    </row>
    <row r="499" spans="2:12" x14ac:dyDescent="0.3">
      <c r="B499" t="str">
        <f t="shared" si="69"/>
        <v>MarinusPortland</v>
      </c>
      <c r="C499" t="s">
        <v>64</v>
      </c>
      <c r="D499">
        <v>0.5</v>
      </c>
      <c r="E499" t="str">
        <f t="shared" si="70"/>
        <v>Cal-37</v>
      </c>
      <c r="F499" t="s">
        <v>34</v>
      </c>
      <c r="G499" t="s">
        <v>138</v>
      </c>
      <c r="H499" s="20" cm="1">
        <f t="array" ref="H499">INDEX(Financials!$B$5:$AI$260,FinancialWalk!K499,FinancialWalk!L499)</f>
        <v>-345552.08027942281</v>
      </c>
      <c r="K499">
        <f>SUMIFS(Financials!$A$5:$A$260,Financials!$D$5:$D$260,FinancialWalk!D499,Financials!$E$5:$E$260,FinancialWalk!E499,Financials!$F$5:$F$260,FinancialWalk!F499)</f>
        <v>124</v>
      </c>
      <c r="L499">
        <f t="shared" si="66"/>
        <v>28</v>
      </c>
    </row>
    <row r="500" spans="2:12" x14ac:dyDescent="0.3">
      <c r="B500" t="str">
        <f t="shared" si="69"/>
        <v>MarinusPortland</v>
      </c>
      <c r="C500" t="s">
        <v>64</v>
      </c>
      <c r="D500">
        <v>0.5</v>
      </c>
      <c r="E500" t="str">
        <f t="shared" si="70"/>
        <v>Cal-37</v>
      </c>
      <c r="F500" t="s">
        <v>34</v>
      </c>
      <c r="G500" t="s">
        <v>138</v>
      </c>
      <c r="H500" s="20" cm="1">
        <f t="array" ref="H500">INDEX(Financials!$B$5:$AI$260,FinancialWalk!K500,FinancialWalk!L500)</f>
        <v>-345552.08027942281</v>
      </c>
      <c r="K500">
        <f>SUMIFS(Financials!$A$5:$A$260,Financials!$D$5:$D$260,FinancialWalk!D500,Financials!$E$5:$E$260,FinancialWalk!E500,Financials!$F$5:$F$260,FinancialWalk!F500)</f>
        <v>124</v>
      </c>
      <c r="L500">
        <f t="shared" si="66"/>
        <v>28</v>
      </c>
    </row>
    <row r="501" spans="2:12" x14ac:dyDescent="0.3">
      <c r="B501" t="str">
        <f t="shared" si="69"/>
        <v>MarinusPortland</v>
      </c>
      <c r="C501" t="s">
        <v>64</v>
      </c>
      <c r="D501">
        <v>0.5</v>
      </c>
      <c r="E501" t="str">
        <f t="shared" si="70"/>
        <v>Cal-37</v>
      </c>
      <c r="F501" t="s">
        <v>34</v>
      </c>
      <c r="G501" t="s">
        <v>138</v>
      </c>
      <c r="H501" s="20" cm="1">
        <f t="array" ref="H501">INDEX(Financials!$B$5:$AI$260,FinancialWalk!K501,FinancialWalk!L501)</f>
        <v>-345552.08027942281</v>
      </c>
      <c r="K501">
        <f>SUMIFS(Financials!$A$5:$A$260,Financials!$D$5:$D$260,FinancialWalk!D501,Financials!$E$5:$E$260,FinancialWalk!E501,Financials!$F$5:$F$260,FinancialWalk!F501)</f>
        <v>124</v>
      </c>
      <c r="L501">
        <f t="shared" si="66"/>
        <v>28</v>
      </c>
    </row>
    <row r="502" spans="2:12" x14ac:dyDescent="0.3">
      <c r="B502" t="str">
        <f t="shared" si="69"/>
        <v>MarinusPortland</v>
      </c>
      <c r="C502" t="s">
        <v>64</v>
      </c>
      <c r="D502">
        <v>0.25</v>
      </c>
      <c r="E502" t="str">
        <f t="shared" si="70"/>
        <v>Cal-37</v>
      </c>
      <c r="F502" t="s">
        <v>34</v>
      </c>
      <c r="G502" t="s">
        <v>138</v>
      </c>
      <c r="H502" s="20" cm="1">
        <f t="array" ref="H502">INDEX(Financials!$B$5:$AI$260,FinancialWalk!K502,FinancialWalk!L502)</f>
        <v>31310730.015753746</v>
      </c>
      <c r="K502">
        <f>SUMIFS(Financials!$A$5:$A$260,Financials!$D$5:$D$260,FinancialWalk!D502,Financials!$E$5:$E$260,FinancialWalk!E502,Financials!$F$5:$F$260,FinancialWalk!F502)</f>
        <v>125</v>
      </c>
      <c r="L502">
        <f t="shared" si="66"/>
        <v>28</v>
      </c>
    </row>
    <row r="503" spans="2:12" x14ac:dyDescent="0.3">
      <c r="B503" t="str">
        <f t="shared" si="69"/>
        <v>MarinusPortland</v>
      </c>
      <c r="C503" t="s">
        <v>64</v>
      </c>
      <c r="D503">
        <v>0.25</v>
      </c>
      <c r="E503" t="str">
        <f t="shared" si="70"/>
        <v>Cal-37</v>
      </c>
      <c r="F503" t="s">
        <v>34</v>
      </c>
      <c r="G503" t="s">
        <v>138</v>
      </c>
      <c r="H503" s="20" cm="1">
        <f t="array" ref="H503">INDEX(Financials!$B$5:$AI$260,FinancialWalk!K503,FinancialWalk!L503)</f>
        <v>31310730.015753746</v>
      </c>
      <c r="K503">
        <f>SUMIFS(Financials!$A$5:$A$260,Financials!$D$5:$D$260,FinancialWalk!D503,Financials!$E$5:$E$260,FinancialWalk!E503,Financials!$F$5:$F$260,FinancialWalk!F503)</f>
        <v>125</v>
      </c>
      <c r="L503">
        <f t="shared" si="66"/>
        <v>28</v>
      </c>
    </row>
    <row r="504" spans="2:12" x14ac:dyDescent="0.3">
      <c r="B504" t="str">
        <f t="shared" si="69"/>
        <v>MarinusPortland</v>
      </c>
      <c r="C504" t="s">
        <v>64</v>
      </c>
      <c r="D504">
        <v>0.25</v>
      </c>
      <c r="E504" t="str">
        <f t="shared" si="70"/>
        <v>Cal-37</v>
      </c>
      <c r="F504" t="s">
        <v>34</v>
      </c>
      <c r="G504" t="s">
        <v>138</v>
      </c>
      <c r="H504" s="20" cm="1">
        <f t="array" ref="H504">INDEX(Financials!$B$5:$AI$260,FinancialWalk!K504,FinancialWalk!L504)</f>
        <v>31310730.015753746</v>
      </c>
      <c r="K504">
        <f>SUMIFS(Financials!$A$5:$A$260,Financials!$D$5:$D$260,FinancialWalk!D504,Financials!$E$5:$E$260,FinancialWalk!E504,Financials!$F$5:$F$260,FinancialWalk!F504)</f>
        <v>125</v>
      </c>
      <c r="L504">
        <f t="shared" si="66"/>
        <v>28</v>
      </c>
    </row>
    <row r="505" spans="2:12" x14ac:dyDescent="0.3">
      <c r="B505" t="str">
        <f t="shared" si="69"/>
        <v>MarinusPortland</v>
      </c>
      <c r="C505" t="s">
        <v>64</v>
      </c>
      <c r="D505">
        <v>0.25</v>
      </c>
      <c r="E505" t="str">
        <f t="shared" si="70"/>
        <v>Cal-37</v>
      </c>
      <c r="F505" t="s">
        <v>34</v>
      </c>
      <c r="G505" t="s">
        <v>138</v>
      </c>
      <c r="H505" s="20" cm="1">
        <f t="array" ref="H505">INDEX(Financials!$B$5:$AI$260,FinancialWalk!K505,FinancialWalk!L505)</f>
        <v>31310730.015753746</v>
      </c>
      <c r="K505">
        <f>SUMIFS(Financials!$A$5:$A$260,Financials!$D$5:$D$260,FinancialWalk!D505,Financials!$E$5:$E$260,FinancialWalk!E505,Financials!$F$5:$F$260,FinancialWalk!F505)</f>
        <v>125</v>
      </c>
      <c r="L505">
        <f t="shared" si="66"/>
        <v>28</v>
      </c>
    </row>
    <row r="506" spans="2:12" x14ac:dyDescent="0.3">
      <c r="B506" t="str">
        <f t="shared" si="69"/>
        <v>MarinusPortland</v>
      </c>
      <c r="C506" t="s">
        <v>64</v>
      </c>
      <c r="D506">
        <v>0.05</v>
      </c>
      <c r="E506" t="str">
        <f t="shared" si="70"/>
        <v>Cal-37</v>
      </c>
      <c r="F506" t="s">
        <v>34</v>
      </c>
      <c r="G506" t="s">
        <v>138</v>
      </c>
      <c r="H506" s="20" cm="1">
        <f t="array" ref="H506">INDEX(Financials!$B$5:$AI$260,FinancialWalk!K506,FinancialWalk!L506)</f>
        <v>73871459.625492141</v>
      </c>
      <c r="K506">
        <f>SUMIFS(Financials!$A$5:$A$260,Financials!$D$5:$D$260,FinancialWalk!D506,Financials!$E$5:$E$260,FinancialWalk!E506,Financials!$F$5:$F$260,FinancialWalk!F506)</f>
        <v>126</v>
      </c>
      <c r="L506">
        <f t="shared" si="66"/>
        <v>28</v>
      </c>
    </row>
    <row r="507" spans="2:12" x14ac:dyDescent="0.3">
      <c r="B507" t="str">
        <f t="shared" si="69"/>
        <v>MarinusPortland</v>
      </c>
      <c r="C507" t="s">
        <v>64</v>
      </c>
      <c r="D507">
        <v>0.05</v>
      </c>
      <c r="E507" t="str">
        <f t="shared" si="70"/>
        <v>Cal-37</v>
      </c>
      <c r="F507" t="s">
        <v>34</v>
      </c>
      <c r="G507" t="s">
        <v>138</v>
      </c>
      <c r="H507" s="20" cm="1">
        <f t="array" ref="H507">INDEX(Financials!$B$5:$AI$260,FinancialWalk!K507,FinancialWalk!L507)</f>
        <v>73871459.625492141</v>
      </c>
      <c r="K507">
        <f>SUMIFS(Financials!$A$5:$A$260,Financials!$D$5:$D$260,FinancialWalk!D507,Financials!$E$5:$E$260,FinancialWalk!E507,Financials!$F$5:$F$260,FinancialWalk!F507)</f>
        <v>126</v>
      </c>
      <c r="L507">
        <f t="shared" si="66"/>
        <v>28</v>
      </c>
    </row>
    <row r="508" spans="2:12" x14ac:dyDescent="0.3">
      <c r="B508" t="str">
        <f t="shared" si="69"/>
        <v>MarinusPortland</v>
      </c>
      <c r="C508" t="s">
        <v>64</v>
      </c>
      <c r="D508">
        <v>0.05</v>
      </c>
      <c r="E508" t="str">
        <f t="shared" si="70"/>
        <v>Cal-37</v>
      </c>
      <c r="F508" t="s">
        <v>34</v>
      </c>
      <c r="G508" t="s">
        <v>138</v>
      </c>
      <c r="H508" s="20" cm="1">
        <f t="array" ref="H508">INDEX(Financials!$B$5:$AI$260,FinancialWalk!K508,FinancialWalk!L508)</f>
        <v>73871459.625492141</v>
      </c>
      <c r="K508">
        <f>SUMIFS(Financials!$A$5:$A$260,Financials!$D$5:$D$260,FinancialWalk!D508,Financials!$E$5:$E$260,FinancialWalk!E508,Financials!$F$5:$F$260,FinancialWalk!F508)</f>
        <v>126</v>
      </c>
      <c r="L508">
        <f t="shared" si="66"/>
        <v>28</v>
      </c>
    </row>
    <row r="509" spans="2:12" x14ac:dyDescent="0.3">
      <c r="B509" t="str">
        <f t="shared" si="69"/>
        <v>MarinusPortland</v>
      </c>
      <c r="C509" t="s">
        <v>64</v>
      </c>
      <c r="D509">
        <v>0</v>
      </c>
      <c r="E509" t="str">
        <f t="shared" si="70"/>
        <v>Cal-37</v>
      </c>
      <c r="F509" t="s">
        <v>34</v>
      </c>
      <c r="G509" t="s">
        <v>138</v>
      </c>
      <c r="H509" s="20" cm="1">
        <f t="array" ref="H509">INDEX(Financials!$B$5:$AI$260,FinancialWalk!K509,FinancialWalk!L509)</f>
        <v>110034842.75473219</v>
      </c>
      <c r="K509">
        <f>SUMIFS(Financials!$A$5:$A$260,Financials!$D$5:$D$260,FinancialWalk!D509,Financials!$E$5:$E$260,FinancialWalk!E509,Financials!$F$5:$F$260,FinancialWalk!F509)</f>
        <v>127</v>
      </c>
      <c r="L509">
        <f t="shared" si="66"/>
        <v>28</v>
      </c>
    </row>
    <row r="510" spans="2:12" x14ac:dyDescent="0.3">
      <c r="B510" t="str">
        <f t="shared" si="69"/>
        <v>MarinusPortland</v>
      </c>
      <c r="C510" t="s">
        <v>64</v>
      </c>
      <c r="D510" t="s">
        <v>24</v>
      </c>
      <c r="E510" t="str">
        <f t="shared" si="70"/>
        <v>Cal-37</v>
      </c>
      <c r="F510" t="s">
        <v>34</v>
      </c>
      <c r="G510" t="s">
        <v>138</v>
      </c>
      <c r="H510" s="20" cm="1">
        <f t="array" ref="H510">INDEX(Financials!$B$5:$AI$260,FinancialWalk!K510,FinancialWalk!L510)</f>
        <v>-237268.57746010923</v>
      </c>
      <c r="K510">
        <f>SUMIFS(Financials!$A$5:$A$260,Financials!$D$5:$D$260,FinancialWalk!D510,Financials!$E$5:$E$260,FinancialWalk!E510,Financials!$F$5:$F$260,FinancialWalk!F510)</f>
        <v>128</v>
      </c>
      <c r="L510">
        <f t="shared" si="66"/>
        <v>28</v>
      </c>
    </row>
    <row r="511" spans="2:12" x14ac:dyDescent="0.3">
      <c r="B511" t="str">
        <f>$B$2</f>
        <v>MarinusPortland</v>
      </c>
      <c r="C511" t="s">
        <v>64</v>
      </c>
      <c r="D511">
        <v>1</v>
      </c>
      <c r="E511" t="s">
        <v>18</v>
      </c>
      <c r="F511" t="s">
        <v>44</v>
      </c>
      <c r="G511" t="s">
        <v>138</v>
      </c>
      <c r="H511" s="20" cm="1">
        <f t="array" ref="H511">INDEX(Financials!$B$5:$AI$260,FinancialWalk!K511,FinancialWalk!L511)</f>
        <v>-177005727.9519234</v>
      </c>
      <c r="K511">
        <f>SUMIFS(Financials!$A$5:$A$260,Financials!$D$5:$D$260,FinancialWalk!D511,Financials!$E$5:$E$260,FinancialWalk!E511,Financials!$F$5:$F$260,FinancialWalk!F511)</f>
        <v>249</v>
      </c>
      <c r="L511">
        <f t="shared" si="66"/>
        <v>28</v>
      </c>
    </row>
    <row r="512" spans="2:12" x14ac:dyDescent="0.3">
      <c r="B512" t="str">
        <f>B511</f>
        <v>MarinusPortland</v>
      </c>
      <c r="C512" t="s">
        <v>64</v>
      </c>
      <c r="D512">
        <v>0.95</v>
      </c>
      <c r="E512" t="str">
        <f>E511</f>
        <v>Cal-37</v>
      </c>
      <c r="F512" t="s">
        <v>44</v>
      </c>
      <c r="G512" t="s">
        <v>138</v>
      </c>
      <c r="H512" s="20" cm="1">
        <f t="array" ref="H512">INDEX(Financials!$B$5:$AI$260,FinancialWalk!K512,FinancialWalk!L512)</f>
        <v>-76246170.356692344</v>
      </c>
      <c r="K512">
        <f>SUMIFS(Financials!$A$5:$A$260,Financials!$D$5:$D$260,FinancialWalk!D512,Financials!$E$5:$E$260,FinancialWalk!E512,Financials!$F$5:$F$260,FinancialWalk!F512)</f>
        <v>250</v>
      </c>
      <c r="L512">
        <f t="shared" si="66"/>
        <v>28</v>
      </c>
    </row>
    <row r="513" spans="2:12" x14ac:dyDescent="0.3">
      <c r="B513" t="str">
        <f t="shared" ref="B513:B532" si="71">B512</f>
        <v>MarinusPortland</v>
      </c>
      <c r="C513" t="s">
        <v>64</v>
      </c>
      <c r="D513">
        <v>0.95</v>
      </c>
      <c r="E513" t="str">
        <f t="shared" ref="E513:E532" si="72">E512</f>
        <v>Cal-37</v>
      </c>
      <c r="F513" t="s">
        <v>44</v>
      </c>
      <c r="G513" t="s">
        <v>138</v>
      </c>
      <c r="H513" s="20" cm="1">
        <f t="array" ref="H513">INDEX(Financials!$B$5:$AI$260,FinancialWalk!K513,FinancialWalk!L513)</f>
        <v>-76246170.356692344</v>
      </c>
      <c r="K513">
        <f>SUMIFS(Financials!$A$5:$A$260,Financials!$D$5:$D$260,FinancialWalk!D513,Financials!$E$5:$E$260,FinancialWalk!E513,Financials!$F$5:$F$260,FinancialWalk!F513)</f>
        <v>250</v>
      </c>
      <c r="L513">
        <f t="shared" si="66"/>
        <v>28</v>
      </c>
    </row>
    <row r="514" spans="2:12" x14ac:dyDescent="0.3">
      <c r="B514" t="str">
        <f t="shared" si="71"/>
        <v>MarinusPortland</v>
      </c>
      <c r="C514" t="s">
        <v>64</v>
      </c>
      <c r="D514">
        <v>0.95</v>
      </c>
      <c r="E514" t="str">
        <f t="shared" si="72"/>
        <v>Cal-37</v>
      </c>
      <c r="F514" t="s">
        <v>44</v>
      </c>
      <c r="G514" t="s">
        <v>138</v>
      </c>
      <c r="H514" s="20" cm="1">
        <f t="array" ref="H514">INDEX(Financials!$B$5:$AI$260,FinancialWalk!K514,FinancialWalk!L514)</f>
        <v>-76246170.356692344</v>
      </c>
      <c r="K514">
        <f>SUMIFS(Financials!$A$5:$A$260,Financials!$D$5:$D$260,FinancialWalk!D514,Financials!$E$5:$E$260,FinancialWalk!E514,Financials!$F$5:$F$260,FinancialWalk!F514)</f>
        <v>250</v>
      </c>
      <c r="L514">
        <f t="shared" si="66"/>
        <v>28</v>
      </c>
    </row>
    <row r="515" spans="2:12" x14ac:dyDescent="0.3">
      <c r="B515" t="str">
        <f t="shared" si="71"/>
        <v>MarinusPortland</v>
      </c>
      <c r="C515" t="s">
        <v>64</v>
      </c>
      <c r="D515">
        <v>0.75</v>
      </c>
      <c r="E515" t="str">
        <f t="shared" si="72"/>
        <v>Cal-37</v>
      </c>
      <c r="F515" t="s">
        <v>44</v>
      </c>
      <c r="G515" t="s">
        <v>138</v>
      </c>
      <c r="H515" s="20" cm="1">
        <f t="array" ref="H515">INDEX(Financials!$B$5:$AI$260,FinancialWalk!K515,FinancialWalk!L515)</f>
        <v>-31753682.67183445</v>
      </c>
      <c r="K515">
        <f>SUMIFS(Financials!$A$5:$A$260,Financials!$D$5:$D$260,FinancialWalk!D515,Financials!$E$5:$E$260,FinancialWalk!E515,Financials!$F$5:$F$260,FinancialWalk!F515)</f>
        <v>251</v>
      </c>
      <c r="L515">
        <f t="shared" si="66"/>
        <v>28</v>
      </c>
    </row>
    <row r="516" spans="2:12" x14ac:dyDescent="0.3">
      <c r="B516" t="str">
        <f t="shared" si="71"/>
        <v>MarinusPortland</v>
      </c>
      <c r="C516" t="s">
        <v>64</v>
      </c>
      <c r="D516">
        <v>0.75</v>
      </c>
      <c r="E516" t="str">
        <f t="shared" si="72"/>
        <v>Cal-37</v>
      </c>
      <c r="F516" t="s">
        <v>44</v>
      </c>
      <c r="G516" t="s">
        <v>138</v>
      </c>
      <c r="H516" s="20" cm="1">
        <f t="array" ref="H516">INDEX(Financials!$B$5:$AI$260,FinancialWalk!K516,FinancialWalk!L516)</f>
        <v>-31753682.67183445</v>
      </c>
      <c r="K516">
        <f>SUMIFS(Financials!$A$5:$A$260,Financials!$D$5:$D$260,FinancialWalk!D516,Financials!$E$5:$E$260,FinancialWalk!E516,Financials!$F$5:$F$260,FinancialWalk!F516)</f>
        <v>251</v>
      </c>
      <c r="L516">
        <f t="shared" si="66"/>
        <v>28</v>
      </c>
    </row>
    <row r="517" spans="2:12" x14ac:dyDescent="0.3">
      <c r="B517" t="str">
        <f t="shared" si="71"/>
        <v>MarinusPortland</v>
      </c>
      <c r="C517" t="s">
        <v>64</v>
      </c>
      <c r="D517">
        <v>0.75</v>
      </c>
      <c r="E517" t="str">
        <f t="shared" si="72"/>
        <v>Cal-37</v>
      </c>
      <c r="F517" t="s">
        <v>44</v>
      </c>
      <c r="G517" t="s">
        <v>138</v>
      </c>
      <c r="H517" s="20" cm="1">
        <f t="array" ref="H517">INDEX(Financials!$B$5:$AI$260,FinancialWalk!K517,FinancialWalk!L517)</f>
        <v>-31753682.67183445</v>
      </c>
      <c r="K517">
        <f>SUMIFS(Financials!$A$5:$A$260,Financials!$D$5:$D$260,FinancialWalk!D517,Financials!$E$5:$E$260,FinancialWalk!E517,Financials!$F$5:$F$260,FinancialWalk!F517)</f>
        <v>251</v>
      </c>
      <c r="L517">
        <f t="shared" ref="L517:L576" si="73">VLOOKUP(G517,$P$5:$Q$33,2,FALSE)</f>
        <v>28</v>
      </c>
    </row>
    <row r="518" spans="2:12" x14ac:dyDescent="0.3">
      <c r="B518" t="str">
        <f t="shared" si="71"/>
        <v>MarinusPortland</v>
      </c>
      <c r="C518" t="s">
        <v>64</v>
      </c>
      <c r="D518">
        <v>0.75</v>
      </c>
      <c r="E518" t="str">
        <f t="shared" si="72"/>
        <v>Cal-37</v>
      </c>
      <c r="F518" t="s">
        <v>44</v>
      </c>
      <c r="G518" t="s">
        <v>138</v>
      </c>
      <c r="H518" s="20" cm="1">
        <f t="array" ref="H518">INDEX(Financials!$B$5:$AI$260,FinancialWalk!K518,FinancialWalk!L518)</f>
        <v>-31753682.67183445</v>
      </c>
      <c r="K518">
        <f>SUMIFS(Financials!$A$5:$A$260,Financials!$D$5:$D$260,FinancialWalk!D518,Financials!$E$5:$E$260,FinancialWalk!E518,Financials!$F$5:$F$260,FinancialWalk!F518)</f>
        <v>251</v>
      </c>
      <c r="L518">
        <f t="shared" si="73"/>
        <v>28</v>
      </c>
    </row>
    <row r="519" spans="2:12" x14ac:dyDescent="0.3">
      <c r="B519" t="str">
        <f t="shared" si="71"/>
        <v>MarinusPortland</v>
      </c>
      <c r="C519" t="s">
        <v>64</v>
      </c>
      <c r="D519">
        <v>0.5</v>
      </c>
      <c r="E519" t="str">
        <f t="shared" si="72"/>
        <v>Cal-37</v>
      </c>
      <c r="F519" t="s">
        <v>44</v>
      </c>
      <c r="G519" t="s">
        <v>138</v>
      </c>
      <c r="H519" s="20" cm="1">
        <f t="array" ref="H519">INDEX(Financials!$B$5:$AI$260,FinancialWalk!K519,FinancialWalk!L519)</f>
        <v>-345552.08027942281</v>
      </c>
      <c r="K519">
        <f>SUMIFS(Financials!$A$5:$A$260,Financials!$D$5:$D$260,FinancialWalk!D519,Financials!$E$5:$E$260,FinancialWalk!E519,Financials!$F$5:$F$260,FinancialWalk!F519)</f>
        <v>252</v>
      </c>
      <c r="L519">
        <f t="shared" si="73"/>
        <v>28</v>
      </c>
    </row>
    <row r="520" spans="2:12" x14ac:dyDescent="0.3">
      <c r="B520" t="str">
        <f t="shared" si="71"/>
        <v>MarinusPortland</v>
      </c>
      <c r="C520" t="s">
        <v>64</v>
      </c>
      <c r="D520">
        <v>0.5</v>
      </c>
      <c r="E520" t="str">
        <f t="shared" si="72"/>
        <v>Cal-37</v>
      </c>
      <c r="F520" t="s">
        <v>44</v>
      </c>
      <c r="G520" t="s">
        <v>138</v>
      </c>
      <c r="H520" s="20" cm="1">
        <f t="array" ref="H520">INDEX(Financials!$B$5:$AI$260,FinancialWalk!K520,FinancialWalk!L520)</f>
        <v>-345552.08027942281</v>
      </c>
      <c r="K520">
        <f>SUMIFS(Financials!$A$5:$A$260,Financials!$D$5:$D$260,FinancialWalk!D520,Financials!$E$5:$E$260,FinancialWalk!E520,Financials!$F$5:$F$260,FinancialWalk!F520)</f>
        <v>252</v>
      </c>
      <c r="L520">
        <f t="shared" si="73"/>
        <v>28</v>
      </c>
    </row>
    <row r="521" spans="2:12" x14ac:dyDescent="0.3">
      <c r="B521" t="str">
        <f t="shared" si="71"/>
        <v>MarinusPortland</v>
      </c>
      <c r="C521" t="s">
        <v>64</v>
      </c>
      <c r="D521">
        <v>0.5</v>
      </c>
      <c r="E521" t="str">
        <f t="shared" si="72"/>
        <v>Cal-37</v>
      </c>
      <c r="F521" t="s">
        <v>44</v>
      </c>
      <c r="G521" t="s">
        <v>138</v>
      </c>
      <c r="H521" s="20" cm="1">
        <f t="array" ref="H521">INDEX(Financials!$B$5:$AI$260,FinancialWalk!K521,FinancialWalk!L521)</f>
        <v>-345552.08027942281</v>
      </c>
      <c r="K521">
        <f>SUMIFS(Financials!$A$5:$A$260,Financials!$D$5:$D$260,FinancialWalk!D521,Financials!$E$5:$E$260,FinancialWalk!E521,Financials!$F$5:$F$260,FinancialWalk!F521)</f>
        <v>252</v>
      </c>
      <c r="L521">
        <f t="shared" si="73"/>
        <v>28</v>
      </c>
    </row>
    <row r="522" spans="2:12" x14ac:dyDescent="0.3">
      <c r="B522" t="str">
        <f t="shared" si="71"/>
        <v>MarinusPortland</v>
      </c>
      <c r="C522" t="s">
        <v>64</v>
      </c>
      <c r="D522">
        <v>0.5</v>
      </c>
      <c r="E522" t="str">
        <f t="shared" si="72"/>
        <v>Cal-37</v>
      </c>
      <c r="F522" t="s">
        <v>44</v>
      </c>
      <c r="G522" t="s">
        <v>138</v>
      </c>
      <c r="H522" s="20" cm="1">
        <f t="array" ref="H522">INDEX(Financials!$B$5:$AI$260,FinancialWalk!K522,FinancialWalk!L522)</f>
        <v>-345552.08027942281</v>
      </c>
      <c r="K522">
        <f>SUMIFS(Financials!$A$5:$A$260,Financials!$D$5:$D$260,FinancialWalk!D522,Financials!$E$5:$E$260,FinancialWalk!E522,Financials!$F$5:$F$260,FinancialWalk!F522)</f>
        <v>252</v>
      </c>
      <c r="L522">
        <f t="shared" si="73"/>
        <v>28</v>
      </c>
    </row>
    <row r="523" spans="2:12" x14ac:dyDescent="0.3">
      <c r="B523" t="str">
        <f t="shared" si="71"/>
        <v>MarinusPortland</v>
      </c>
      <c r="C523" t="s">
        <v>64</v>
      </c>
      <c r="D523">
        <v>0.5</v>
      </c>
      <c r="E523" t="str">
        <f t="shared" si="72"/>
        <v>Cal-37</v>
      </c>
      <c r="F523" t="s">
        <v>44</v>
      </c>
      <c r="G523" t="s">
        <v>138</v>
      </c>
      <c r="H523" s="20" cm="1">
        <f t="array" ref="H523">INDEX(Financials!$B$5:$AI$260,FinancialWalk!K523,FinancialWalk!L523)</f>
        <v>-345552.08027942281</v>
      </c>
      <c r="K523">
        <f>SUMIFS(Financials!$A$5:$A$260,Financials!$D$5:$D$260,FinancialWalk!D523,Financials!$E$5:$E$260,FinancialWalk!E523,Financials!$F$5:$F$260,FinancialWalk!F523)</f>
        <v>252</v>
      </c>
      <c r="L523">
        <f t="shared" si="73"/>
        <v>28</v>
      </c>
    </row>
    <row r="524" spans="2:12" x14ac:dyDescent="0.3">
      <c r="B524" t="str">
        <f t="shared" si="71"/>
        <v>MarinusPortland</v>
      </c>
      <c r="C524" t="s">
        <v>64</v>
      </c>
      <c r="D524">
        <v>0.25</v>
      </c>
      <c r="E524" t="str">
        <f t="shared" si="72"/>
        <v>Cal-37</v>
      </c>
      <c r="F524" t="s">
        <v>44</v>
      </c>
      <c r="G524" t="s">
        <v>138</v>
      </c>
      <c r="H524" s="20" cm="1">
        <f t="array" ref="H524">INDEX(Financials!$B$5:$AI$260,FinancialWalk!K524,FinancialWalk!L524)</f>
        <v>31310730.015753746</v>
      </c>
      <c r="K524">
        <f>SUMIFS(Financials!$A$5:$A$260,Financials!$D$5:$D$260,FinancialWalk!D524,Financials!$E$5:$E$260,FinancialWalk!E524,Financials!$F$5:$F$260,FinancialWalk!F524)</f>
        <v>253</v>
      </c>
      <c r="L524">
        <f t="shared" si="73"/>
        <v>28</v>
      </c>
    </row>
    <row r="525" spans="2:12" x14ac:dyDescent="0.3">
      <c r="B525" t="str">
        <f t="shared" si="71"/>
        <v>MarinusPortland</v>
      </c>
      <c r="C525" t="s">
        <v>64</v>
      </c>
      <c r="D525">
        <v>0.25</v>
      </c>
      <c r="E525" t="str">
        <f t="shared" si="72"/>
        <v>Cal-37</v>
      </c>
      <c r="F525" t="s">
        <v>44</v>
      </c>
      <c r="G525" t="s">
        <v>138</v>
      </c>
      <c r="H525" s="20" cm="1">
        <f t="array" ref="H525">INDEX(Financials!$B$5:$AI$260,FinancialWalk!K525,FinancialWalk!L525)</f>
        <v>31310730.015753746</v>
      </c>
      <c r="K525">
        <f>SUMIFS(Financials!$A$5:$A$260,Financials!$D$5:$D$260,FinancialWalk!D525,Financials!$E$5:$E$260,FinancialWalk!E525,Financials!$F$5:$F$260,FinancialWalk!F525)</f>
        <v>253</v>
      </c>
      <c r="L525">
        <f t="shared" si="73"/>
        <v>28</v>
      </c>
    </row>
    <row r="526" spans="2:12" x14ac:dyDescent="0.3">
      <c r="B526" t="str">
        <f t="shared" si="71"/>
        <v>MarinusPortland</v>
      </c>
      <c r="C526" t="s">
        <v>64</v>
      </c>
      <c r="D526">
        <v>0.25</v>
      </c>
      <c r="E526" t="str">
        <f t="shared" si="72"/>
        <v>Cal-37</v>
      </c>
      <c r="F526" t="s">
        <v>44</v>
      </c>
      <c r="G526" t="s">
        <v>138</v>
      </c>
      <c r="H526" s="20" cm="1">
        <f t="array" ref="H526">INDEX(Financials!$B$5:$AI$260,FinancialWalk!K526,FinancialWalk!L526)</f>
        <v>31310730.015753746</v>
      </c>
      <c r="K526">
        <f>SUMIFS(Financials!$A$5:$A$260,Financials!$D$5:$D$260,FinancialWalk!D526,Financials!$E$5:$E$260,FinancialWalk!E526,Financials!$F$5:$F$260,FinancialWalk!F526)</f>
        <v>253</v>
      </c>
      <c r="L526">
        <f t="shared" si="73"/>
        <v>28</v>
      </c>
    </row>
    <row r="527" spans="2:12" x14ac:dyDescent="0.3">
      <c r="B527" t="str">
        <f t="shared" si="71"/>
        <v>MarinusPortland</v>
      </c>
      <c r="C527" t="s">
        <v>64</v>
      </c>
      <c r="D527">
        <v>0.25</v>
      </c>
      <c r="E527" t="str">
        <f t="shared" si="72"/>
        <v>Cal-37</v>
      </c>
      <c r="F527" t="s">
        <v>44</v>
      </c>
      <c r="G527" t="s">
        <v>138</v>
      </c>
      <c r="H527" s="20" cm="1">
        <f t="array" ref="H527">INDEX(Financials!$B$5:$AI$260,FinancialWalk!K527,FinancialWalk!L527)</f>
        <v>31310730.015753746</v>
      </c>
      <c r="K527">
        <f>SUMIFS(Financials!$A$5:$A$260,Financials!$D$5:$D$260,FinancialWalk!D527,Financials!$E$5:$E$260,FinancialWalk!E527,Financials!$F$5:$F$260,FinancialWalk!F527)</f>
        <v>253</v>
      </c>
      <c r="L527">
        <f t="shared" si="73"/>
        <v>28</v>
      </c>
    </row>
    <row r="528" spans="2:12" x14ac:dyDescent="0.3">
      <c r="B528" t="str">
        <f t="shared" si="71"/>
        <v>MarinusPortland</v>
      </c>
      <c r="C528" t="s">
        <v>64</v>
      </c>
      <c r="D528">
        <v>0.05</v>
      </c>
      <c r="E528" t="str">
        <f t="shared" si="72"/>
        <v>Cal-37</v>
      </c>
      <c r="F528" t="s">
        <v>44</v>
      </c>
      <c r="G528" t="s">
        <v>138</v>
      </c>
      <c r="H528" s="20" cm="1">
        <f t="array" ref="H528">INDEX(Financials!$B$5:$AI$260,FinancialWalk!K528,FinancialWalk!L528)</f>
        <v>45693686.366283804</v>
      </c>
      <c r="K528">
        <f>SUMIFS(Financials!$A$5:$A$260,Financials!$D$5:$D$260,FinancialWalk!D528,Financials!$E$5:$E$260,FinancialWalk!E528,Financials!$F$5:$F$260,FinancialWalk!F528)</f>
        <v>254</v>
      </c>
      <c r="L528">
        <f t="shared" si="73"/>
        <v>28</v>
      </c>
    </row>
    <row r="529" spans="1:12" x14ac:dyDescent="0.3">
      <c r="B529" t="str">
        <f t="shared" si="71"/>
        <v>MarinusPortland</v>
      </c>
      <c r="C529" t="s">
        <v>64</v>
      </c>
      <c r="D529">
        <v>0.05</v>
      </c>
      <c r="E529" t="str">
        <f t="shared" si="72"/>
        <v>Cal-37</v>
      </c>
      <c r="F529" t="s">
        <v>44</v>
      </c>
      <c r="G529" t="s">
        <v>138</v>
      </c>
      <c r="H529" s="20" cm="1">
        <f t="array" ref="H529">INDEX(Financials!$B$5:$AI$260,FinancialWalk!K529,FinancialWalk!L529)</f>
        <v>45693686.366283804</v>
      </c>
      <c r="K529">
        <f>SUMIFS(Financials!$A$5:$A$260,Financials!$D$5:$D$260,FinancialWalk!D529,Financials!$E$5:$E$260,FinancialWalk!E529,Financials!$F$5:$F$260,FinancialWalk!F529)</f>
        <v>254</v>
      </c>
      <c r="L529">
        <f t="shared" si="73"/>
        <v>28</v>
      </c>
    </row>
    <row r="530" spans="1:12" x14ac:dyDescent="0.3">
      <c r="B530" t="str">
        <f t="shared" si="71"/>
        <v>MarinusPortland</v>
      </c>
      <c r="C530" t="s">
        <v>64</v>
      </c>
      <c r="D530">
        <v>0.05</v>
      </c>
      <c r="E530" t="str">
        <f t="shared" si="72"/>
        <v>Cal-37</v>
      </c>
      <c r="F530" t="s">
        <v>44</v>
      </c>
      <c r="G530" t="s">
        <v>138</v>
      </c>
      <c r="H530" s="20" cm="1">
        <f t="array" ref="H530">INDEX(Financials!$B$5:$AI$260,FinancialWalk!K530,FinancialWalk!L530)</f>
        <v>45693686.366283804</v>
      </c>
      <c r="K530">
        <f>SUMIFS(Financials!$A$5:$A$260,Financials!$D$5:$D$260,FinancialWalk!D530,Financials!$E$5:$E$260,FinancialWalk!E530,Financials!$F$5:$F$260,FinancialWalk!F530)</f>
        <v>254</v>
      </c>
      <c r="L530">
        <f t="shared" si="73"/>
        <v>28</v>
      </c>
    </row>
    <row r="531" spans="1:12" x14ac:dyDescent="0.3">
      <c r="B531" t="str">
        <f t="shared" si="71"/>
        <v>MarinusPortland</v>
      </c>
      <c r="C531" t="s">
        <v>64</v>
      </c>
      <c r="D531">
        <v>0</v>
      </c>
      <c r="E531" t="str">
        <f t="shared" si="72"/>
        <v>Cal-37</v>
      </c>
      <c r="F531" t="s">
        <v>44</v>
      </c>
      <c r="G531" t="s">
        <v>138</v>
      </c>
      <c r="H531" s="20" cm="1">
        <f t="array" ref="H531">INDEX(Financials!$B$5:$AI$260,FinancialWalk!K531,FinancialWalk!L531)</f>
        <v>62877053.002704114</v>
      </c>
      <c r="K531">
        <f>SUMIFS(Financials!$A$5:$A$260,Financials!$D$5:$D$260,FinancialWalk!D531,Financials!$E$5:$E$260,FinancialWalk!E531,Financials!$F$5:$F$260,FinancialWalk!F531)</f>
        <v>255</v>
      </c>
      <c r="L531">
        <f t="shared" si="73"/>
        <v>28</v>
      </c>
    </row>
    <row r="532" spans="1:12" x14ac:dyDescent="0.3">
      <c r="B532" t="str">
        <f t="shared" si="71"/>
        <v>MarinusPortland</v>
      </c>
      <c r="C532" t="s">
        <v>64</v>
      </c>
      <c r="D532" t="s">
        <v>24</v>
      </c>
      <c r="E532" t="str">
        <f t="shared" si="72"/>
        <v>Cal-37</v>
      </c>
      <c r="F532" t="s">
        <v>44</v>
      </c>
      <c r="G532" t="s">
        <v>138</v>
      </c>
      <c r="H532" s="20" cm="1">
        <f t="array" ref="H532">INDEX(Financials!$B$5:$AI$260,FinancialWalk!K532,FinancialWalk!L532)</f>
        <v>-237268.57746010923</v>
      </c>
      <c r="K532">
        <f>SUMIFS(Financials!$A$5:$A$260,Financials!$D$5:$D$260,FinancialWalk!D532,Financials!$E$5:$E$260,FinancialWalk!E532,Financials!$F$5:$F$260,FinancialWalk!F532)</f>
        <v>256</v>
      </c>
      <c r="L532">
        <f t="shared" si="73"/>
        <v>28</v>
      </c>
    </row>
    <row r="533" spans="1:12" x14ac:dyDescent="0.3">
      <c r="A533">
        <v>1</v>
      </c>
      <c r="B533" t="str">
        <f>$B$2</f>
        <v>MarinusPortland</v>
      </c>
      <c r="C533" t="s">
        <v>64</v>
      </c>
      <c r="D533">
        <v>1</v>
      </c>
      <c r="E533" t="s">
        <v>18</v>
      </c>
      <c r="F533" t="s">
        <v>34</v>
      </c>
      <c r="G533" t="s">
        <v>139</v>
      </c>
      <c r="H533" s="13" cm="1">
        <f t="array" ref="H533">INDEX(Financials!$B$5:$AI$260,FinancialWalk!K533,FinancialWalk!L533)</f>
        <v>-177005727.9519234</v>
      </c>
      <c r="K533">
        <f>SUMIFS(Financials!$A$5:$A$260,Financials!$D$5:$D$260,FinancialWalk!D533,Financials!$E$5:$E$260,FinancialWalk!E533,Financials!$F$5:$F$260,FinancialWalk!F533)</f>
        <v>121</v>
      </c>
      <c r="L533">
        <f t="shared" si="73"/>
        <v>29</v>
      </c>
    </row>
    <row r="534" spans="1:12" x14ac:dyDescent="0.3">
      <c r="B534" t="str">
        <f>B533</f>
        <v>MarinusPortland</v>
      </c>
      <c r="C534" t="s">
        <v>64</v>
      </c>
      <c r="D534">
        <v>0.95</v>
      </c>
      <c r="E534" t="str">
        <f>E533</f>
        <v>Cal-37</v>
      </c>
      <c r="F534" t="s">
        <v>34</v>
      </c>
      <c r="G534" t="s">
        <v>139</v>
      </c>
      <c r="H534" s="13" cm="1">
        <f t="array" ref="H534">INDEX(Financials!$B$5:$AI$260,FinancialWalk!K534,FinancialWalk!L534)</f>
        <v>-76246170.356692344</v>
      </c>
      <c r="K534">
        <f>SUMIFS(Financials!$A$5:$A$260,Financials!$D$5:$D$260,FinancialWalk!D534,Financials!$E$5:$E$260,FinancialWalk!E534,Financials!$F$5:$F$260,FinancialWalk!F534)</f>
        <v>122</v>
      </c>
      <c r="L534">
        <f t="shared" si="73"/>
        <v>29</v>
      </c>
    </row>
    <row r="535" spans="1:12" x14ac:dyDescent="0.3">
      <c r="B535" t="str">
        <f t="shared" ref="B535:B554" si="74">B534</f>
        <v>MarinusPortland</v>
      </c>
      <c r="C535" t="s">
        <v>64</v>
      </c>
      <c r="D535">
        <v>0.95</v>
      </c>
      <c r="E535" t="str">
        <f t="shared" ref="E535:E554" si="75">E534</f>
        <v>Cal-37</v>
      </c>
      <c r="F535" t="s">
        <v>34</v>
      </c>
      <c r="G535" t="s">
        <v>139</v>
      </c>
      <c r="H535" s="13" cm="1">
        <f t="array" ref="H535">INDEX(Financials!$B$5:$AI$260,FinancialWalk!K535,FinancialWalk!L535)</f>
        <v>-76246170.356692344</v>
      </c>
      <c r="K535">
        <f>SUMIFS(Financials!$A$5:$A$260,Financials!$D$5:$D$260,FinancialWalk!D535,Financials!$E$5:$E$260,FinancialWalk!E535,Financials!$F$5:$F$260,FinancialWalk!F535)</f>
        <v>122</v>
      </c>
      <c r="L535">
        <f t="shared" si="73"/>
        <v>29</v>
      </c>
    </row>
    <row r="536" spans="1:12" x14ac:dyDescent="0.3">
      <c r="B536" t="str">
        <f t="shared" si="74"/>
        <v>MarinusPortland</v>
      </c>
      <c r="C536" t="s">
        <v>64</v>
      </c>
      <c r="D536">
        <v>0.95</v>
      </c>
      <c r="E536" t="str">
        <f t="shared" si="75"/>
        <v>Cal-37</v>
      </c>
      <c r="F536" t="s">
        <v>34</v>
      </c>
      <c r="G536" t="s">
        <v>139</v>
      </c>
      <c r="H536" s="13" cm="1">
        <f t="array" ref="H536">INDEX(Financials!$B$5:$AI$260,FinancialWalk!K536,FinancialWalk!L536)</f>
        <v>-76246170.356692344</v>
      </c>
      <c r="K536">
        <f>SUMIFS(Financials!$A$5:$A$260,Financials!$D$5:$D$260,FinancialWalk!D536,Financials!$E$5:$E$260,FinancialWalk!E536,Financials!$F$5:$F$260,FinancialWalk!F536)</f>
        <v>122</v>
      </c>
      <c r="L536">
        <f t="shared" si="73"/>
        <v>29</v>
      </c>
    </row>
    <row r="537" spans="1:12" x14ac:dyDescent="0.3">
      <c r="B537" t="str">
        <f t="shared" si="74"/>
        <v>MarinusPortland</v>
      </c>
      <c r="C537" t="s">
        <v>64</v>
      </c>
      <c r="D537">
        <v>0.75</v>
      </c>
      <c r="E537" t="str">
        <f t="shared" si="75"/>
        <v>Cal-37</v>
      </c>
      <c r="F537" t="s">
        <v>34</v>
      </c>
      <c r="G537" t="s">
        <v>139</v>
      </c>
      <c r="H537" s="13" cm="1">
        <f t="array" ref="H537">INDEX(Financials!$B$5:$AI$260,FinancialWalk!K537,FinancialWalk!L537)</f>
        <v>-31753682.67183445</v>
      </c>
      <c r="K537">
        <f>SUMIFS(Financials!$A$5:$A$260,Financials!$D$5:$D$260,FinancialWalk!D537,Financials!$E$5:$E$260,FinancialWalk!E537,Financials!$F$5:$F$260,FinancialWalk!F537)</f>
        <v>123</v>
      </c>
      <c r="L537">
        <f t="shared" si="73"/>
        <v>29</v>
      </c>
    </row>
    <row r="538" spans="1:12" x14ac:dyDescent="0.3">
      <c r="B538" t="str">
        <f t="shared" si="74"/>
        <v>MarinusPortland</v>
      </c>
      <c r="C538" t="s">
        <v>64</v>
      </c>
      <c r="D538">
        <v>0.75</v>
      </c>
      <c r="E538" t="str">
        <f t="shared" si="75"/>
        <v>Cal-37</v>
      </c>
      <c r="F538" t="s">
        <v>34</v>
      </c>
      <c r="G538" t="s">
        <v>139</v>
      </c>
      <c r="H538" s="13" cm="1">
        <f t="array" ref="H538">INDEX(Financials!$B$5:$AI$260,FinancialWalk!K538,FinancialWalk!L538)</f>
        <v>-31753682.67183445</v>
      </c>
      <c r="K538">
        <f>SUMIFS(Financials!$A$5:$A$260,Financials!$D$5:$D$260,FinancialWalk!D538,Financials!$E$5:$E$260,FinancialWalk!E538,Financials!$F$5:$F$260,FinancialWalk!F538)</f>
        <v>123</v>
      </c>
      <c r="L538">
        <f t="shared" si="73"/>
        <v>29</v>
      </c>
    </row>
    <row r="539" spans="1:12" x14ac:dyDescent="0.3">
      <c r="B539" t="str">
        <f t="shared" si="74"/>
        <v>MarinusPortland</v>
      </c>
      <c r="C539" t="s">
        <v>64</v>
      </c>
      <c r="D539">
        <v>0.75</v>
      </c>
      <c r="E539" t="str">
        <f t="shared" si="75"/>
        <v>Cal-37</v>
      </c>
      <c r="F539" t="s">
        <v>34</v>
      </c>
      <c r="G539" t="s">
        <v>139</v>
      </c>
      <c r="H539" s="13" cm="1">
        <f t="array" ref="H539">INDEX(Financials!$B$5:$AI$260,FinancialWalk!K539,FinancialWalk!L539)</f>
        <v>-31753682.67183445</v>
      </c>
      <c r="K539">
        <f>SUMIFS(Financials!$A$5:$A$260,Financials!$D$5:$D$260,FinancialWalk!D539,Financials!$E$5:$E$260,FinancialWalk!E539,Financials!$F$5:$F$260,FinancialWalk!F539)</f>
        <v>123</v>
      </c>
      <c r="L539">
        <f t="shared" si="73"/>
        <v>29</v>
      </c>
    </row>
    <row r="540" spans="1:12" x14ac:dyDescent="0.3">
      <c r="B540" t="str">
        <f t="shared" si="74"/>
        <v>MarinusPortland</v>
      </c>
      <c r="C540" t="s">
        <v>64</v>
      </c>
      <c r="D540">
        <v>0.75</v>
      </c>
      <c r="E540" t="str">
        <f t="shared" si="75"/>
        <v>Cal-37</v>
      </c>
      <c r="F540" t="s">
        <v>34</v>
      </c>
      <c r="G540" t="s">
        <v>139</v>
      </c>
      <c r="H540" s="13" cm="1">
        <f t="array" ref="H540">INDEX(Financials!$B$5:$AI$260,FinancialWalk!K540,FinancialWalk!L540)</f>
        <v>-31753682.67183445</v>
      </c>
      <c r="K540">
        <f>SUMIFS(Financials!$A$5:$A$260,Financials!$D$5:$D$260,FinancialWalk!D540,Financials!$E$5:$E$260,FinancialWalk!E540,Financials!$F$5:$F$260,FinancialWalk!F540)</f>
        <v>123</v>
      </c>
      <c r="L540">
        <f t="shared" si="73"/>
        <v>29</v>
      </c>
    </row>
    <row r="541" spans="1:12" x14ac:dyDescent="0.3">
      <c r="B541" t="str">
        <f t="shared" si="74"/>
        <v>MarinusPortland</v>
      </c>
      <c r="C541" t="s">
        <v>64</v>
      </c>
      <c r="D541">
        <v>0.5</v>
      </c>
      <c r="E541" t="str">
        <f t="shared" si="75"/>
        <v>Cal-37</v>
      </c>
      <c r="F541" t="s">
        <v>34</v>
      </c>
      <c r="G541" t="s">
        <v>139</v>
      </c>
      <c r="H541" s="13" cm="1">
        <f t="array" ref="H541">INDEX(Financials!$B$5:$AI$260,FinancialWalk!K541,FinancialWalk!L541)</f>
        <v>-345552.08027942281</v>
      </c>
      <c r="K541">
        <f>SUMIFS(Financials!$A$5:$A$260,Financials!$D$5:$D$260,FinancialWalk!D541,Financials!$E$5:$E$260,FinancialWalk!E541,Financials!$F$5:$F$260,FinancialWalk!F541)</f>
        <v>124</v>
      </c>
      <c r="L541">
        <f t="shared" si="73"/>
        <v>29</v>
      </c>
    </row>
    <row r="542" spans="1:12" x14ac:dyDescent="0.3">
      <c r="B542" t="str">
        <f t="shared" si="74"/>
        <v>MarinusPortland</v>
      </c>
      <c r="C542" t="s">
        <v>64</v>
      </c>
      <c r="D542">
        <v>0.5</v>
      </c>
      <c r="E542" t="str">
        <f t="shared" si="75"/>
        <v>Cal-37</v>
      </c>
      <c r="F542" t="s">
        <v>34</v>
      </c>
      <c r="G542" t="s">
        <v>139</v>
      </c>
      <c r="H542" s="13" cm="1">
        <f t="array" ref="H542">INDEX(Financials!$B$5:$AI$260,FinancialWalk!K542,FinancialWalk!L542)</f>
        <v>-345552.08027942281</v>
      </c>
      <c r="K542">
        <f>SUMIFS(Financials!$A$5:$A$260,Financials!$D$5:$D$260,FinancialWalk!D542,Financials!$E$5:$E$260,FinancialWalk!E542,Financials!$F$5:$F$260,FinancialWalk!F542)</f>
        <v>124</v>
      </c>
      <c r="L542">
        <f t="shared" si="73"/>
        <v>29</v>
      </c>
    </row>
    <row r="543" spans="1:12" x14ac:dyDescent="0.3">
      <c r="B543" t="str">
        <f t="shared" si="74"/>
        <v>MarinusPortland</v>
      </c>
      <c r="C543" t="s">
        <v>64</v>
      </c>
      <c r="D543">
        <v>0.5</v>
      </c>
      <c r="E543" t="str">
        <f t="shared" si="75"/>
        <v>Cal-37</v>
      </c>
      <c r="F543" t="s">
        <v>34</v>
      </c>
      <c r="G543" t="s">
        <v>139</v>
      </c>
      <c r="H543" s="13" cm="1">
        <f t="array" ref="H543">INDEX(Financials!$B$5:$AI$260,FinancialWalk!K543,FinancialWalk!L543)</f>
        <v>-345552.08027942281</v>
      </c>
      <c r="K543">
        <f>SUMIFS(Financials!$A$5:$A$260,Financials!$D$5:$D$260,FinancialWalk!D543,Financials!$E$5:$E$260,FinancialWalk!E543,Financials!$F$5:$F$260,FinancialWalk!F543)</f>
        <v>124</v>
      </c>
      <c r="L543">
        <f t="shared" si="73"/>
        <v>29</v>
      </c>
    </row>
    <row r="544" spans="1:12" x14ac:dyDescent="0.3">
      <c r="B544" t="str">
        <f t="shared" si="74"/>
        <v>MarinusPortland</v>
      </c>
      <c r="C544" t="s">
        <v>64</v>
      </c>
      <c r="D544">
        <v>0.5</v>
      </c>
      <c r="E544" t="str">
        <f t="shared" si="75"/>
        <v>Cal-37</v>
      </c>
      <c r="F544" t="s">
        <v>34</v>
      </c>
      <c r="G544" t="s">
        <v>139</v>
      </c>
      <c r="H544" s="13" cm="1">
        <f t="array" ref="H544">INDEX(Financials!$B$5:$AI$260,FinancialWalk!K544,FinancialWalk!L544)</f>
        <v>-345552.08027942281</v>
      </c>
      <c r="K544">
        <f>SUMIFS(Financials!$A$5:$A$260,Financials!$D$5:$D$260,FinancialWalk!D544,Financials!$E$5:$E$260,FinancialWalk!E544,Financials!$F$5:$F$260,FinancialWalk!F544)</f>
        <v>124</v>
      </c>
      <c r="L544">
        <f t="shared" si="73"/>
        <v>29</v>
      </c>
    </row>
    <row r="545" spans="2:12" x14ac:dyDescent="0.3">
      <c r="B545" t="str">
        <f t="shared" si="74"/>
        <v>MarinusPortland</v>
      </c>
      <c r="C545" t="s">
        <v>64</v>
      </c>
      <c r="D545">
        <v>0.5</v>
      </c>
      <c r="E545" t="str">
        <f t="shared" si="75"/>
        <v>Cal-37</v>
      </c>
      <c r="F545" t="s">
        <v>34</v>
      </c>
      <c r="G545" t="s">
        <v>139</v>
      </c>
      <c r="H545" s="13" cm="1">
        <f t="array" ref="H545">INDEX(Financials!$B$5:$AI$260,FinancialWalk!K545,FinancialWalk!L545)</f>
        <v>-345552.08027942281</v>
      </c>
      <c r="K545">
        <f>SUMIFS(Financials!$A$5:$A$260,Financials!$D$5:$D$260,FinancialWalk!D545,Financials!$E$5:$E$260,FinancialWalk!E545,Financials!$F$5:$F$260,FinancialWalk!F545)</f>
        <v>124</v>
      </c>
      <c r="L545">
        <f t="shared" si="73"/>
        <v>29</v>
      </c>
    </row>
    <row r="546" spans="2:12" x14ac:dyDescent="0.3">
      <c r="B546" t="str">
        <f t="shared" si="74"/>
        <v>MarinusPortland</v>
      </c>
      <c r="C546" t="s">
        <v>64</v>
      </c>
      <c r="D546">
        <v>0.25</v>
      </c>
      <c r="E546" t="str">
        <f t="shared" si="75"/>
        <v>Cal-37</v>
      </c>
      <c r="F546" t="s">
        <v>34</v>
      </c>
      <c r="G546" t="s">
        <v>139</v>
      </c>
      <c r="H546" s="13" cm="1">
        <f t="array" ref="H546">INDEX(Financials!$B$5:$AI$260,FinancialWalk!K546,FinancialWalk!L546)</f>
        <v>31310730.015753746</v>
      </c>
      <c r="K546">
        <f>SUMIFS(Financials!$A$5:$A$260,Financials!$D$5:$D$260,FinancialWalk!D546,Financials!$E$5:$E$260,FinancialWalk!E546,Financials!$F$5:$F$260,FinancialWalk!F546)</f>
        <v>125</v>
      </c>
      <c r="L546">
        <f t="shared" si="73"/>
        <v>29</v>
      </c>
    </row>
    <row r="547" spans="2:12" x14ac:dyDescent="0.3">
      <c r="B547" t="str">
        <f t="shared" si="74"/>
        <v>MarinusPortland</v>
      </c>
      <c r="C547" t="s">
        <v>64</v>
      </c>
      <c r="D547">
        <v>0.25</v>
      </c>
      <c r="E547" t="str">
        <f t="shared" si="75"/>
        <v>Cal-37</v>
      </c>
      <c r="F547" t="s">
        <v>34</v>
      </c>
      <c r="G547" t="s">
        <v>139</v>
      </c>
      <c r="H547" s="13" cm="1">
        <f t="array" ref="H547">INDEX(Financials!$B$5:$AI$260,FinancialWalk!K547,FinancialWalk!L547)</f>
        <v>31310730.015753746</v>
      </c>
      <c r="K547">
        <f>SUMIFS(Financials!$A$5:$A$260,Financials!$D$5:$D$260,FinancialWalk!D547,Financials!$E$5:$E$260,FinancialWalk!E547,Financials!$F$5:$F$260,FinancialWalk!F547)</f>
        <v>125</v>
      </c>
      <c r="L547">
        <f t="shared" si="73"/>
        <v>29</v>
      </c>
    </row>
    <row r="548" spans="2:12" x14ac:dyDescent="0.3">
      <c r="B548" t="str">
        <f t="shared" si="74"/>
        <v>MarinusPortland</v>
      </c>
      <c r="C548" t="s">
        <v>64</v>
      </c>
      <c r="D548">
        <v>0.25</v>
      </c>
      <c r="E548" t="str">
        <f t="shared" si="75"/>
        <v>Cal-37</v>
      </c>
      <c r="F548" t="s">
        <v>34</v>
      </c>
      <c r="G548" t="s">
        <v>139</v>
      </c>
      <c r="H548" s="13" cm="1">
        <f t="array" ref="H548">INDEX(Financials!$B$5:$AI$260,FinancialWalk!K548,FinancialWalk!L548)</f>
        <v>31310730.015753746</v>
      </c>
      <c r="K548">
        <f>SUMIFS(Financials!$A$5:$A$260,Financials!$D$5:$D$260,FinancialWalk!D548,Financials!$E$5:$E$260,FinancialWalk!E548,Financials!$F$5:$F$260,FinancialWalk!F548)</f>
        <v>125</v>
      </c>
      <c r="L548">
        <f t="shared" si="73"/>
        <v>29</v>
      </c>
    </row>
    <row r="549" spans="2:12" x14ac:dyDescent="0.3">
      <c r="B549" t="str">
        <f t="shared" si="74"/>
        <v>MarinusPortland</v>
      </c>
      <c r="C549" t="s">
        <v>64</v>
      </c>
      <c r="D549">
        <v>0.25</v>
      </c>
      <c r="E549" t="str">
        <f t="shared" si="75"/>
        <v>Cal-37</v>
      </c>
      <c r="F549" t="s">
        <v>34</v>
      </c>
      <c r="G549" t="s">
        <v>139</v>
      </c>
      <c r="H549" s="13" cm="1">
        <f t="array" ref="H549">INDEX(Financials!$B$5:$AI$260,FinancialWalk!K549,FinancialWalk!L549)</f>
        <v>31310730.015753746</v>
      </c>
      <c r="K549">
        <f>SUMIFS(Financials!$A$5:$A$260,Financials!$D$5:$D$260,FinancialWalk!D549,Financials!$E$5:$E$260,FinancialWalk!E549,Financials!$F$5:$F$260,FinancialWalk!F549)</f>
        <v>125</v>
      </c>
      <c r="L549">
        <f t="shared" si="73"/>
        <v>29</v>
      </c>
    </row>
    <row r="550" spans="2:12" x14ac:dyDescent="0.3">
      <c r="B550" t="str">
        <f t="shared" si="74"/>
        <v>MarinusPortland</v>
      </c>
      <c r="C550" t="s">
        <v>64</v>
      </c>
      <c r="D550">
        <v>0.05</v>
      </c>
      <c r="E550" t="str">
        <f t="shared" si="75"/>
        <v>Cal-37</v>
      </c>
      <c r="F550" t="s">
        <v>34</v>
      </c>
      <c r="G550" t="s">
        <v>139</v>
      </c>
      <c r="H550" s="13" cm="1">
        <f t="array" ref="H550">INDEX(Financials!$B$5:$AI$260,FinancialWalk!K550,FinancialWalk!L550)</f>
        <v>73871459.625492141</v>
      </c>
      <c r="K550">
        <f>SUMIFS(Financials!$A$5:$A$260,Financials!$D$5:$D$260,FinancialWalk!D550,Financials!$E$5:$E$260,FinancialWalk!E550,Financials!$F$5:$F$260,FinancialWalk!F550)</f>
        <v>126</v>
      </c>
      <c r="L550">
        <f t="shared" si="73"/>
        <v>29</v>
      </c>
    </row>
    <row r="551" spans="2:12" x14ac:dyDescent="0.3">
      <c r="B551" t="str">
        <f t="shared" si="74"/>
        <v>MarinusPortland</v>
      </c>
      <c r="C551" t="s">
        <v>64</v>
      </c>
      <c r="D551">
        <v>0.05</v>
      </c>
      <c r="E551" t="str">
        <f t="shared" si="75"/>
        <v>Cal-37</v>
      </c>
      <c r="F551" t="s">
        <v>34</v>
      </c>
      <c r="G551" t="s">
        <v>139</v>
      </c>
      <c r="H551" s="13" cm="1">
        <f t="array" ref="H551">INDEX(Financials!$B$5:$AI$260,FinancialWalk!K551,FinancialWalk!L551)</f>
        <v>73871459.625492141</v>
      </c>
      <c r="K551">
        <f>SUMIFS(Financials!$A$5:$A$260,Financials!$D$5:$D$260,FinancialWalk!D551,Financials!$E$5:$E$260,FinancialWalk!E551,Financials!$F$5:$F$260,FinancialWalk!F551)</f>
        <v>126</v>
      </c>
      <c r="L551">
        <f t="shared" si="73"/>
        <v>29</v>
      </c>
    </row>
    <row r="552" spans="2:12" x14ac:dyDescent="0.3">
      <c r="B552" t="str">
        <f t="shared" si="74"/>
        <v>MarinusPortland</v>
      </c>
      <c r="C552" t="s">
        <v>64</v>
      </c>
      <c r="D552">
        <v>0.05</v>
      </c>
      <c r="E552" t="str">
        <f t="shared" si="75"/>
        <v>Cal-37</v>
      </c>
      <c r="F552" t="s">
        <v>34</v>
      </c>
      <c r="G552" t="s">
        <v>139</v>
      </c>
      <c r="H552" s="13" cm="1">
        <f t="array" ref="H552">INDEX(Financials!$B$5:$AI$260,FinancialWalk!K552,FinancialWalk!L552)</f>
        <v>73871459.625492141</v>
      </c>
      <c r="K552">
        <f>SUMIFS(Financials!$A$5:$A$260,Financials!$D$5:$D$260,FinancialWalk!D552,Financials!$E$5:$E$260,FinancialWalk!E552,Financials!$F$5:$F$260,FinancialWalk!F552)</f>
        <v>126</v>
      </c>
      <c r="L552">
        <f t="shared" si="73"/>
        <v>29</v>
      </c>
    </row>
    <row r="553" spans="2:12" x14ac:dyDescent="0.3">
      <c r="B553" t="str">
        <f t="shared" si="74"/>
        <v>MarinusPortland</v>
      </c>
      <c r="C553" t="s">
        <v>64</v>
      </c>
      <c r="D553">
        <v>0</v>
      </c>
      <c r="E553" t="str">
        <f t="shared" si="75"/>
        <v>Cal-37</v>
      </c>
      <c r="F553" t="s">
        <v>34</v>
      </c>
      <c r="G553" t="s">
        <v>139</v>
      </c>
      <c r="H553" s="13" cm="1">
        <f t="array" ref="H553">INDEX(Financials!$B$5:$AI$260,FinancialWalk!K553,FinancialWalk!L553)</f>
        <v>110034842.75473219</v>
      </c>
      <c r="K553">
        <f>SUMIFS(Financials!$A$5:$A$260,Financials!$D$5:$D$260,FinancialWalk!D553,Financials!$E$5:$E$260,FinancialWalk!E553,Financials!$F$5:$F$260,FinancialWalk!F553)</f>
        <v>127</v>
      </c>
      <c r="L553">
        <f t="shared" si="73"/>
        <v>29</v>
      </c>
    </row>
    <row r="554" spans="2:12" x14ac:dyDescent="0.3">
      <c r="B554" t="str">
        <f t="shared" si="74"/>
        <v>MarinusPortland</v>
      </c>
      <c r="C554" t="s">
        <v>64</v>
      </c>
      <c r="D554" t="s">
        <v>24</v>
      </c>
      <c r="E554" t="str">
        <f t="shared" si="75"/>
        <v>Cal-37</v>
      </c>
      <c r="F554" t="s">
        <v>34</v>
      </c>
      <c r="G554" t="s">
        <v>139</v>
      </c>
      <c r="H554" s="13" cm="1">
        <f t="array" ref="H554">INDEX(Financials!$B$5:$AI$260,FinancialWalk!K554,FinancialWalk!L554)</f>
        <v>-237268.57746010923</v>
      </c>
      <c r="K554">
        <f>SUMIFS(Financials!$A$5:$A$260,Financials!$D$5:$D$260,FinancialWalk!D554,Financials!$E$5:$E$260,FinancialWalk!E554,Financials!$F$5:$F$260,FinancialWalk!F554)</f>
        <v>128</v>
      </c>
      <c r="L554">
        <f t="shared" si="73"/>
        <v>29</v>
      </c>
    </row>
    <row r="555" spans="2:12" x14ac:dyDescent="0.3">
      <c r="B555" t="str">
        <f>$B$2</f>
        <v>MarinusPortland</v>
      </c>
      <c r="C555" t="s">
        <v>64</v>
      </c>
      <c r="D555">
        <v>1</v>
      </c>
      <c r="E555" t="s">
        <v>18</v>
      </c>
      <c r="F555" t="s">
        <v>44</v>
      </c>
      <c r="G555" t="s">
        <v>139</v>
      </c>
      <c r="H555" s="13" cm="1">
        <f t="array" ref="H555">INDEX(Financials!$B$5:$AI$260,FinancialWalk!K555,FinancialWalk!L555)</f>
        <v>-177005727.9519234</v>
      </c>
      <c r="K555">
        <f>SUMIFS(Financials!$A$5:$A$260,Financials!$D$5:$D$260,FinancialWalk!D555,Financials!$E$5:$E$260,FinancialWalk!E555,Financials!$F$5:$F$260,FinancialWalk!F555)</f>
        <v>249</v>
      </c>
      <c r="L555">
        <f t="shared" si="73"/>
        <v>29</v>
      </c>
    </row>
    <row r="556" spans="2:12" x14ac:dyDescent="0.3">
      <c r="B556" t="str">
        <f>B555</f>
        <v>MarinusPortland</v>
      </c>
      <c r="C556" t="s">
        <v>64</v>
      </c>
      <c r="D556">
        <v>0.95</v>
      </c>
      <c r="E556" t="str">
        <f>E555</f>
        <v>Cal-37</v>
      </c>
      <c r="F556" t="s">
        <v>44</v>
      </c>
      <c r="G556" t="s">
        <v>139</v>
      </c>
      <c r="H556" s="13" cm="1">
        <f t="array" ref="H556">INDEX(Financials!$B$5:$AI$260,FinancialWalk!K556,FinancialWalk!L556)</f>
        <v>-76246170.356692344</v>
      </c>
      <c r="K556">
        <f>SUMIFS(Financials!$A$5:$A$260,Financials!$D$5:$D$260,FinancialWalk!D556,Financials!$E$5:$E$260,FinancialWalk!E556,Financials!$F$5:$F$260,FinancialWalk!F556)</f>
        <v>250</v>
      </c>
      <c r="L556">
        <f t="shared" si="73"/>
        <v>29</v>
      </c>
    </row>
    <row r="557" spans="2:12" x14ac:dyDescent="0.3">
      <c r="B557" t="str">
        <f t="shared" ref="B557:B584" si="76">B556</f>
        <v>MarinusPortland</v>
      </c>
      <c r="C557" t="s">
        <v>64</v>
      </c>
      <c r="D557">
        <v>0.95</v>
      </c>
      <c r="E557" t="str">
        <f t="shared" ref="E557:E584" si="77">E556</f>
        <v>Cal-37</v>
      </c>
      <c r="F557" t="s">
        <v>44</v>
      </c>
      <c r="G557" t="s">
        <v>139</v>
      </c>
      <c r="H557" s="13" cm="1">
        <f t="array" ref="H557">INDEX(Financials!$B$5:$AI$260,FinancialWalk!K557,FinancialWalk!L557)</f>
        <v>-76246170.356692344</v>
      </c>
      <c r="K557">
        <f>SUMIFS(Financials!$A$5:$A$260,Financials!$D$5:$D$260,FinancialWalk!D557,Financials!$E$5:$E$260,FinancialWalk!E557,Financials!$F$5:$F$260,FinancialWalk!F557)</f>
        <v>250</v>
      </c>
      <c r="L557">
        <f t="shared" si="73"/>
        <v>29</v>
      </c>
    </row>
    <row r="558" spans="2:12" x14ac:dyDescent="0.3">
      <c r="B558" t="str">
        <f t="shared" si="76"/>
        <v>MarinusPortland</v>
      </c>
      <c r="C558" t="s">
        <v>64</v>
      </c>
      <c r="D558">
        <v>0.95</v>
      </c>
      <c r="E558" t="str">
        <f t="shared" si="77"/>
        <v>Cal-37</v>
      </c>
      <c r="F558" t="s">
        <v>44</v>
      </c>
      <c r="G558" t="s">
        <v>139</v>
      </c>
      <c r="H558" s="13" cm="1">
        <f t="array" ref="H558">INDEX(Financials!$B$5:$AI$260,FinancialWalk!K558,FinancialWalk!L558)</f>
        <v>-76246170.356692344</v>
      </c>
      <c r="K558">
        <f>SUMIFS(Financials!$A$5:$A$260,Financials!$D$5:$D$260,FinancialWalk!D558,Financials!$E$5:$E$260,FinancialWalk!E558,Financials!$F$5:$F$260,FinancialWalk!F558)</f>
        <v>250</v>
      </c>
      <c r="L558">
        <f t="shared" si="73"/>
        <v>29</v>
      </c>
    </row>
    <row r="559" spans="2:12" x14ac:dyDescent="0.3">
      <c r="B559" t="str">
        <f t="shared" si="76"/>
        <v>MarinusPortland</v>
      </c>
      <c r="C559" t="s">
        <v>64</v>
      </c>
      <c r="D559">
        <v>0.75</v>
      </c>
      <c r="E559" t="str">
        <f t="shared" si="77"/>
        <v>Cal-37</v>
      </c>
      <c r="F559" t="s">
        <v>44</v>
      </c>
      <c r="G559" t="s">
        <v>139</v>
      </c>
      <c r="H559" s="13" cm="1">
        <f t="array" ref="H559">INDEX(Financials!$B$5:$AI$260,FinancialWalk!K559,FinancialWalk!L559)</f>
        <v>-31753682.67183445</v>
      </c>
      <c r="K559">
        <f>SUMIFS(Financials!$A$5:$A$260,Financials!$D$5:$D$260,FinancialWalk!D559,Financials!$E$5:$E$260,FinancialWalk!E559,Financials!$F$5:$F$260,FinancialWalk!F559)</f>
        <v>251</v>
      </c>
      <c r="L559">
        <f t="shared" si="73"/>
        <v>29</v>
      </c>
    </row>
    <row r="560" spans="2:12" x14ac:dyDescent="0.3">
      <c r="B560" t="str">
        <f t="shared" si="76"/>
        <v>MarinusPortland</v>
      </c>
      <c r="C560" t="s">
        <v>64</v>
      </c>
      <c r="D560">
        <v>0.75</v>
      </c>
      <c r="E560" t="str">
        <f t="shared" si="77"/>
        <v>Cal-37</v>
      </c>
      <c r="F560" t="s">
        <v>44</v>
      </c>
      <c r="G560" t="s">
        <v>139</v>
      </c>
      <c r="H560" s="13" cm="1">
        <f t="array" ref="H560">INDEX(Financials!$B$5:$AI$260,FinancialWalk!K560,FinancialWalk!L560)</f>
        <v>-31753682.67183445</v>
      </c>
      <c r="K560">
        <f>SUMIFS(Financials!$A$5:$A$260,Financials!$D$5:$D$260,FinancialWalk!D560,Financials!$E$5:$E$260,FinancialWalk!E560,Financials!$F$5:$F$260,FinancialWalk!F560)</f>
        <v>251</v>
      </c>
      <c r="L560">
        <f t="shared" si="73"/>
        <v>29</v>
      </c>
    </row>
    <row r="561" spans="2:12" x14ac:dyDescent="0.3">
      <c r="B561" t="str">
        <f t="shared" si="76"/>
        <v>MarinusPortland</v>
      </c>
      <c r="C561" t="s">
        <v>64</v>
      </c>
      <c r="D561">
        <v>0.75</v>
      </c>
      <c r="E561" t="str">
        <f t="shared" si="77"/>
        <v>Cal-37</v>
      </c>
      <c r="F561" t="s">
        <v>44</v>
      </c>
      <c r="G561" t="s">
        <v>139</v>
      </c>
      <c r="H561" s="13" cm="1">
        <f t="array" ref="H561">INDEX(Financials!$B$5:$AI$260,FinancialWalk!K561,FinancialWalk!L561)</f>
        <v>-31753682.67183445</v>
      </c>
      <c r="K561">
        <f>SUMIFS(Financials!$A$5:$A$260,Financials!$D$5:$D$260,FinancialWalk!D561,Financials!$E$5:$E$260,FinancialWalk!E561,Financials!$F$5:$F$260,FinancialWalk!F561)</f>
        <v>251</v>
      </c>
      <c r="L561">
        <f t="shared" si="73"/>
        <v>29</v>
      </c>
    </row>
    <row r="562" spans="2:12" x14ac:dyDescent="0.3">
      <c r="B562" t="str">
        <f t="shared" si="76"/>
        <v>MarinusPortland</v>
      </c>
      <c r="C562" t="s">
        <v>64</v>
      </c>
      <c r="D562">
        <v>0.75</v>
      </c>
      <c r="E562" t="str">
        <f t="shared" si="77"/>
        <v>Cal-37</v>
      </c>
      <c r="F562" t="s">
        <v>44</v>
      </c>
      <c r="G562" t="s">
        <v>139</v>
      </c>
      <c r="H562" s="13" cm="1">
        <f t="array" ref="H562">INDEX(Financials!$B$5:$AI$260,FinancialWalk!K562,FinancialWalk!L562)</f>
        <v>-31753682.67183445</v>
      </c>
      <c r="K562">
        <f>SUMIFS(Financials!$A$5:$A$260,Financials!$D$5:$D$260,FinancialWalk!D562,Financials!$E$5:$E$260,FinancialWalk!E562,Financials!$F$5:$F$260,FinancialWalk!F562)</f>
        <v>251</v>
      </c>
      <c r="L562">
        <f t="shared" si="73"/>
        <v>29</v>
      </c>
    </row>
    <row r="563" spans="2:12" x14ac:dyDescent="0.3">
      <c r="B563" t="str">
        <f t="shared" si="76"/>
        <v>MarinusPortland</v>
      </c>
      <c r="C563" t="s">
        <v>64</v>
      </c>
      <c r="D563">
        <v>0.5</v>
      </c>
      <c r="E563" t="str">
        <f t="shared" si="77"/>
        <v>Cal-37</v>
      </c>
      <c r="F563" t="s">
        <v>44</v>
      </c>
      <c r="G563" t="s">
        <v>139</v>
      </c>
      <c r="H563" s="13" cm="1">
        <f t="array" ref="H563">INDEX(Financials!$B$5:$AI$260,FinancialWalk!K563,FinancialWalk!L563)</f>
        <v>-345552.08027942281</v>
      </c>
      <c r="K563">
        <f>SUMIFS(Financials!$A$5:$A$260,Financials!$D$5:$D$260,FinancialWalk!D563,Financials!$E$5:$E$260,FinancialWalk!E563,Financials!$F$5:$F$260,FinancialWalk!F563)</f>
        <v>252</v>
      </c>
      <c r="L563">
        <f t="shared" si="73"/>
        <v>29</v>
      </c>
    </row>
    <row r="564" spans="2:12" x14ac:dyDescent="0.3">
      <c r="B564" t="str">
        <f t="shared" si="76"/>
        <v>MarinusPortland</v>
      </c>
      <c r="C564" t="s">
        <v>64</v>
      </c>
      <c r="D564">
        <v>0.5</v>
      </c>
      <c r="E564" t="str">
        <f t="shared" si="77"/>
        <v>Cal-37</v>
      </c>
      <c r="F564" t="s">
        <v>44</v>
      </c>
      <c r="G564" t="s">
        <v>139</v>
      </c>
      <c r="H564" s="13" cm="1">
        <f t="array" ref="H564">INDEX(Financials!$B$5:$AI$260,FinancialWalk!K564,FinancialWalk!L564)</f>
        <v>-345552.08027942281</v>
      </c>
      <c r="K564">
        <f>SUMIFS(Financials!$A$5:$A$260,Financials!$D$5:$D$260,FinancialWalk!D564,Financials!$E$5:$E$260,FinancialWalk!E564,Financials!$F$5:$F$260,FinancialWalk!F564)</f>
        <v>252</v>
      </c>
      <c r="L564">
        <f t="shared" si="73"/>
        <v>29</v>
      </c>
    </row>
    <row r="565" spans="2:12" x14ac:dyDescent="0.3">
      <c r="B565" t="str">
        <f t="shared" si="76"/>
        <v>MarinusPortland</v>
      </c>
      <c r="C565" t="s">
        <v>64</v>
      </c>
      <c r="D565">
        <v>0.5</v>
      </c>
      <c r="E565" t="str">
        <f t="shared" si="77"/>
        <v>Cal-37</v>
      </c>
      <c r="F565" t="s">
        <v>44</v>
      </c>
      <c r="G565" t="s">
        <v>139</v>
      </c>
      <c r="H565" s="13" cm="1">
        <f t="array" ref="H565">INDEX(Financials!$B$5:$AI$260,FinancialWalk!K565,FinancialWalk!L565)</f>
        <v>-345552.08027942281</v>
      </c>
      <c r="K565">
        <f>SUMIFS(Financials!$A$5:$A$260,Financials!$D$5:$D$260,FinancialWalk!D565,Financials!$E$5:$E$260,FinancialWalk!E565,Financials!$F$5:$F$260,FinancialWalk!F565)</f>
        <v>252</v>
      </c>
      <c r="L565">
        <f t="shared" si="73"/>
        <v>29</v>
      </c>
    </row>
    <row r="566" spans="2:12" x14ac:dyDescent="0.3">
      <c r="B566" t="str">
        <f t="shared" si="76"/>
        <v>MarinusPortland</v>
      </c>
      <c r="C566" t="s">
        <v>64</v>
      </c>
      <c r="D566">
        <v>0.5</v>
      </c>
      <c r="E566" t="str">
        <f t="shared" si="77"/>
        <v>Cal-37</v>
      </c>
      <c r="F566" t="s">
        <v>44</v>
      </c>
      <c r="G566" t="s">
        <v>139</v>
      </c>
      <c r="H566" s="13" cm="1">
        <f t="array" ref="H566">INDEX(Financials!$B$5:$AI$260,FinancialWalk!K566,FinancialWalk!L566)</f>
        <v>-345552.08027942281</v>
      </c>
      <c r="K566">
        <f>SUMIFS(Financials!$A$5:$A$260,Financials!$D$5:$D$260,FinancialWalk!D566,Financials!$E$5:$E$260,FinancialWalk!E566,Financials!$F$5:$F$260,FinancialWalk!F566)</f>
        <v>252</v>
      </c>
      <c r="L566">
        <f t="shared" si="73"/>
        <v>29</v>
      </c>
    </row>
    <row r="567" spans="2:12" x14ac:dyDescent="0.3">
      <c r="B567" t="str">
        <f t="shared" si="76"/>
        <v>MarinusPortland</v>
      </c>
      <c r="C567" t="s">
        <v>64</v>
      </c>
      <c r="D567">
        <v>0.5</v>
      </c>
      <c r="E567" t="str">
        <f t="shared" si="77"/>
        <v>Cal-37</v>
      </c>
      <c r="F567" t="s">
        <v>44</v>
      </c>
      <c r="G567" t="s">
        <v>139</v>
      </c>
      <c r="H567" s="13" cm="1">
        <f t="array" ref="H567">INDEX(Financials!$B$5:$AI$260,FinancialWalk!K567,FinancialWalk!L567)</f>
        <v>-345552.08027942281</v>
      </c>
      <c r="K567">
        <f>SUMIFS(Financials!$A$5:$A$260,Financials!$D$5:$D$260,FinancialWalk!D567,Financials!$E$5:$E$260,FinancialWalk!E567,Financials!$F$5:$F$260,FinancialWalk!F567)</f>
        <v>252</v>
      </c>
      <c r="L567">
        <f t="shared" si="73"/>
        <v>29</v>
      </c>
    </row>
    <row r="568" spans="2:12" x14ac:dyDescent="0.3">
      <c r="B568" t="str">
        <f t="shared" si="76"/>
        <v>MarinusPortland</v>
      </c>
      <c r="C568" t="s">
        <v>64</v>
      </c>
      <c r="D568">
        <v>0.25</v>
      </c>
      <c r="E568" t="str">
        <f t="shared" si="77"/>
        <v>Cal-37</v>
      </c>
      <c r="F568" t="s">
        <v>44</v>
      </c>
      <c r="G568" t="s">
        <v>139</v>
      </c>
      <c r="H568" s="13" cm="1">
        <f t="array" ref="H568">INDEX(Financials!$B$5:$AI$260,FinancialWalk!K568,FinancialWalk!L568)</f>
        <v>31310730.015753746</v>
      </c>
      <c r="K568">
        <f>SUMIFS(Financials!$A$5:$A$260,Financials!$D$5:$D$260,FinancialWalk!D568,Financials!$E$5:$E$260,FinancialWalk!E568,Financials!$F$5:$F$260,FinancialWalk!F568)</f>
        <v>253</v>
      </c>
      <c r="L568">
        <f t="shared" si="73"/>
        <v>29</v>
      </c>
    </row>
    <row r="569" spans="2:12" x14ac:dyDescent="0.3">
      <c r="B569" t="str">
        <f t="shared" si="76"/>
        <v>MarinusPortland</v>
      </c>
      <c r="C569" t="s">
        <v>64</v>
      </c>
      <c r="D569">
        <v>0.25</v>
      </c>
      <c r="E569" t="str">
        <f t="shared" si="77"/>
        <v>Cal-37</v>
      </c>
      <c r="F569" t="s">
        <v>44</v>
      </c>
      <c r="G569" t="s">
        <v>139</v>
      </c>
      <c r="H569" s="13" cm="1">
        <f t="array" ref="H569">INDEX(Financials!$B$5:$AI$260,FinancialWalk!K569,FinancialWalk!L569)</f>
        <v>31310730.015753746</v>
      </c>
      <c r="K569">
        <f>SUMIFS(Financials!$A$5:$A$260,Financials!$D$5:$D$260,FinancialWalk!D569,Financials!$E$5:$E$260,FinancialWalk!E569,Financials!$F$5:$F$260,FinancialWalk!F569)</f>
        <v>253</v>
      </c>
      <c r="L569">
        <f t="shared" si="73"/>
        <v>29</v>
      </c>
    </row>
    <row r="570" spans="2:12" x14ac:dyDescent="0.3">
      <c r="B570" t="str">
        <f t="shared" si="76"/>
        <v>MarinusPortland</v>
      </c>
      <c r="C570" t="s">
        <v>64</v>
      </c>
      <c r="D570">
        <v>0.25</v>
      </c>
      <c r="E570" t="str">
        <f t="shared" si="77"/>
        <v>Cal-37</v>
      </c>
      <c r="F570" t="s">
        <v>44</v>
      </c>
      <c r="G570" t="s">
        <v>139</v>
      </c>
      <c r="H570" s="13" cm="1">
        <f t="array" ref="H570">INDEX(Financials!$B$5:$AI$260,FinancialWalk!K570,FinancialWalk!L570)</f>
        <v>31310730.015753746</v>
      </c>
      <c r="K570">
        <f>SUMIFS(Financials!$A$5:$A$260,Financials!$D$5:$D$260,FinancialWalk!D570,Financials!$E$5:$E$260,FinancialWalk!E570,Financials!$F$5:$F$260,FinancialWalk!F570)</f>
        <v>253</v>
      </c>
      <c r="L570">
        <f t="shared" si="73"/>
        <v>29</v>
      </c>
    </row>
    <row r="571" spans="2:12" x14ac:dyDescent="0.3">
      <c r="B571" t="str">
        <f t="shared" si="76"/>
        <v>MarinusPortland</v>
      </c>
      <c r="C571" t="s">
        <v>64</v>
      </c>
      <c r="D571">
        <v>0.25</v>
      </c>
      <c r="E571" t="str">
        <f t="shared" si="77"/>
        <v>Cal-37</v>
      </c>
      <c r="F571" t="s">
        <v>44</v>
      </c>
      <c r="G571" t="s">
        <v>139</v>
      </c>
      <c r="H571" s="13" cm="1">
        <f t="array" ref="H571">INDEX(Financials!$B$5:$AI$260,FinancialWalk!K571,FinancialWalk!L571)</f>
        <v>31310730.015753746</v>
      </c>
      <c r="K571">
        <f>SUMIFS(Financials!$A$5:$A$260,Financials!$D$5:$D$260,FinancialWalk!D571,Financials!$E$5:$E$260,FinancialWalk!E571,Financials!$F$5:$F$260,FinancialWalk!F571)</f>
        <v>253</v>
      </c>
      <c r="L571">
        <f t="shared" si="73"/>
        <v>29</v>
      </c>
    </row>
    <row r="572" spans="2:12" x14ac:dyDescent="0.3">
      <c r="B572" t="str">
        <f t="shared" si="76"/>
        <v>MarinusPortland</v>
      </c>
      <c r="C572" t="s">
        <v>64</v>
      </c>
      <c r="D572">
        <v>0.05</v>
      </c>
      <c r="E572" t="str">
        <f t="shared" si="77"/>
        <v>Cal-37</v>
      </c>
      <c r="F572" t="s">
        <v>44</v>
      </c>
      <c r="G572" t="s">
        <v>139</v>
      </c>
      <c r="H572" s="13" cm="1">
        <f t="array" ref="H572">INDEX(Financials!$B$5:$AI$260,FinancialWalk!K572,FinancialWalk!L572)</f>
        <v>45693686.366283804</v>
      </c>
      <c r="K572">
        <f>SUMIFS(Financials!$A$5:$A$260,Financials!$D$5:$D$260,FinancialWalk!D572,Financials!$E$5:$E$260,FinancialWalk!E572,Financials!$F$5:$F$260,FinancialWalk!F572)</f>
        <v>254</v>
      </c>
      <c r="L572">
        <f t="shared" si="73"/>
        <v>29</v>
      </c>
    </row>
    <row r="573" spans="2:12" x14ac:dyDescent="0.3">
      <c r="B573" t="str">
        <f t="shared" si="76"/>
        <v>MarinusPortland</v>
      </c>
      <c r="C573" t="s">
        <v>64</v>
      </c>
      <c r="D573">
        <v>0.05</v>
      </c>
      <c r="E573" t="str">
        <f t="shared" si="77"/>
        <v>Cal-37</v>
      </c>
      <c r="F573" t="s">
        <v>44</v>
      </c>
      <c r="G573" t="s">
        <v>139</v>
      </c>
      <c r="H573" s="13" cm="1">
        <f t="array" ref="H573">INDEX(Financials!$B$5:$AI$260,FinancialWalk!K573,FinancialWalk!L573)</f>
        <v>45693686.366283804</v>
      </c>
      <c r="K573">
        <f>SUMIFS(Financials!$A$5:$A$260,Financials!$D$5:$D$260,FinancialWalk!D573,Financials!$E$5:$E$260,FinancialWalk!E573,Financials!$F$5:$F$260,FinancialWalk!F573)</f>
        <v>254</v>
      </c>
      <c r="L573">
        <f t="shared" si="73"/>
        <v>29</v>
      </c>
    </row>
    <row r="574" spans="2:12" x14ac:dyDescent="0.3">
      <c r="B574" t="str">
        <f t="shared" si="76"/>
        <v>MarinusPortland</v>
      </c>
      <c r="C574" t="s">
        <v>64</v>
      </c>
      <c r="D574">
        <v>0.05</v>
      </c>
      <c r="E574" t="str">
        <f t="shared" si="77"/>
        <v>Cal-37</v>
      </c>
      <c r="F574" t="s">
        <v>44</v>
      </c>
      <c r="G574" t="s">
        <v>139</v>
      </c>
      <c r="H574" s="13" cm="1">
        <f t="array" ref="H574">INDEX(Financials!$B$5:$AI$260,FinancialWalk!K574,FinancialWalk!L574)</f>
        <v>45693686.366283804</v>
      </c>
      <c r="K574">
        <f>SUMIFS(Financials!$A$5:$A$260,Financials!$D$5:$D$260,FinancialWalk!D574,Financials!$E$5:$E$260,FinancialWalk!E574,Financials!$F$5:$F$260,FinancialWalk!F574)</f>
        <v>254</v>
      </c>
      <c r="L574">
        <f t="shared" si="73"/>
        <v>29</v>
      </c>
    </row>
    <row r="575" spans="2:12" x14ac:dyDescent="0.3">
      <c r="B575" t="str">
        <f t="shared" si="76"/>
        <v>MarinusPortland</v>
      </c>
      <c r="C575" t="s">
        <v>64</v>
      </c>
      <c r="D575">
        <v>0</v>
      </c>
      <c r="E575" t="str">
        <f t="shared" si="77"/>
        <v>Cal-37</v>
      </c>
      <c r="F575" t="s">
        <v>44</v>
      </c>
      <c r="G575" t="s">
        <v>139</v>
      </c>
      <c r="H575" s="13" cm="1">
        <f t="array" ref="H575">INDEX(Financials!$B$5:$AI$260,FinancialWalk!K575,FinancialWalk!L575)</f>
        <v>62877053.002704114</v>
      </c>
      <c r="K575">
        <f>SUMIFS(Financials!$A$5:$A$260,Financials!$D$5:$D$260,FinancialWalk!D575,Financials!$E$5:$E$260,FinancialWalk!E575,Financials!$F$5:$F$260,FinancialWalk!F575)</f>
        <v>255</v>
      </c>
      <c r="L575">
        <f t="shared" si="73"/>
        <v>29</v>
      </c>
    </row>
    <row r="576" spans="2:12" x14ac:dyDescent="0.3">
      <c r="B576" t="str">
        <f t="shared" si="76"/>
        <v>MarinusPortland</v>
      </c>
      <c r="C576" t="s">
        <v>64</v>
      </c>
      <c r="D576" t="s">
        <v>24</v>
      </c>
      <c r="E576" t="str">
        <f t="shared" si="77"/>
        <v>Cal-37</v>
      </c>
      <c r="F576" t="s">
        <v>44</v>
      </c>
      <c r="G576" t="s">
        <v>139</v>
      </c>
      <c r="H576" s="13" cm="1">
        <f t="array" ref="H576">INDEX(Financials!$B$5:$AI$260,FinancialWalk!K576,FinancialWalk!L576)</f>
        <v>-237268.57746010923</v>
      </c>
      <c r="K576">
        <f>SUMIFS(Financials!$A$5:$A$260,Financials!$D$5:$D$260,FinancialWalk!D576,Financials!$E$5:$E$260,FinancialWalk!E576,Financials!$F$5:$F$260,FinancialWalk!F576)</f>
        <v>256</v>
      </c>
      <c r="L576">
        <f t="shared" si="73"/>
        <v>29</v>
      </c>
    </row>
    <row r="577" spans="2:12" x14ac:dyDescent="0.3">
      <c r="B577" t="str">
        <f t="shared" si="76"/>
        <v>MarinusPortland</v>
      </c>
      <c r="C577" t="s">
        <v>64</v>
      </c>
      <c r="D577">
        <v>1</v>
      </c>
      <c r="E577" t="str">
        <f t="shared" si="77"/>
        <v>Cal-37</v>
      </c>
      <c r="F577" t="s">
        <v>34</v>
      </c>
      <c r="G577" t="str">
        <f>$U$26&amp;" (MWh)"</f>
        <v>Merchant NPV (MWh)</v>
      </c>
      <c r="H577" s="117" cm="1">
        <f t="array" ref="H577">INDEX($U$27:$Y$34,K577,L577)</f>
        <v>27.337648124562762</v>
      </c>
      <c r="K577">
        <v>1</v>
      </c>
      <c r="L577">
        <v>1</v>
      </c>
    </row>
    <row r="578" spans="2:12" x14ac:dyDescent="0.3">
      <c r="B578" t="str">
        <f t="shared" si="76"/>
        <v>MarinusPortland</v>
      </c>
      <c r="C578" t="s">
        <v>64</v>
      </c>
      <c r="D578">
        <v>0.95</v>
      </c>
      <c r="E578" t="str">
        <f t="shared" si="77"/>
        <v>Cal-37</v>
      </c>
      <c r="F578" t="s">
        <v>34</v>
      </c>
      <c r="G578" t="str">
        <f t="shared" ref="G578:G584" si="78">$U$26&amp;" (MWh)"</f>
        <v>Merchant NPV (MWh)</v>
      </c>
      <c r="H578" s="117" cm="1">
        <f t="array" ref="H578">INDEX($U$27:$Y$34,K578,L578)</f>
        <v>12.979330535182354</v>
      </c>
      <c r="K578">
        <v>2</v>
      </c>
      <c r="L578">
        <v>1</v>
      </c>
    </row>
    <row r="579" spans="2:12" x14ac:dyDescent="0.3">
      <c r="B579" t="str">
        <f t="shared" si="76"/>
        <v>MarinusPortland</v>
      </c>
      <c r="C579" t="s">
        <v>64</v>
      </c>
      <c r="D579">
        <v>0.75</v>
      </c>
      <c r="E579" t="str">
        <f t="shared" si="77"/>
        <v>Cal-37</v>
      </c>
      <c r="F579" t="s">
        <v>34</v>
      </c>
      <c r="G579" t="str">
        <f t="shared" si="78"/>
        <v>Merchant NPV (MWh)</v>
      </c>
      <c r="H579" s="117" cm="1">
        <f t="array" ref="H579">INDEX($U$27:$Y$34,K579,L579)</f>
        <v>5.0139496491046058</v>
      </c>
      <c r="K579">
        <v>3</v>
      </c>
      <c r="L579">
        <v>1</v>
      </c>
    </row>
    <row r="580" spans="2:12" x14ac:dyDescent="0.3">
      <c r="B580" t="str">
        <f t="shared" si="76"/>
        <v>MarinusPortland</v>
      </c>
      <c r="C580" t="s">
        <v>64</v>
      </c>
      <c r="D580">
        <v>0.5</v>
      </c>
      <c r="E580" t="str">
        <f t="shared" si="77"/>
        <v>Cal-37</v>
      </c>
      <c r="F580" t="s">
        <v>34</v>
      </c>
      <c r="G580" t="str">
        <f t="shared" si="78"/>
        <v>Merchant NPV (MWh)</v>
      </c>
      <c r="H580" s="117" cm="1">
        <f t="array" ref="H580">INDEX($U$27:$Y$34,K580,L580)</f>
        <v>-0.64093502935558622</v>
      </c>
      <c r="K580">
        <v>4</v>
      </c>
      <c r="L580">
        <v>1</v>
      </c>
    </row>
    <row r="581" spans="2:12" x14ac:dyDescent="0.3">
      <c r="B581" t="str">
        <f t="shared" si="76"/>
        <v>MarinusPortland</v>
      </c>
      <c r="C581" t="s">
        <v>64</v>
      </c>
      <c r="D581">
        <v>0.25</v>
      </c>
      <c r="E581" t="str">
        <f t="shared" si="77"/>
        <v>Cal-37</v>
      </c>
      <c r="F581" t="s">
        <v>34</v>
      </c>
      <c r="G581" t="str">
        <f t="shared" si="78"/>
        <v>Merchant NPV (MWh)</v>
      </c>
      <c r="H581" s="117" cm="1">
        <f t="array" ref="H581">INDEX($U$27:$Y$34,K581,L581)</f>
        <v>-7.1809914558654322</v>
      </c>
      <c r="K581">
        <v>5</v>
      </c>
      <c r="L581">
        <v>1</v>
      </c>
    </row>
    <row r="582" spans="2:12" x14ac:dyDescent="0.3">
      <c r="B582" t="str">
        <f t="shared" si="76"/>
        <v>MarinusPortland</v>
      </c>
      <c r="C582" t="s">
        <v>64</v>
      </c>
      <c r="D582">
        <v>0.05</v>
      </c>
      <c r="E582" t="str">
        <f t="shared" si="77"/>
        <v>Cal-37</v>
      </c>
      <c r="F582" t="s">
        <v>34</v>
      </c>
      <c r="G582" t="str">
        <f t="shared" si="78"/>
        <v>Merchant NPV (MWh)</v>
      </c>
      <c r="H582" s="117" cm="1">
        <f t="array" ref="H582">INDEX($U$27:$Y$34,K582,L582)</f>
        <v>-18.403469620175883</v>
      </c>
      <c r="K582">
        <v>6</v>
      </c>
      <c r="L582">
        <v>1</v>
      </c>
    </row>
    <row r="583" spans="2:12" x14ac:dyDescent="0.3">
      <c r="B583" t="str">
        <f t="shared" si="76"/>
        <v>MarinusPortland</v>
      </c>
      <c r="C583" t="s">
        <v>64</v>
      </c>
      <c r="D583">
        <v>0</v>
      </c>
      <c r="E583" t="str">
        <f t="shared" si="77"/>
        <v>Cal-37</v>
      </c>
      <c r="F583" t="s">
        <v>34</v>
      </c>
      <c r="G583" t="str">
        <f t="shared" si="78"/>
        <v>Merchant NPV (MWh)</v>
      </c>
      <c r="H583" s="117" cm="1">
        <f t="array" ref="H583">INDEX($U$27:$Y$34,K583,L583)</f>
        <v>-42.96077840598506</v>
      </c>
      <c r="K583">
        <v>7</v>
      </c>
      <c r="L583">
        <v>1</v>
      </c>
    </row>
    <row r="584" spans="2:12" x14ac:dyDescent="0.3">
      <c r="B584" t="str">
        <f t="shared" si="76"/>
        <v>MarinusPortland</v>
      </c>
      <c r="C584" t="s">
        <v>64</v>
      </c>
      <c r="D584" t="s">
        <v>24</v>
      </c>
      <c r="E584" t="str">
        <f t="shared" si="77"/>
        <v>Cal-37</v>
      </c>
      <c r="F584" t="s">
        <v>34</v>
      </c>
      <c r="G584" t="str">
        <f t="shared" si="78"/>
        <v>Merchant NPV (MWh)</v>
      </c>
      <c r="H584" s="117" cm="1">
        <f t="array" ref="H584">INDEX($U$27:$Y$34,K584,L584)</f>
        <v>-0.31926797126684903</v>
      </c>
      <c r="K584">
        <v>8</v>
      </c>
      <c r="L584">
        <v>1</v>
      </c>
    </row>
    <row r="585" spans="2:12" x14ac:dyDescent="0.3">
      <c r="B585" t="str">
        <f>$B$2</f>
        <v>MarinusPortland</v>
      </c>
      <c r="C585" t="s">
        <v>64</v>
      </c>
      <c r="D585">
        <v>1</v>
      </c>
      <c r="E585" t="s">
        <v>18</v>
      </c>
      <c r="F585" t="s">
        <v>34</v>
      </c>
      <c r="G585" t="str">
        <f>$V$26&amp;" (MWh)"</f>
        <v>PPA NPV (MWh)</v>
      </c>
      <c r="H585" s="117" cm="1">
        <f t="array" ref="H585">INDEX($U$27:$Y$34,K585,L585)</f>
        <v>25.511010932431677</v>
      </c>
      <c r="K585">
        <f>K577</f>
        <v>1</v>
      </c>
      <c r="L585">
        <f>L577+1</f>
        <v>2</v>
      </c>
    </row>
    <row r="586" spans="2:12" x14ac:dyDescent="0.3">
      <c r="B586" t="str">
        <f>B585</f>
        <v>MarinusPortland</v>
      </c>
      <c r="C586" t="s">
        <v>64</v>
      </c>
      <c r="D586">
        <v>0.95</v>
      </c>
      <c r="E586" t="str">
        <f>E585</f>
        <v>Cal-37</v>
      </c>
      <c r="F586" t="s">
        <v>34</v>
      </c>
      <c r="G586" t="str">
        <f t="shared" ref="G586:G592" si="79">$V$26&amp;" (MWh)"</f>
        <v>PPA NPV (MWh)</v>
      </c>
      <c r="H586" s="117" cm="1">
        <f t="array" ref="H586">INDEX($U$27:$Y$34,K586,L586)</f>
        <v>12.445842158920033</v>
      </c>
      <c r="K586">
        <f t="shared" ref="K586:K649" si="80">K578</f>
        <v>2</v>
      </c>
      <c r="L586">
        <f t="shared" ref="L586:L616" si="81">L578+1</f>
        <v>2</v>
      </c>
    </row>
    <row r="587" spans="2:12" x14ac:dyDescent="0.3">
      <c r="B587" t="str">
        <f t="shared" ref="B587:B600" si="82">B586</f>
        <v>MarinusPortland</v>
      </c>
      <c r="C587" t="s">
        <v>64</v>
      </c>
      <c r="D587">
        <v>0.75</v>
      </c>
      <c r="E587" t="str">
        <f t="shared" ref="E587:E600" si="83">E586</f>
        <v>Cal-37</v>
      </c>
      <c r="F587" t="s">
        <v>34</v>
      </c>
      <c r="G587" t="str">
        <f t="shared" si="79"/>
        <v>PPA NPV (MWh)</v>
      </c>
      <c r="H587" s="117" cm="1">
        <f t="array" ref="H587">INDEX($U$27:$Y$34,K587,L587)</f>
        <v>5.6536887508488149</v>
      </c>
      <c r="K587">
        <f t="shared" si="80"/>
        <v>3</v>
      </c>
      <c r="L587">
        <f t="shared" si="81"/>
        <v>2</v>
      </c>
    </row>
    <row r="588" spans="2:12" x14ac:dyDescent="0.3">
      <c r="B588" t="str">
        <f t="shared" si="82"/>
        <v>MarinusPortland</v>
      </c>
      <c r="C588" t="s">
        <v>64</v>
      </c>
      <c r="D588">
        <v>0.5</v>
      </c>
      <c r="E588" t="str">
        <f t="shared" si="83"/>
        <v>Cal-37</v>
      </c>
      <c r="F588" t="s">
        <v>34</v>
      </c>
      <c r="G588" t="str">
        <f t="shared" si="79"/>
        <v>PPA NPV (MWh)</v>
      </c>
      <c r="H588" s="117" cm="1">
        <f t="array" ref="H588">INDEX($U$27:$Y$34,K588,L588)</f>
        <v>0.59936303867878093</v>
      </c>
      <c r="K588">
        <f t="shared" si="80"/>
        <v>4</v>
      </c>
      <c r="L588">
        <f t="shared" si="81"/>
        <v>2</v>
      </c>
    </row>
    <row r="589" spans="2:12" x14ac:dyDescent="0.3">
      <c r="B589" t="str">
        <f t="shared" si="82"/>
        <v>MarinusPortland</v>
      </c>
      <c r="C589" t="s">
        <v>64</v>
      </c>
      <c r="D589">
        <v>0.25</v>
      </c>
      <c r="E589" t="str">
        <f t="shared" si="83"/>
        <v>Cal-37</v>
      </c>
      <c r="F589" t="s">
        <v>34</v>
      </c>
      <c r="G589" t="str">
        <f t="shared" si="79"/>
        <v>PPA NPV (MWh)</v>
      </c>
      <c r="H589" s="117" cm="1">
        <f t="array" ref="H589">INDEX($U$27:$Y$34,K589,L589)</f>
        <v>-4.2109245989116495</v>
      </c>
      <c r="K589">
        <f t="shared" si="80"/>
        <v>5</v>
      </c>
      <c r="L589">
        <f t="shared" si="81"/>
        <v>2</v>
      </c>
    </row>
    <row r="590" spans="2:12" x14ac:dyDescent="0.3">
      <c r="B590" t="str">
        <f t="shared" si="82"/>
        <v>MarinusPortland</v>
      </c>
      <c r="C590" t="s">
        <v>64</v>
      </c>
      <c r="D590">
        <v>0.05</v>
      </c>
      <c r="E590" t="str">
        <f t="shared" si="83"/>
        <v>Cal-37</v>
      </c>
      <c r="F590" t="s">
        <v>34</v>
      </c>
      <c r="G590" t="str">
        <f t="shared" si="79"/>
        <v>PPA NPV (MWh)</v>
      </c>
      <c r="H590" s="117" cm="1">
        <f t="array" ref="H590">INDEX($U$27:$Y$34,K590,L590)</f>
        <v>-10.522740484964777</v>
      </c>
      <c r="K590">
        <f t="shared" si="80"/>
        <v>6</v>
      </c>
      <c r="L590">
        <f t="shared" si="81"/>
        <v>2</v>
      </c>
    </row>
    <row r="591" spans="2:12" x14ac:dyDescent="0.3">
      <c r="B591" t="str">
        <f t="shared" si="82"/>
        <v>MarinusPortland</v>
      </c>
      <c r="C591" t="s">
        <v>64</v>
      </c>
      <c r="D591">
        <v>0</v>
      </c>
      <c r="E591" t="str">
        <f t="shared" si="83"/>
        <v>Cal-37</v>
      </c>
      <c r="F591" t="s">
        <v>34</v>
      </c>
      <c r="G591" t="str">
        <f t="shared" si="79"/>
        <v>PPA NPV (MWh)</v>
      </c>
      <c r="H591" s="117" cm="1">
        <f t="array" ref="H591">INDEX($U$27:$Y$34,K591,L591)</f>
        <v>-18.75907903045286</v>
      </c>
      <c r="K591">
        <f t="shared" si="80"/>
        <v>7</v>
      </c>
      <c r="L591">
        <f t="shared" si="81"/>
        <v>2</v>
      </c>
    </row>
    <row r="592" spans="2:12" x14ac:dyDescent="0.3">
      <c r="B592" t="str">
        <f t="shared" si="82"/>
        <v>MarinusPortland</v>
      </c>
      <c r="C592" t="s">
        <v>64</v>
      </c>
      <c r="D592" t="s">
        <v>24</v>
      </c>
      <c r="E592" t="str">
        <f t="shared" si="83"/>
        <v>Cal-37</v>
      </c>
      <c r="F592" t="s">
        <v>34</v>
      </c>
      <c r="G592" t="str">
        <f t="shared" si="79"/>
        <v>PPA NPV (MWh)</v>
      </c>
      <c r="H592" s="117" cm="1">
        <f t="array" ref="H592">INDEX($U$27:$Y$34,K592,L592)</f>
        <v>0.98791058619251892</v>
      </c>
      <c r="K592">
        <f t="shared" si="80"/>
        <v>8</v>
      </c>
      <c r="L592">
        <f t="shared" si="81"/>
        <v>2</v>
      </c>
    </row>
    <row r="593" spans="2:12" x14ac:dyDescent="0.3">
      <c r="B593" t="str">
        <f t="shared" si="82"/>
        <v>MarinusPortland</v>
      </c>
      <c r="C593" t="s">
        <v>64</v>
      </c>
      <c r="D593">
        <v>1</v>
      </c>
      <c r="E593" t="str">
        <f t="shared" si="83"/>
        <v>Cal-37</v>
      </c>
      <c r="F593" t="s">
        <v>34</v>
      </c>
      <c r="G593" t="str">
        <f>$W$26&amp;" (MWh)"</f>
        <v>Merchant with PPA NPV (MWh)</v>
      </c>
      <c r="H593" s="117" cm="1">
        <f t="array" ref="H593">INDEX($U$27:$Y$34,K593,L593)</f>
        <v>26.099591546554031</v>
      </c>
      <c r="K593">
        <f t="shared" si="80"/>
        <v>1</v>
      </c>
      <c r="L593">
        <f t="shared" si="81"/>
        <v>3</v>
      </c>
    </row>
    <row r="594" spans="2:12" x14ac:dyDescent="0.3">
      <c r="B594" t="str">
        <f t="shared" si="82"/>
        <v>MarinusPortland</v>
      </c>
      <c r="C594" t="s">
        <v>64</v>
      </c>
      <c r="D594">
        <v>0.95</v>
      </c>
      <c r="E594" t="str">
        <f t="shared" si="83"/>
        <v>Cal-37</v>
      </c>
      <c r="F594" t="s">
        <v>34</v>
      </c>
      <c r="G594" t="str">
        <f t="shared" ref="G594:G600" si="84">$W$26&amp;" (MWh)"</f>
        <v>Merchant with PPA NPV (MWh)</v>
      </c>
      <c r="H594" s="117" cm="1">
        <f t="array" ref="H594">INDEX($U$27:$Y$34,K594,L594)</f>
        <v>12.600362299237531</v>
      </c>
      <c r="K594">
        <f t="shared" si="80"/>
        <v>2</v>
      </c>
      <c r="L594">
        <f t="shared" si="81"/>
        <v>3</v>
      </c>
    </row>
    <row r="595" spans="2:12" x14ac:dyDescent="0.3">
      <c r="B595" t="str">
        <f t="shared" si="82"/>
        <v>MarinusPortland</v>
      </c>
      <c r="C595" t="s">
        <v>64</v>
      </c>
      <c r="D595">
        <v>0.75</v>
      </c>
      <c r="E595" t="str">
        <f t="shared" si="83"/>
        <v>Cal-37</v>
      </c>
      <c r="F595" t="s">
        <v>34</v>
      </c>
      <c r="G595" t="str">
        <f t="shared" si="84"/>
        <v>Merchant with PPA NPV (MWh)</v>
      </c>
      <c r="H595" s="117" cm="1">
        <f t="array" ref="H595">INDEX($U$27:$Y$34,K595,L595)</f>
        <v>5.4774361781670562</v>
      </c>
      <c r="K595">
        <f t="shared" si="80"/>
        <v>3</v>
      </c>
      <c r="L595">
        <f t="shared" si="81"/>
        <v>3</v>
      </c>
    </row>
    <row r="596" spans="2:12" x14ac:dyDescent="0.3">
      <c r="B596" t="str">
        <f t="shared" si="82"/>
        <v>MarinusPortland</v>
      </c>
      <c r="C596" t="s">
        <v>64</v>
      </c>
      <c r="D596">
        <v>0.5</v>
      </c>
      <c r="E596" t="str">
        <f t="shared" si="83"/>
        <v>Cal-37</v>
      </c>
      <c r="F596" t="s">
        <v>34</v>
      </c>
      <c r="G596" t="str">
        <f t="shared" si="84"/>
        <v>Merchant with PPA NPV (MWh)</v>
      </c>
      <c r="H596" s="117" cm="1">
        <f t="array" ref="H596">INDEX($U$27:$Y$34,K596,L596)</f>
        <v>0.27012613465366703</v>
      </c>
      <c r="K596">
        <f t="shared" si="80"/>
        <v>4</v>
      </c>
      <c r="L596">
        <f t="shared" si="81"/>
        <v>3</v>
      </c>
    </row>
    <row r="597" spans="2:12" x14ac:dyDescent="0.3">
      <c r="B597" t="str">
        <f t="shared" si="82"/>
        <v>MarinusPortland</v>
      </c>
      <c r="C597" t="s">
        <v>64</v>
      </c>
      <c r="D597">
        <v>0.25</v>
      </c>
      <c r="E597" t="str">
        <f t="shared" si="83"/>
        <v>Cal-37</v>
      </c>
      <c r="F597" t="s">
        <v>34</v>
      </c>
      <c r="G597" t="str">
        <f t="shared" si="84"/>
        <v>Merchant with PPA NPV (MWh)</v>
      </c>
      <c r="H597" s="117" cm="1">
        <f t="array" ref="H597">INDEX($U$27:$Y$34,K597,L597)</f>
        <v>-4.9555730474332442</v>
      </c>
      <c r="K597">
        <f t="shared" si="80"/>
        <v>5</v>
      </c>
      <c r="L597">
        <f t="shared" si="81"/>
        <v>3</v>
      </c>
    </row>
    <row r="598" spans="2:12" x14ac:dyDescent="0.3">
      <c r="B598" t="str">
        <f t="shared" si="82"/>
        <v>MarinusPortland</v>
      </c>
      <c r="C598" t="s">
        <v>64</v>
      </c>
      <c r="D598">
        <v>0.05</v>
      </c>
      <c r="E598" t="str">
        <f t="shared" si="83"/>
        <v>Cal-37</v>
      </c>
      <c r="F598" t="s">
        <v>34</v>
      </c>
      <c r="G598" t="str">
        <f t="shared" si="84"/>
        <v>Merchant with PPA NPV (MWh)</v>
      </c>
      <c r="H598" s="117" cm="1">
        <f t="array" ref="H598">INDEX($U$27:$Y$34,K598,L598)</f>
        <v>-12.318544543060368</v>
      </c>
      <c r="K598">
        <f t="shared" si="80"/>
        <v>6</v>
      </c>
      <c r="L598">
        <f t="shared" si="81"/>
        <v>3</v>
      </c>
    </row>
    <row r="599" spans="2:12" x14ac:dyDescent="0.3">
      <c r="B599" t="str">
        <f t="shared" si="82"/>
        <v>MarinusPortland</v>
      </c>
      <c r="C599" t="s">
        <v>64</v>
      </c>
      <c r="D599">
        <v>0</v>
      </c>
      <c r="E599" t="str">
        <f t="shared" si="83"/>
        <v>Cal-37</v>
      </c>
      <c r="F599" t="s">
        <v>34</v>
      </c>
      <c r="G599" t="str">
        <f t="shared" si="84"/>
        <v>Merchant with PPA NPV (MWh)</v>
      </c>
      <c r="H599" s="117" cm="1">
        <f t="array" ref="H599">INDEX($U$27:$Y$34,K599,L599)</f>
        <v>-23.30654019172745</v>
      </c>
      <c r="K599">
        <f t="shared" si="80"/>
        <v>7</v>
      </c>
      <c r="L599">
        <f t="shared" si="81"/>
        <v>3</v>
      </c>
    </row>
    <row r="600" spans="2:12" x14ac:dyDescent="0.3">
      <c r="B600" t="str">
        <f t="shared" si="82"/>
        <v>MarinusPortland</v>
      </c>
      <c r="C600" t="s">
        <v>64</v>
      </c>
      <c r="D600" t="s">
        <v>24</v>
      </c>
      <c r="E600" t="str">
        <f t="shared" si="83"/>
        <v>Cal-37</v>
      </c>
      <c r="F600" t="s">
        <v>34</v>
      </c>
      <c r="G600" t="str">
        <f t="shared" si="84"/>
        <v>Merchant with PPA NPV (MWh)</v>
      </c>
      <c r="H600" s="117" cm="1">
        <f t="array" ref="H600">INDEX($U$27:$Y$34,K600,L600)</f>
        <v>0.64319775254646028</v>
      </c>
      <c r="K600">
        <f t="shared" si="80"/>
        <v>8</v>
      </c>
      <c r="L600">
        <f t="shared" si="81"/>
        <v>3</v>
      </c>
    </row>
    <row r="601" spans="2:12" x14ac:dyDescent="0.3">
      <c r="B601" t="str">
        <f>$B$2</f>
        <v>MarinusPortland</v>
      </c>
      <c r="C601" t="s">
        <v>64</v>
      </c>
      <c r="D601">
        <v>1</v>
      </c>
      <c r="E601" t="s">
        <v>18</v>
      </c>
      <c r="F601" t="s">
        <v>34</v>
      </c>
      <c r="G601" t="str">
        <f>$X$26&amp;" (MWh)"</f>
        <v>Sold Swap NPV (MWh)</v>
      </c>
      <c r="H601" s="117" cm="1">
        <f t="array" ref="H601">INDEX($U$27:$Y$34,K601,L601)</f>
        <v>-36.05768389881429</v>
      </c>
      <c r="K601">
        <f t="shared" si="80"/>
        <v>1</v>
      </c>
      <c r="L601">
        <f t="shared" si="81"/>
        <v>4</v>
      </c>
    </row>
    <row r="602" spans="2:12" x14ac:dyDescent="0.3">
      <c r="B602" t="str">
        <f>B601</f>
        <v>MarinusPortland</v>
      </c>
      <c r="C602" t="s">
        <v>64</v>
      </c>
      <c r="D602">
        <v>0.95</v>
      </c>
      <c r="E602" t="str">
        <f>E601</f>
        <v>Cal-37</v>
      </c>
      <c r="F602" t="s">
        <v>34</v>
      </c>
      <c r="G602" t="str">
        <f t="shared" ref="G602:G608" si="85">$X$26&amp;" (MWh)"</f>
        <v>Sold Swap NPV (MWh)</v>
      </c>
      <c r="H602" s="117" cm="1">
        <f t="array" ref="H602">INDEX($U$27:$Y$34,K602,L602)</f>
        <v>-15.532041482654645</v>
      </c>
      <c r="K602">
        <f t="shared" si="80"/>
        <v>2</v>
      </c>
      <c r="L602">
        <f t="shared" si="81"/>
        <v>4</v>
      </c>
    </row>
    <row r="603" spans="2:12" x14ac:dyDescent="0.3">
      <c r="B603" t="str">
        <f t="shared" ref="B603:B624" si="86">B602</f>
        <v>MarinusPortland</v>
      </c>
      <c r="C603" t="s">
        <v>64</v>
      </c>
      <c r="D603">
        <v>0.75</v>
      </c>
      <c r="E603" t="str">
        <f t="shared" ref="E603:E608" si="87">E602</f>
        <v>Cal-37</v>
      </c>
      <c r="F603" t="s">
        <v>34</v>
      </c>
      <c r="G603" t="str">
        <f t="shared" si="85"/>
        <v>Sold Swap NPV (MWh)</v>
      </c>
      <c r="H603" s="117" cm="1">
        <f t="array" ref="H603">INDEX($U$27:$Y$34,K603,L603)</f>
        <v>-6.4685152602250682</v>
      </c>
      <c r="K603">
        <f t="shared" si="80"/>
        <v>3</v>
      </c>
      <c r="L603">
        <f t="shared" si="81"/>
        <v>4</v>
      </c>
    </row>
    <row r="604" spans="2:12" x14ac:dyDescent="0.3">
      <c r="B604" t="str">
        <f t="shared" si="86"/>
        <v>MarinusPortland</v>
      </c>
      <c r="C604" t="s">
        <v>64</v>
      </c>
      <c r="D604">
        <v>0.5</v>
      </c>
      <c r="E604" t="str">
        <f t="shared" si="87"/>
        <v>Cal-37</v>
      </c>
      <c r="F604" t="s">
        <v>34</v>
      </c>
      <c r="G604" t="str">
        <f t="shared" si="85"/>
        <v>Sold Swap NPV (MWh)</v>
      </c>
      <c r="H604" s="117" cm="1">
        <f t="array" ref="H604">INDEX($U$27:$Y$34,K604,L604)</f>
        <v>-7.0392115698523272E-2</v>
      </c>
      <c r="K604">
        <f t="shared" si="80"/>
        <v>4</v>
      </c>
      <c r="L604">
        <f t="shared" si="81"/>
        <v>4</v>
      </c>
    </row>
    <row r="605" spans="2:12" x14ac:dyDescent="0.3">
      <c r="B605" t="str">
        <f t="shared" si="86"/>
        <v>MarinusPortland</v>
      </c>
      <c r="C605" t="s">
        <v>64</v>
      </c>
      <c r="D605">
        <v>0.25</v>
      </c>
      <c r="E605" t="str">
        <f t="shared" si="87"/>
        <v>Cal-37</v>
      </c>
      <c r="F605" t="s">
        <v>34</v>
      </c>
      <c r="G605" t="str">
        <f t="shared" si="85"/>
        <v>Sold Swap NPV (MWh)</v>
      </c>
      <c r="H605" s="117" cm="1">
        <f t="array" ref="H605">INDEX($U$27:$Y$34,K605,L605)</f>
        <v>6.3782817573892938</v>
      </c>
      <c r="K605">
        <f t="shared" si="80"/>
        <v>5</v>
      </c>
      <c r="L605">
        <f t="shared" si="81"/>
        <v>4</v>
      </c>
    </row>
    <row r="606" spans="2:12" x14ac:dyDescent="0.3">
      <c r="B606" t="str">
        <f t="shared" si="86"/>
        <v>MarinusPortland</v>
      </c>
      <c r="C606" t="s">
        <v>64</v>
      </c>
      <c r="D606">
        <v>0.05</v>
      </c>
      <c r="E606" t="str">
        <f t="shared" si="87"/>
        <v>Cal-37</v>
      </c>
      <c r="F606" t="s">
        <v>34</v>
      </c>
      <c r="G606" t="str">
        <f t="shared" si="85"/>
        <v>Sold Swap NPV (MWh)</v>
      </c>
      <c r="H606" s="117" cm="1">
        <f t="array" ref="H606">INDEX($U$27:$Y$34,K606,L606)</f>
        <v>15.048291211477002</v>
      </c>
      <c r="K606">
        <f t="shared" si="80"/>
        <v>6</v>
      </c>
      <c r="L606">
        <f t="shared" si="81"/>
        <v>4</v>
      </c>
    </row>
    <row r="607" spans="2:12" x14ac:dyDescent="0.3">
      <c r="B607" t="str">
        <f t="shared" si="86"/>
        <v>MarinusPortland</v>
      </c>
      <c r="C607" t="s">
        <v>64</v>
      </c>
      <c r="D607">
        <v>0</v>
      </c>
      <c r="E607" t="str">
        <f t="shared" si="87"/>
        <v>Cal-37</v>
      </c>
      <c r="F607" t="s">
        <v>34</v>
      </c>
      <c r="G607" t="str">
        <f t="shared" si="85"/>
        <v>Sold Swap NPV (MWh)</v>
      </c>
      <c r="H607" s="117" cm="1">
        <f t="array" ref="H607">INDEX($U$27:$Y$34,K607,L607)</f>
        <v>22.415102741666704</v>
      </c>
      <c r="K607">
        <f t="shared" si="80"/>
        <v>7</v>
      </c>
      <c r="L607">
        <f t="shared" si="81"/>
        <v>4</v>
      </c>
    </row>
    <row r="608" spans="2:12" x14ac:dyDescent="0.3">
      <c r="B608" t="str">
        <f t="shared" si="86"/>
        <v>MarinusPortland</v>
      </c>
      <c r="C608" t="s">
        <v>64</v>
      </c>
      <c r="D608" t="s">
        <v>24</v>
      </c>
      <c r="E608" t="str">
        <f t="shared" si="87"/>
        <v>Cal-37</v>
      </c>
      <c r="F608" t="s">
        <v>34</v>
      </c>
      <c r="G608" t="str">
        <f t="shared" si="85"/>
        <v>Sold Swap NPV (MWh)</v>
      </c>
      <c r="H608" s="117" cm="1">
        <f t="array" ref="H608">INDEX($U$27:$Y$34,K608,L608)</f>
        <v>-4.8333776901850742E-2</v>
      </c>
      <c r="K608">
        <f t="shared" si="80"/>
        <v>8</v>
      </c>
      <c r="L608">
        <f t="shared" si="81"/>
        <v>4</v>
      </c>
    </row>
    <row r="609" spans="2:12" x14ac:dyDescent="0.3">
      <c r="B609" t="str">
        <f t="shared" si="86"/>
        <v>MarinusPortland</v>
      </c>
      <c r="C609" t="s">
        <v>64</v>
      </c>
      <c r="D609">
        <v>1</v>
      </c>
      <c r="E609" t="s">
        <v>18</v>
      </c>
      <c r="F609" t="s">
        <v>34</v>
      </c>
      <c r="G609" t="str">
        <f>$Y$26&amp;" (MWh)"</f>
        <v>Merchant with PPA and Sold Swap NPV (MWh)</v>
      </c>
      <c r="H609" s="117" cm="1">
        <f t="array" ref="H609">INDEX($U$27:$Y$34,K609,L609)</f>
        <v>7.9820824117751741</v>
      </c>
      <c r="K609">
        <f t="shared" si="80"/>
        <v>1</v>
      </c>
      <c r="L609">
        <f t="shared" si="81"/>
        <v>5</v>
      </c>
    </row>
    <row r="610" spans="2:12" x14ac:dyDescent="0.3">
      <c r="B610" t="str">
        <f t="shared" si="86"/>
        <v>MarinusPortland</v>
      </c>
      <c r="C610" t="s">
        <v>64</v>
      </c>
      <c r="D610">
        <v>0.95</v>
      </c>
      <c r="E610" t="str">
        <f>E609</f>
        <v>Cal-37</v>
      </c>
      <c r="F610" t="s">
        <v>34</v>
      </c>
      <c r="G610" t="str">
        <f t="shared" ref="G610:G616" si="88">$Y$26&amp;" (MWh)"</f>
        <v>Merchant with PPA and Sold Swap NPV (MWh)</v>
      </c>
      <c r="H610" s="117" cm="1">
        <f t="array" ref="H610">INDEX($U$27:$Y$34,K610,L610)</f>
        <v>3.8499005619301325</v>
      </c>
      <c r="K610">
        <f t="shared" si="80"/>
        <v>2</v>
      </c>
      <c r="L610">
        <f t="shared" si="81"/>
        <v>5</v>
      </c>
    </row>
    <row r="611" spans="2:12" x14ac:dyDescent="0.3">
      <c r="B611" t="str">
        <f t="shared" si="86"/>
        <v>MarinusPortland</v>
      </c>
      <c r="C611" t="s">
        <v>64</v>
      </c>
      <c r="D611">
        <v>0.75</v>
      </c>
      <c r="E611" t="str">
        <f t="shared" ref="E611:E624" si="89">E610</f>
        <v>Cal-37</v>
      </c>
      <c r="F611" t="s">
        <v>34</v>
      </c>
      <c r="G611" t="str">
        <f t="shared" si="88"/>
        <v>Merchant with PPA and Sold Swap NPV (MWh)</v>
      </c>
      <c r="H611" s="117" cm="1">
        <f t="array" ref="H611">INDEX($U$27:$Y$34,K611,L611)</f>
        <v>1.6354955255223955</v>
      </c>
      <c r="K611">
        <f t="shared" si="80"/>
        <v>3</v>
      </c>
      <c r="L611">
        <f t="shared" si="81"/>
        <v>5</v>
      </c>
    </row>
    <row r="612" spans="2:12" x14ac:dyDescent="0.3">
      <c r="B612" t="str">
        <f t="shared" si="86"/>
        <v>MarinusPortland</v>
      </c>
      <c r="C612" t="s">
        <v>64</v>
      </c>
      <c r="D612">
        <v>0.5</v>
      </c>
      <c r="E612" t="str">
        <f t="shared" si="89"/>
        <v>Cal-37</v>
      </c>
      <c r="F612" t="s">
        <v>34</v>
      </c>
      <c r="G612" t="str">
        <f t="shared" si="88"/>
        <v>Merchant with PPA and Sold Swap NPV (MWh)</v>
      </c>
      <c r="H612" s="117" cm="1">
        <f t="array" ref="H612">INDEX($U$27:$Y$34,K612,L612)</f>
        <v>0.15798855121628069</v>
      </c>
      <c r="K612">
        <f t="shared" si="80"/>
        <v>4</v>
      </c>
      <c r="L612">
        <f t="shared" si="81"/>
        <v>5</v>
      </c>
    </row>
    <row r="613" spans="2:12" x14ac:dyDescent="0.3">
      <c r="B613" t="str">
        <f t="shared" si="86"/>
        <v>MarinusPortland</v>
      </c>
      <c r="C613" t="s">
        <v>64</v>
      </c>
      <c r="D613">
        <v>0.25</v>
      </c>
      <c r="E613" t="str">
        <f t="shared" si="89"/>
        <v>Cal-37</v>
      </c>
      <c r="F613" t="s">
        <v>34</v>
      </c>
      <c r="G613" t="str">
        <f t="shared" si="88"/>
        <v>Merchant with PPA and Sold Swap NPV (MWh)</v>
      </c>
      <c r="H613" s="117" cm="1">
        <f t="array" ref="H613">INDEX($U$27:$Y$34,K613,L613)</f>
        <v>-1.1174538308453703</v>
      </c>
      <c r="K613">
        <f t="shared" si="80"/>
        <v>5</v>
      </c>
      <c r="L613">
        <f t="shared" si="81"/>
        <v>5</v>
      </c>
    </row>
    <row r="614" spans="2:12" x14ac:dyDescent="0.3">
      <c r="B614" t="str">
        <f t="shared" si="86"/>
        <v>MarinusPortland</v>
      </c>
      <c r="C614" t="s">
        <v>64</v>
      </c>
      <c r="D614">
        <v>0.05</v>
      </c>
      <c r="E614" t="str">
        <f t="shared" si="89"/>
        <v>Cal-37</v>
      </c>
      <c r="F614" t="s">
        <v>34</v>
      </c>
      <c r="G614" t="str">
        <f t="shared" si="88"/>
        <v>Merchant with PPA and Sold Swap NPV (MWh)</v>
      </c>
      <c r="H614" s="117" cm="1">
        <f t="array" ref="H614">INDEX($U$27:$Y$34,K614,L614)</f>
        <v>-2.6609215341625014</v>
      </c>
      <c r="K614">
        <f t="shared" si="80"/>
        <v>6</v>
      </c>
      <c r="L614">
        <f t="shared" si="81"/>
        <v>5</v>
      </c>
    </row>
    <row r="615" spans="2:12" x14ac:dyDescent="0.3">
      <c r="B615" t="str">
        <f t="shared" si="86"/>
        <v>MarinusPortland</v>
      </c>
      <c r="C615" t="s">
        <v>64</v>
      </c>
      <c r="D615">
        <v>0</v>
      </c>
      <c r="E615" t="str">
        <f t="shared" si="89"/>
        <v>Cal-37</v>
      </c>
      <c r="F615" t="s">
        <v>34</v>
      </c>
      <c r="G615" t="str">
        <f t="shared" si="88"/>
        <v>Merchant with PPA and Sold Swap NPV (MWh)</v>
      </c>
      <c r="H615" s="117" cm="1">
        <f t="array" ref="H615">INDEX($U$27:$Y$34,K615,L615)</f>
        <v>-6.1078214299559965</v>
      </c>
      <c r="K615">
        <f t="shared" si="80"/>
        <v>7</v>
      </c>
      <c r="L615">
        <f t="shared" si="81"/>
        <v>5</v>
      </c>
    </row>
    <row r="616" spans="2:12" x14ac:dyDescent="0.3">
      <c r="B616" t="str">
        <f t="shared" si="86"/>
        <v>MarinusPortland</v>
      </c>
      <c r="C616" t="s">
        <v>64</v>
      </c>
      <c r="D616" t="s">
        <v>24</v>
      </c>
      <c r="E616" t="str">
        <f t="shared" si="89"/>
        <v>Cal-37</v>
      </c>
      <c r="F616" t="s">
        <v>34</v>
      </c>
      <c r="G616" t="str">
        <f t="shared" si="88"/>
        <v>Merchant with PPA and Sold Swap NPV (MWh)</v>
      </c>
      <c r="H616" s="117" cm="1">
        <f t="array" ref="H616">INDEX($U$27:$Y$34,K616,L616)</f>
        <v>0.4150781313925262</v>
      </c>
      <c r="K616">
        <f t="shared" si="80"/>
        <v>8</v>
      </c>
      <c r="L616">
        <f t="shared" si="81"/>
        <v>5</v>
      </c>
    </row>
    <row r="617" spans="2:12" x14ac:dyDescent="0.3">
      <c r="B617" t="str">
        <f t="shared" si="86"/>
        <v>MarinusPortland</v>
      </c>
      <c r="C617" t="s">
        <v>64</v>
      </c>
      <c r="D617">
        <v>1</v>
      </c>
      <c r="E617" t="str">
        <f t="shared" si="89"/>
        <v>Cal-37</v>
      </c>
      <c r="F617" t="s">
        <v>44</v>
      </c>
      <c r="G617" t="str">
        <f>$U$26&amp;" (MWh)"</f>
        <v>Merchant NPV (MWh)</v>
      </c>
      <c r="H617" s="117" cm="1">
        <f t="array" ref="H617">INDEX($AB$27:$AF$34,K617,L617)</f>
        <v>78.141780264507688</v>
      </c>
      <c r="K617">
        <f t="shared" si="80"/>
        <v>1</v>
      </c>
      <c r="L617">
        <v>1</v>
      </c>
    </row>
    <row r="618" spans="2:12" x14ac:dyDescent="0.3">
      <c r="B618" t="str">
        <f t="shared" si="86"/>
        <v>MarinusPortland</v>
      </c>
      <c r="C618" t="s">
        <v>64</v>
      </c>
      <c r="D618">
        <v>0.95</v>
      </c>
      <c r="E618" t="str">
        <f t="shared" si="89"/>
        <v>Cal-37</v>
      </c>
      <c r="F618" t="s">
        <v>44</v>
      </c>
      <c r="G618" t="str">
        <f t="shared" ref="G618:G624" si="90">$U$26&amp;" (MWh)"</f>
        <v>Merchant NPV (MWh)</v>
      </c>
      <c r="H618" s="117" cm="1">
        <f t="array" ref="H618">INDEX($AB$27:$AF$34,K618,L618)</f>
        <v>35.359643707020908</v>
      </c>
      <c r="K618">
        <f t="shared" si="80"/>
        <v>2</v>
      </c>
      <c r="L618">
        <v>1</v>
      </c>
    </row>
    <row r="619" spans="2:12" x14ac:dyDescent="0.3">
      <c r="B619" t="str">
        <f t="shared" si="86"/>
        <v>MarinusPortland</v>
      </c>
      <c r="C619" t="s">
        <v>64</v>
      </c>
      <c r="D619">
        <v>0.75</v>
      </c>
      <c r="E619" t="str">
        <f t="shared" si="89"/>
        <v>Cal-37</v>
      </c>
      <c r="F619" t="s">
        <v>44</v>
      </c>
      <c r="G619" t="str">
        <f t="shared" si="90"/>
        <v>Merchant NPV (MWh)</v>
      </c>
      <c r="H619" s="117" cm="1">
        <f t="array" ref="H619">INDEX($AB$27:$AF$34,K619,L619)</f>
        <v>15.88066496234924</v>
      </c>
      <c r="K619">
        <f t="shared" si="80"/>
        <v>3</v>
      </c>
      <c r="L619">
        <v>1</v>
      </c>
    </row>
    <row r="620" spans="2:12" x14ac:dyDescent="0.3">
      <c r="B620" t="str">
        <f t="shared" si="86"/>
        <v>MarinusPortland</v>
      </c>
      <c r="C620" t="s">
        <v>64</v>
      </c>
      <c r="D620">
        <v>0.5</v>
      </c>
      <c r="E620" t="str">
        <f t="shared" si="89"/>
        <v>Cal-37</v>
      </c>
      <c r="F620" t="s">
        <v>44</v>
      </c>
      <c r="G620" t="str">
        <f t="shared" si="90"/>
        <v>Merchant NPV (MWh)</v>
      </c>
      <c r="H620" s="117" cm="1">
        <f t="array" ref="H620">INDEX($AB$27:$AF$34,K620,L620)</f>
        <v>-1.2391191597644711</v>
      </c>
      <c r="K620">
        <f t="shared" si="80"/>
        <v>4</v>
      </c>
      <c r="L620">
        <v>1</v>
      </c>
    </row>
    <row r="621" spans="2:12" x14ac:dyDescent="0.3">
      <c r="B621" t="str">
        <f t="shared" si="86"/>
        <v>MarinusPortland</v>
      </c>
      <c r="C621" t="s">
        <v>64</v>
      </c>
      <c r="D621">
        <v>0.25</v>
      </c>
      <c r="E621" t="str">
        <f t="shared" si="89"/>
        <v>Cal-37</v>
      </c>
      <c r="F621" t="s">
        <v>44</v>
      </c>
      <c r="G621" t="str">
        <f t="shared" si="90"/>
        <v>Merchant NPV (MWh)</v>
      </c>
      <c r="H621" s="117" cm="1">
        <f t="array" ref="H621">INDEX($AB$27:$AF$34,K621,L621)</f>
        <v>-25.124387029305929</v>
      </c>
      <c r="K621">
        <f t="shared" si="80"/>
        <v>5</v>
      </c>
      <c r="L621">
        <v>1</v>
      </c>
    </row>
    <row r="622" spans="2:12" x14ac:dyDescent="0.3">
      <c r="B622" t="str">
        <f t="shared" si="86"/>
        <v>MarinusPortland</v>
      </c>
      <c r="C622" t="s">
        <v>64</v>
      </c>
      <c r="D622">
        <v>0.05</v>
      </c>
      <c r="E622" t="str">
        <f t="shared" si="89"/>
        <v>Cal-37</v>
      </c>
      <c r="F622" t="s">
        <v>44</v>
      </c>
      <c r="G622" t="str">
        <f t="shared" si="90"/>
        <v>Merchant NPV (MWh)</v>
      </c>
      <c r="H622" s="117" cm="1">
        <f t="array" ref="H622">INDEX($AB$27:$AF$34,K622,L622)</f>
        <v>-72.292992727728929</v>
      </c>
      <c r="K622">
        <f t="shared" si="80"/>
        <v>6</v>
      </c>
      <c r="L622">
        <v>1</v>
      </c>
    </row>
    <row r="623" spans="2:12" x14ac:dyDescent="0.3">
      <c r="B623" t="str">
        <f t="shared" si="86"/>
        <v>MarinusPortland</v>
      </c>
      <c r="C623" t="s">
        <v>64</v>
      </c>
      <c r="D623">
        <v>0</v>
      </c>
      <c r="E623" t="str">
        <f t="shared" si="89"/>
        <v>Cal-37</v>
      </c>
      <c r="F623" t="s">
        <v>44</v>
      </c>
      <c r="G623" t="str">
        <f t="shared" si="90"/>
        <v>Merchant NPV (MWh)</v>
      </c>
      <c r="H623" s="117" cm="1">
        <f t="array" ref="H623">INDEX($AB$27:$AF$34,K623,L623)</f>
        <v>-170.42011361559602</v>
      </c>
      <c r="K623">
        <f t="shared" si="80"/>
        <v>7</v>
      </c>
      <c r="L623">
        <v>1</v>
      </c>
    </row>
    <row r="624" spans="2:12" x14ac:dyDescent="0.3">
      <c r="B624" t="str">
        <f t="shared" si="86"/>
        <v>MarinusPortland</v>
      </c>
      <c r="C624" t="s">
        <v>64</v>
      </c>
      <c r="D624" t="s">
        <v>24</v>
      </c>
      <c r="E624" t="str">
        <f t="shared" si="89"/>
        <v>Cal-37</v>
      </c>
      <c r="F624" t="s">
        <v>44</v>
      </c>
      <c r="G624" t="str">
        <f t="shared" si="90"/>
        <v>Merchant NPV (MWh)</v>
      </c>
      <c r="H624" s="117" cm="1">
        <f t="array" ref="H624">INDEX($AB$27:$AF$34,K624,L624)</f>
        <v>-1.6652097484926565</v>
      </c>
      <c r="K624">
        <f t="shared" si="80"/>
        <v>8</v>
      </c>
      <c r="L624">
        <v>1</v>
      </c>
    </row>
    <row r="625" spans="2:12" x14ac:dyDescent="0.3">
      <c r="B625" t="str">
        <f>$B$2</f>
        <v>MarinusPortland</v>
      </c>
      <c r="C625" t="s">
        <v>64</v>
      </c>
      <c r="D625">
        <v>1</v>
      </c>
      <c r="E625" t="s">
        <v>18</v>
      </c>
      <c r="F625" t="s">
        <v>44</v>
      </c>
      <c r="G625" t="str">
        <f>$V$26&amp;" (MWh)"</f>
        <v>PPA NPV (MWh)</v>
      </c>
      <c r="H625" s="117" cm="1">
        <f t="array" ref="H625">INDEX($AB$27:$AF$34,K625,L625)</f>
        <v>25.511010932431677</v>
      </c>
      <c r="K625">
        <f t="shared" si="80"/>
        <v>1</v>
      </c>
      <c r="L625">
        <f t="shared" ref="L625:L656" si="91">L617+1</f>
        <v>2</v>
      </c>
    </row>
    <row r="626" spans="2:12" x14ac:dyDescent="0.3">
      <c r="B626" t="str">
        <f>B625</f>
        <v>MarinusPortland</v>
      </c>
      <c r="C626" t="s">
        <v>64</v>
      </c>
      <c r="D626">
        <v>0.95</v>
      </c>
      <c r="E626" t="str">
        <f>E625</f>
        <v>Cal-37</v>
      </c>
      <c r="F626" t="s">
        <v>44</v>
      </c>
      <c r="G626" t="str">
        <f t="shared" ref="G626:G632" si="92">$V$26&amp;" (MWh)"</f>
        <v>PPA NPV (MWh)</v>
      </c>
      <c r="H626" s="117" cm="1">
        <f t="array" ref="H626">INDEX($AB$27:$AF$34,K626,L626)</f>
        <v>12.445842158920033</v>
      </c>
      <c r="K626">
        <f t="shared" si="80"/>
        <v>2</v>
      </c>
      <c r="L626">
        <f t="shared" si="91"/>
        <v>2</v>
      </c>
    </row>
    <row r="627" spans="2:12" x14ac:dyDescent="0.3">
      <c r="B627" t="str">
        <f t="shared" ref="B627:B640" si="93">B626</f>
        <v>MarinusPortland</v>
      </c>
      <c r="C627" t="s">
        <v>64</v>
      </c>
      <c r="D627">
        <v>0.75</v>
      </c>
      <c r="E627" t="str">
        <f t="shared" ref="E627:E640" si="94">E626</f>
        <v>Cal-37</v>
      </c>
      <c r="F627" t="s">
        <v>44</v>
      </c>
      <c r="G627" t="str">
        <f t="shared" si="92"/>
        <v>PPA NPV (MWh)</v>
      </c>
      <c r="H627" s="117" cm="1">
        <f t="array" ref="H627">INDEX($AB$27:$AF$34,K627,L627)</f>
        <v>5.6536887508488149</v>
      </c>
      <c r="K627">
        <f t="shared" si="80"/>
        <v>3</v>
      </c>
      <c r="L627">
        <f t="shared" si="91"/>
        <v>2</v>
      </c>
    </row>
    <row r="628" spans="2:12" x14ac:dyDescent="0.3">
      <c r="B628" t="str">
        <f t="shared" si="93"/>
        <v>MarinusPortland</v>
      </c>
      <c r="C628" t="s">
        <v>64</v>
      </c>
      <c r="D628">
        <v>0.5</v>
      </c>
      <c r="E628" t="str">
        <f t="shared" si="94"/>
        <v>Cal-37</v>
      </c>
      <c r="F628" t="s">
        <v>44</v>
      </c>
      <c r="G628" t="str">
        <f t="shared" si="92"/>
        <v>PPA NPV (MWh)</v>
      </c>
      <c r="H628" s="117" cm="1">
        <f t="array" ref="H628">INDEX($AB$27:$AF$34,K628,L628)</f>
        <v>0.59936303867878093</v>
      </c>
      <c r="K628">
        <f t="shared" si="80"/>
        <v>4</v>
      </c>
      <c r="L628">
        <f t="shared" si="91"/>
        <v>2</v>
      </c>
    </row>
    <row r="629" spans="2:12" x14ac:dyDescent="0.3">
      <c r="B629" t="str">
        <f t="shared" si="93"/>
        <v>MarinusPortland</v>
      </c>
      <c r="C629" t="s">
        <v>64</v>
      </c>
      <c r="D629">
        <v>0.25</v>
      </c>
      <c r="E629" t="str">
        <f t="shared" si="94"/>
        <v>Cal-37</v>
      </c>
      <c r="F629" t="s">
        <v>44</v>
      </c>
      <c r="G629" t="str">
        <f t="shared" si="92"/>
        <v>PPA NPV (MWh)</v>
      </c>
      <c r="H629" s="117" cm="1">
        <f t="array" ref="H629">INDEX($AB$27:$AF$34,K629,L629)</f>
        <v>-4.2109245989116495</v>
      </c>
      <c r="K629">
        <f t="shared" si="80"/>
        <v>5</v>
      </c>
      <c r="L629">
        <f t="shared" si="91"/>
        <v>2</v>
      </c>
    </row>
    <row r="630" spans="2:12" x14ac:dyDescent="0.3">
      <c r="B630" t="str">
        <f t="shared" si="93"/>
        <v>MarinusPortland</v>
      </c>
      <c r="C630" t="s">
        <v>64</v>
      </c>
      <c r="D630">
        <v>0.05</v>
      </c>
      <c r="E630" t="str">
        <f t="shared" si="94"/>
        <v>Cal-37</v>
      </c>
      <c r="F630" t="s">
        <v>44</v>
      </c>
      <c r="G630" t="str">
        <f t="shared" si="92"/>
        <v>PPA NPV (MWh)</v>
      </c>
      <c r="H630" s="117" cm="1">
        <f t="array" ref="H630">INDEX($AB$27:$AF$34,K630,L630)</f>
        <v>-10.522740484964777</v>
      </c>
      <c r="K630">
        <f t="shared" si="80"/>
        <v>6</v>
      </c>
      <c r="L630">
        <f t="shared" si="91"/>
        <v>2</v>
      </c>
    </row>
    <row r="631" spans="2:12" x14ac:dyDescent="0.3">
      <c r="B631" t="str">
        <f t="shared" si="93"/>
        <v>MarinusPortland</v>
      </c>
      <c r="C631" t="s">
        <v>64</v>
      </c>
      <c r="D631">
        <v>0</v>
      </c>
      <c r="E631" t="str">
        <f t="shared" si="94"/>
        <v>Cal-37</v>
      </c>
      <c r="F631" t="s">
        <v>44</v>
      </c>
      <c r="G631" t="str">
        <f t="shared" si="92"/>
        <v>PPA NPV (MWh)</v>
      </c>
      <c r="H631" s="117" cm="1">
        <f t="array" ref="H631">INDEX($AB$27:$AF$34,K631,L631)</f>
        <v>-18.11737275821902</v>
      </c>
      <c r="K631">
        <f t="shared" si="80"/>
        <v>7</v>
      </c>
      <c r="L631">
        <f t="shared" si="91"/>
        <v>2</v>
      </c>
    </row>
    <row r="632" spans="2:12" x14ac:dyDescent="0.3">
      <c r="B632" t="str">
        <f t="shared" si="93"/>
        <v>MarinusPortland</v>
      </c>
      <c r="C632" t="s">
        <v>64</v>
      </c>
      <c r="D632" t="s">
        <v>24</v>
      </c>
      <c r="E632" t="str">
        <f t="shared" si="94"/>
        <v>Cal-37</v>
      </c>
      <c r="F632" t="s">
        <v>44</v>
      </c>
      <c r="G632" t="str">
        <f t="shared" si="92"/>
        <v>PPA NPV (MWh)</v>
      </c>
      <c r="H632" s="117" cm="1">
        <f t="array" ref="H632">INDEX($AB$27:$AF$34,K632,L632)</f>
        <v>0.98791058619251892</v>
      </c>
      <c r="K632">
        <f t="shared" si="80"/>
        <v>8</v>
      </c>
      <c r="L632">
        <f t="shared" si="91"/>
        <v>2</v>
      </c>
    </row>
    <row r="633" spans="2:12" x14ac:dyDescent="0.3">
      <c r="B633" t="str">
        <f t="shared" si="93"/>
        <v>MarinusPortland</v>
      </c>
      <c r="C633" t="s">
        <v>64</v>
      </c>
      <c r="D633">
        <v>1</v>
      </c>
      <c r="E633" t="str">
        <f t="shared" si="94"/>
        <v>Cal-37</v>
      </c>
      <c r="F633" t="s">
        <v>44</v>
      </c>
      <c r="G633" t="str">
        <f>$W$26&amp;" (MWh)"</f>
        <v>Merchant with PPA NPV (MWh)</v>
      </c>
      <c r="H633" s="117" cm="1">
        <f t="array" ref="H633">INDEX($AB$27:$AF$34,K633,L633)</f>
        <v>31.554044821803025</v>
      </c>
      <c r="K633">
        <f t="shared" si="80"/>
        <v>1</v>
      </c>
      <c r="L633">
        <f t="shared" si="91"/>
        <v>3</v>
      </c>
    </row>
    <row r="634" spans="2:12" x14ac:dyDescent="0.3">
      <c r="B634" t="str">
        <f t="shared" si="93"/>
        <v>MarinusPortland</v>
      </c>
      <c r="C634" t="s">
        <v>64</v>
      </c>
      <c r="D634">
        <v>0.95</v>
      </c>
      <c r="E634" t="str">
        <f t="shared" si="94"/>
        <v>Cal-37</v>
      </c>
      <c r="F634" t="s">
        <v>44</v>
      </c>
      <c r="G634" t="str">
        <f t="shared" ref="G634:G640" si="95">$W$26&amp;" (MWh)"</f>
        <v>Merchant with PPA NPV (MWh)</v>
      </c>
      <c r="H634" s="117" cm="1">
        <f t="array" ref="H634">INDEX($AB$27:$AF$34,K634,L634)</f>
        <v>14.857288484492823</v>
      </c>
      <c r="K634">
        <f t="shared" si="80"/>
        <v>2</v>
      </c>
      <c r="L634">
        <f t="shared" si="91"/>
        <v>3</v>
      </c>
    </row>
    <row r="635" spans="2:12" x14ac:dyDescent="0.3">
      <c r="B635" t="str">
        <f t="shared" si="93"/>
        <v>MarinusPortland</v>
      </c>
      <c r="C635" t="s">
        <v>64</v>
      </c>
      <c r="D635">
        <v>0.75</v>
      </c>
      <c r="E635" t="str">
        <f t="shared" si="94"/>
        <v>Cal-37</v>
      </c>
      <c r="F635" t="s">
        <v>44</v>
      </c>
      <c r="G635" t="str">
        <f t="shared" si="95"/>
        <v>Merchant with PPA NPV (MWh)</v>
      </c>
      <c r="H635" s="117" cm="1">
        <f t="array" ref="H635">INDEX($AB$27:$AF$34,K635,L635)</f>
        <v>6.6497052840808442</v>
      </c>
      <c r="K635">
        <f t="shared" si="80"/>
        <v>3</v>
      </c>
      <c r="L635">
        <f t="shared" si="91"/>
        <v>3</v>
      </c>
    </row>
    <row r="636" spans="2:12" x14ac:dyDescent="0.3">
      <c r="B636" t="str">
        <f t="shared" si="93"/>
        <v>MarinusPortland</v>
      </c>
      <c r="C636" t="s">
        <v>64</v>
      </c>
      <c r="D636">
        <v>0.5</v>
      </c>
      <c r="E636" t="str">
        <f t="shared" si="94"/>
        <v>Cal-37</v>
      </c>
      <c r="F636" t="s">
        <v>44</v>
      </c>
      <c r="G636" t="str">
        <f t="shared" si="95"/>
        <v>Merchant with PPA NPV (MWh)</v>
      </c>
      <c r="H636" s="117" cm="1">
        <f t="array" ref="H636">INDEX($AB$27:$AF$34,K636,L636)</f>
        <v>0.43567582734955784</v>
      </c>
      <c r="K636">
        <f t="shared" si="80"/>
        <v>4</v>
      </c>
      <c r="L636">
        <f t="shared" si="91"/>
        <v>3</v>
      </c>
    </row>
    <row r="637" spans="2:12" x14ac:dyDescent="0.3">
      <c r="B637" t="str">
        <f t="shared" si="93"/>
        <v>MarinusPortland</v>
      </c>
      <c r="C637" t="s">
        <v>64</v>
      </c>
      <c r="D637">
        <v>0.25</v>
      </c>
      <c r="E637" t="str">
        <f t="shared" si="94"/>
        <v>Cal-37</v>
      </c>
      <c r="F637" t="s">
        <v>44</v>
      </c>
      <c r="G637" t="str">
        <f t="shared" si="95"/>
        <v>Merchant with PPA NPV (MWh)</v>
      </c>
      <c r="H637" s="117" cm="1">
        <f t="array" ref="H637">INDEX($AB$27:$AF$34,K637,L637)</f>
        <v>-5.8489833955016204</v>
      </c>
      <c r="K637">
        <f t="shared" si="80"/>
        <v>5</v>
      </c>
      <c r="L637">
        <f t="shared" si="91"/>
        <v>3</v>
      </c>
    </row>
    <row r="638" spans="2:12" x14ac:dyDescent="0.3">
      <c r="B638" t="str">
        <f t="shared" si="93"/>
        <v>MarinusPortland</v>
      </c>
      <c r="C638" t="s">
        <v>64</v>
      </c>
      <c r="D638">
        <v>0.05</v>
      </c>
      <c r="E638" t="str">
        <f t="shared" si="94"/>
        <v>Cal-37</v>
      </c>
      <c r="F638" t="s">
        <v>44</v>
      </c>
      <c r="G638" t="str">
        <f t="shared" si="95"/>
        <v>Merchant with PPA NPV (MWh)</v>
      </c>
      <c r="H638" s="117" cm="1">
        <f t="array" ref="H638">INDEX($AB$27:$AF$34,K638,L638)</f>
        <v>-14.413418591665488</v>
      </c>
      <c r="K638">
        <f t="shared" si="80"/>
        <v>6</v>
      </c>
      <c r="L638">
        <f t="shared" si="91"/>
        <v>3</v>
      </c>
    </row>
    <row r="639" spans="2:12" x14ac:dyDescent="0.3">
      <c r="B639" t="str">
        <f t="shared" si="93"/>
        <v>MarinusPortland</v>
      </c>
      <c r="C639" t="s">
        <v>64</v>
      </c>
      <c r="D639">
        <v>0</v>
      </c>
      <c r="E639" t="str">
        <f t="shared" si="94"/>
        <v>Cal-37</v>
      </c>
      <c r="F639" t="s">
        <v>44</v>
      </c>
      <c r="G639" t="str">
        <f t="shared" si="95"/>
        <v>Merchant with PPA NPV (MWh)</v>
      </c>
      <c r="H639" s="117" cm="1">
        <f t="array" ref="H639">INDEX($AB$27:$AF$34,K639,L639)</f>
        <v>-25.24642802201538</v>
      </c>
      <c r="K639">
        <f t="shared" si="80"/>
        <v>7</v>
      </c>
      <c r="L639">
        <f t="shared" si="91"/>
        <v>3</v>
      </c>
    </row>
    <row r="640" spans="2:12" x14ac:dyDescent="0.3">
      <c r="B640" t="str">
        <f t="shared" si="93"/>
        <v>MarinusPortland</v>
      </c>
      <c r="C640" t="s">
        <v>64</v>
      </c>
      <c r="D640" t="s">
        <v>24</v>
      </c>
      <c r="E640" t="str">
        <f t="shared" si="94"/>
        <v>Cal-37</v>
      </c>
      <c r="F640" t="s">
        <v>44</v>
      </c>
      <c r="G640" t="str">
        <f t="shared" si="95"/>
        <v>Merchant with PPA NPV (MWh)</v>
      </c>
      <c r="H640" s="117" cm="1">
        <f t="array" ref="H640">INDEX($AB$27:$AF$34,K640,L640)</f>
        <v>0.75520729637417994</v>
      </c>
      <c r="K640">
        <f t="shared" si="80"/>
        <v>8</v>
      </c>
      <c r="L640">
        <f t="shared" si="91"/>
        <v>3</v>
      </c>
    </row>
    <row r="641" spans="2:12" x14ac:dyDescent="0.3">
      <c r="B641" t="str">
        <f>$B$2</f>
        <v>MarinusPortland</v>
      </c>
      <c r="C641" t="s">
        <v>64</v>
      </c>
      <c r="D641">
        <v>1</v>
      </c>
      <c r="E641" t="s">
        <v>18</v>
      </c>
      <c r="F641" t="s">
        <v>44</v>
      </c>
      <c r="G641" t="str">
        <f>$X$26&amp;" (MWh)"</f>
        <v>Sold Swap NPV (MWh)</v>
      </c>
      <c r="H641" s="117" cm="1">
        <f t="array" ref="H641">INDEX($AB$27:$AF$34,K641,L641)</f>
        <v>-36.05768389881429</v>
      </c>
      <c r="K641">
        <f t="shared" si="80"/>
        <v>1</v>
      </c>
      <c r="L641">
        <f t="shared" si="91"/>
        <v>4</v>
      </c>
    </row>
    <row r="642" spans="2:12" x14ac:dyDescent="0.3">
      <c r="B642" t="str">
        <f>B641</f>
        <v>MarinusPortland</v>
      </c>
      <c r="C642" t="s">
        <v>64</v>
      </c>
      <c r="D642">
        <v>0.95</v>
      </c>
      <c r="E642" t="str">
        <f>E641</f>
        <v>Cal-37</v>
      </c>
      <c r="F642" t="s">
        <v>44</v>
      </c>
      <c r="G642" t="str">
        <f t="shared" ref="G642:G648" si="96">$X$26&amp;" (MWh)"</f>
        <v>Sold Swap NPV (MWh)</v>
      </c>
      <c r="H642" s="117" cm="1">
        <f t="array" ref="H642">INDEX($AB$27:$AF$34,K642,L642)</f>
        <v>-15.532041482654645</v>
      </c>
      <c r="K642">
        <f t="shared" si="80"/>
        <v>2</v>
      </c>
      <c r="L642">
        <f t="shared" si="91"/>
        <v>4</v>
      </c>
    </row>
    <row r="643" spans="2:12" x14ac:dyDescent="0.3">
      <c r="B643" t="str">
        <f t="shared" ref="B643:B656" si="97">B642</f>
        <v>MarinusPortland</v>
      </c>
      <c r="C643" t="s">
        <v>64</v>
      </c>
      <c r="D643">
        <v>0.75</v>
      </c>
      <c r="E643" t="str">
        <f t="shared" ref="E643:E648" si="98">E642</f>
        <v>Cal-37</v>
      </c>
      <c r="F643" t="s">
        <v>44</v>
      </c>
      <c r="G643" t="str">
        <f t="shared" si="96"/>
        <v>Sold Swap NPV (MWh)</v>
      </c>
      <c r="H643" s="117" cm="1">
        <f t="array" ref="H643">INDEX($AB$27:$AF$34,K643,L643)</f>
        <v>-6.4685152602250682</v>
      </c>
      <c r="K643">
        <f t="shared" si="80"/>
        <v>3</v>
      </c>
      <c r="L643">
        <f t="shared" si="91"/>
        <v>4</v>
      </c>
    </row>
    <row r="644" spans="2:12" x14ac:dyDescent="0.3">
      <c r="B644" t="str">
        <f t="shared" si="97"/>
        <v>MarinusPortland</v>
      </c>
      <c r="C644" t="s">
        <v>64</v>
      </c>
      <c r="D644">
        <v>0.5</v>
      </c>
      <c r="E644" t="str">
        <f t="shared" si="98"/>
        <v>Cal-37</v>
      </c>
      <c r="F644" t="s">
        <v>44</v>
      </c>
      <c r="G644" t="str">
        <f t="shared" si="96"/>
        <v>Sold Swap NPV (MWh)</v>
      </c>
      <c r="H644" s="117" cm="1">
        <f t="array" ref="H644">INDEX($AB$27:$AF$34,K644,L644)</f>
        <v>-7.0392115698523272E-2</v>
      </c>
      <c r="K644">
        <f t="shared" si="80"/>
        <v>4</v>
      </c>
      <c r="L644">
        <f t="shared" si="91"/>
        <v>4</v>
      </c>
    </row>
    <row r="645" spans="2:12" x14ac:dyDescent="0.3">
      <c r="B645" t="str">
        <f t="shared" si="97"/>
        <v>MarinusPortland</v>
      </c>
      <c r="C645" t="s">
        <v>64</v>
      </c>
      <c r="D645">
        <v>0.25</v>
      </c>
      <c r="E645" t="str">
        <f t="shared" si="98"/>
        <v>Cal-37</v>
      </c>
      <c r="F645" t="s">
        <v>44</v>
      </c>
      <c r="G645" t="str">
        <f t="shared" si="96"/>
        <v>Sold Swap NPV (MWh)</v>
      </c>
      <c r="H645" s="117" cm="1">
        <f t="array" ref="H645">INDEX($AB$27:$AF$34,K645,L645)</f>
        <v>6.3782817573892938</v>
      </c>
      <c r="K645">
        <f t="shared" si="80"/>
        <v>5</v>
      </c>
      <c r="L645">
        <f t="shared" si="91"/>
        <v>4</v>
      </c>
    </row>
    <row r="646" spans="2:12" x14ac:dyDescent="0.3">
      <c r="B646" t="str">
        <f t="shared" si="97"/>
        <v>MarinusPortland</v>
      </c>
      <c r="C646" t="s">
        <v>64</v>
      </c>
      <c r="D646">
        <v>0.05</v>
      </c>
      <c r="E646" t="str">
        <f t="shared" si="98"/>
        <v>Cal-37</v>
      </c>
      <c r="F646" t="s">
        <v>44</v>
      </c>
      <c r="G646" t="str">
        <f t="shared" si="96"/>
        <v>Sold Swap NPV (MWh)</v>
      </c>
      <c r="H646" s="117" cm="1">
        <f t="array" ref="H646">INDEX($AB$27:$AF$34,K646,L646)</f>
        <v>9.3082213679239203</v>
      </c>
      <c r="K646">
        <f t="shared" si="80"/>
        <v>6</v>
      </c>
      <c r="L646">
        <f t="shared" si="91"/>
        <v>4</v>
      </c>
    </row>
    <row r="647" spans="2:12" x14ac:dyDescent="0.3">
      <c r="B647" t="str">
        <f t="shared" si="97"/>
        <v>MarinusPortland</v>
      </c>
      <c r="C647" t="s">
        <v>64</v>
      </c>
      <c r="D647">
        <v>0</v>
      </c>
      <c r="E647" t="str">
        <f t="shared" si="98"/>
        <v>Cal-37</v>
      </c>
      <c r="F647" t="s">
        <v>44</v>
      </c>
      <c r="G647" t="str">
        <f t="shared" si="96"/>
        <v>Sold Swap NPV (MWh)</v>
      </c>
      <c r="H647" s="117" cm="1">
        <f t="array" ref="H647">INDEX($AB$27:$AF$34,K647,L647)</f>
        <v>12.808630138095261</v>
      </c>
      <c r="K647">
        <f t="shared" si="80"/>
        <v>7</v>
      </c>
      <c r="L647">
        <f t="shared" si="91"/>
        <v>4</v>
      </c>
    </row>
    <row r="648" spans="2:12" x14ac:dyDescent="0.3">
      <c r="B648" t="str">
        <f t="shared" si="97"/>
        <v>MarinusPortland</v>
      </c>
      <c r="C648" t="s">
        <v>64</v>
      </c>
      <c r="D648" t="s">
        <v>24</v>
      </c>
      <c r="E648" t="str">
        <f t="shared" si="98"/>
        <v>Cal-37</v>
      </c>
      <c r="F648" t="s">
        <v>44</v>
      </c>
      <c r="G648" t="str">
        <f t="shared" si="96"/>
        <v>Sold Swap NPV (MWh)</v>
      </c>
      <c r="H648" s="117" cm="1">
        <f t="array" ref="H648">INDEX($AB$27:$AF$34,K648,L648)</f>
        <v>-4.8333776901850742E-2</v>
      </c>
      <c r="K648">
        <f t="shared" si="80"/>
        <v>8</v>
      </c>
      <c r="L648">
        <f t="shared" si="91"/>
        <v>4</v>
      </c>
    </row>
    <row r="649" spans="2:12" x14ac:dyDescent="0.3">
      <c r="B649" t="str">
        <f t="shared" si="97"/>
        <v>MarinusPortland</v>
      </c>
      <c r="C649" t="s">
        <v>64</v>
      </c>
      <c r="D649">
        <v>1</v>
      </c>
      <c r="E649" t="s">
        <v>18</v>
      </c>
      <c r="F649" t="s">
        <v>44</v>
      </c>
      <c r="G649" t="str">
        <f>$Y$26&amp;" (MWh)"</f>
        <v>Merchant with PPA and Sold Swap NPV (MWh)</v>
      </c>
      <c r="H649" s="117" cm="1">
        <f t="array" ref="H649">INDEX($AB$27:$AF$34,K649,L649)</f>
        <v>7.923841542764535</v>
      </c>
      <c r="K649">
        <f t="shared" si="80"/>
        <v>1</v>
      </c>
      <c r="L649">
        <f t="shared" si="91"/>
        <v>5</v>
      </c>
    </row>
    <row r="650" spans="2:12" x14ac:dyDescent="0.3">
      <c r="B650" t="str">
        <f t="shared" si="97"/>
        <v>MarinusPortland</v>
      </c>
      <c r="C650" t="s">
        <v>64</v>
      </c>
      <c r="D650">
        <v>0.95</v>
      </c>
      <c r="E650" t="str">
        <f>E649</f>
        <v>Cal-37</v>
      </c>
      <c r="F650" t="s">
        <v>44</v>
      </c>
      <c r="G650" t="str">
        <f t="shared" ref="G650:G656" si="99">$Y$26&amp;" (MWh)"</f>
        <v>Merchant with PPA and Sold Swap NPV (MWh)</v>
      </c>
      <c r="H650" s="117" cm="1">
        <f t="array" ref="H650">INDEX($AB$27:$AF$34,K650,L650)</f>
        <v>3.840596616351498</v>
      </c>
      <c r="K650">
        <f t="shared" ref="K650:K656" si="100">K642</f>
        <v>2</v>
      </c>
      <c r="L650">
        <f t="shared" si="91"/>
        <v>5</v>
      </c>
    </row>
    <row r="651" spans="2:12" x14ac:dyDescent="0.3">
      <c r="B651" t="str">
        <f t="shared" si="97"/>
        <v>MarinusPortland</v>
      </c>
      <c r="C651" t="s">
        <v>64</v>
      </c>
      <c r="D651">
        <v>0.75</v>
      </c>
      <c r="E651" t="str">
        <f t="shared" ref="E651:E656" si="101">E650</f>
        <v>Cal-37</v>
      </c>
      <c r="F651" t="s">
        <v>44</v>
      </c>
      <c r="G651" t="str">
        <f t="shared" si="99"/>
        <v>Merchant with PPA and Sold Swap NPV (MWh)</v>
      </c>
      <c r="H651" s="117" cm="1">
        <f t="array" ref="H651">INDEX($AB$27:$AF$34,K651,L651)</f>
        <v>1.7786664409228723</v>
      </c>
      <c r="K651">
        <f t="shared" si="100"/>
        <v>3</v>
      </c>
      <c r="L651">
        <f t="shared" si="91"/>
        <v>5</v>
      </c>
    </row>
    <row r="652" spans="2:12" x14ac:dyDescent="0.3">
      <c r="B652" t="str">
        <f t="shared" si="97"/>
        <v>MarinusPortland</v>
      </c>
      <c r="C652" t="s">
        <v>64</v>
      </c>
      <c r="D652">
        <v>0.5</v>
      </c>
      <c r="E652" t="str">
        <f t="shared" si="101"/>
        <v>Cal-37</v>
      </c>
      <c r="F652" t="s">
        <v>44</v>
      </c>
      <c r="G652" t="str">
        <f t="shared" si="99"/>
        <v>Merchant with PPA and Sold Swap NPV (MWh)</v>
      </c>
      <c r="H652" s="117" cm="1">
        <f t="array" ref="H652">INDEX($AB$27:$AF$34,K652,L652)</f>
        <v>0.24414340264850878</v>
      </c>
      <c r="K652">
        <f t="shared" si="100"/>
        <v>4</v>
      </c>
      <c r="L652">
        <f t="shared" si="91"/>
        <v>5</v>
      </c>
    </row>
    <row r="653" spans="2:12" x14ac:dyDescent="0.3">
      <c r="B653" t="str">
        <f t="shared" si="97"/>
        <v>MarinusPortland</v>
      </c>
      <c r="C653" t="s">
        <v>64</v>
      </c>
      <c r="D653">
        <v>0.25</v>
      </c>
      <c r="E653" t="str">
        <f t="shared" si="101"/>
        <v>Cal-37</v>
      </c>
      <c r="F653" t="s">
        <v>44</v>
      </c>
      <c r="G653" t="str">
        <f t="shared" si="99"/>
        <v>Merchant with PPA and Sold Swap NPV (MWh)</v>
      </c>
      <c r="H653" s="117" cm="1">
        <f t="array" ref="H653">INDEX($AB$27:$AF$34,K653,L653)</f>
        <v>-1.1238039024511222</v>
      </c>
      <c r="K653">
        <f t="shared" si="100"/>
        <v>5</v>
      </c>
      <c r="L653">
        <f t="shared" si="91"/>
        <v>5</v>
      </c>
    </row>
    <row r="654" spans="2:12" x14ac:dyDescent="0.3">
      <c r="B654" t="str">
        <f t="shared" si="97"/>
        <v>MarinusPortland</v>
      </c>
      <c r="C654" t="s">
        <v>64</v>
      </c>
      <c r="D654">
        <v>0.05</v>
      </c>
      <c r="E654" t="str">
        <f t="shared" si="101"/>
        <v>Cal-37</v>
      </c>
      <c r="F654" t="s">
        <v>44</v>
      </c>
      <c r="G654" t="str">
        <f t="shared" si="99"/>
        <v>Merchant with PPA and Sold Swap NPV (MWh)</v>
      </c>
      <c r="H654" s="117" cm="1">
        <f t="array" ref="H654">INDEX($AB$27:$AF$34,K654,L654)</f>
        <v>-4.9664269848242508</v>
      </c>
      <c r="K654">
        <f t="shared" si="100"/>
        <v>6</v>
      </c>
      <c r="L654">
        <f t="shared" si="91"/>
        <v>5</v>
      </c>
    </row>
    <row r="655" spans="2:12" x14ac:dyDescent="0.3">
      <c r="B655" t="str">
        <f t="shared" si="97"/>
        <v>MarinusPortland</v>
      </c>
      <c r="C655" t="s">
        <v>64</v>
      </c>
      <c r="D655">
        <v>0</v>
      </c>
      <c r="E655" t="str">
        <f t="shared" si="101"/>
        <v>Cal-37</v>
      </c>
      <c r="F655" t="s">
        <v>44</v>
      </c>
      <c r="G655" t="str">
        <f t="shared" si="99"/>
        <v>Merchant with PPA and Sold Swap NPV (MWh)</v>
      </c>
      <c r="H655" s="117" cm="1">
        <f t="array" ref="H655">INDEX($AB$27:$AF$34,K655,L655)</f>
        <v>-9.4752806772722398</v>
      </c>
      <c r="K655">
        <f t="shared" si="100"/>
        <v>7</v>
      </c>
      <c r="L655">
        <f t="shared" si="91"/>
        <v>5</v>
      </c>
    </row>
    <row r="656" spans="2:12" x14ac:dyDescent="0.3">
      <c r="B656" t="str">
        <f t="shared" si="97"/>
        <v>MarinusPortland</v>
      </c>
      <c r="C656" t="s">
        <v>64</v>
      </c>
      <c r="D656" t="s">
        <v>24</v>
      </c>
      <c r="E656" t="str">
        <f t="shared" si="101"/>
        <v>Cal-37</v>
      </c>
      <c r="F656" t="s">
        <v>44</v>
      </c>
      <c r="G656" t="str">
        <f t="shared" si="99"/>
        <v>Merchant with PPA and Sold Swap NPV (MWh)</v>
      </c>
      <c r="H656" s="117" cm="1">
        <f t="array" ref="H656">INDEX($AB$27:$AF$34,K656,L656)</f>
        <v>0.45078247453974607</v>
      </c>
      <c r="K656">
        <f t="shared" si="100"/>
        <v>8</v>
      </c>
      <c r="L656">
        <f t="shared" si="9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Spot Prices</vt:lpstr>
      <vt:lpstr>WindFarmRevenue</vt:lpstr>
      <vt:lpstr>WindFarmLGCs</vt:lpstr>
      <vt:lpstr>WindFarmAvPrice</vt:lpstr>
      <vt:lpstr>PPAPrice</vt:lpstr>
      <vt:lpstr>PPAcfd</vt:lpstr>
      <vt:lpstr>SwapSold</vt:lpstr>
      <vt:lpstr>DualFuelCM</vt:lpstr>
      <vt:lpstr>DualFuelMWh</vt:lpstr>
      <vt:lpstr>2hBatteryCM</vt:lpstr>
      <vt:lpstr>2hBatteryMWh</vt:lpstr>
      <vt:lpstr>2hBatteryCycles</vt:lpstr>
      <vt:lpstr>Summary</vt:lpstr>
      <vt:lpstr>FinParameters</vt:lpstr>
      <vt:lpstr>Financials</vt:lpstr>
      <vt:lpstr>FinancialWalk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Daley</dc:creator>
  <cp:lastModifiedBy>Carl Daley</cp:lastModifiedBy>
  <dcterms:created xsi:type="dcterms:W3CDTF">2020-03-23T08:03:52Z</dcterms:created>
  <dcterms:modified xsi:type="dcterms:W3CDTF">2020-08-12T09:01:06Z</dcterms:modified>
</cp:coreProperties>
</file>