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7D086613-1306-4114-AC04-6DF80D09F5BE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O220" i="16"/>
  <c r="M72" i="16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O252" i="16" s="1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N249" i="16" s="1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N233" i="16" s="1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O204" i="16" s="1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N201" i="16" s="1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N180" i="16" s="1"/>
  <c r="D180" i="16"/>
  <c r="C180" i="16"/>
  <c r="B180" i="16"/>
  <c r="F179" i="16"/>
  <c r="E179" i="16"/>
  <c r="D179" i="16"/>
  <c r="C179" i="16"/>
  <c r="B179" i="16"/>
  <c r="F178" i="16"/>
  <c r="E178" i="16"/>
  <c r="N178" i="16" s="1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D169" i="16"/>
  <c r="C169" i="16"/>
  <c r="B169" i="16"/>
  <c r="F168" i="16"/>
  <c r="E168" i="16"/>
  <c r="D168" i="16"/>
  <c r="C168" i="16"/>
  <c r="B168" i="16"/>
  <c r="F167" i="16"/>
  <c r="E167" i="16"/>
  <c r="D167" i="16"/>
  <c r="C167" i="16"/>
  <c r="B167" i="16"/>
  <c r="F166" i="16"/>
  <c r="E166" i="16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N162" i="16" s="1"/>
  <c r="E162" i="16"/>
  <c r="D162" i="16"/>
  <c r="C162" i="16"/>
  <c r="B162" i="16"/>
  <c r="F161" i="16"/>
  <c r="E161" i="16"/>
  <c r="D161" i="16"/>
  <c r="C161" i="16"/>
  <c r="B161" i="16"/>
  <c r="F160" i="16"/>
  <c r="E160" i="16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N146" i="16" s="1"/>
  <c r="E146" i="16"/>
  <c r="D146" i="16"/>
  <c r="C146" i="16"/>
  <c r="B146" i="16"/>
  <c r="F145" i="16"/>
  <c r="E145" i="16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D133" i="16"/>
  <c r="C133" i="16"/>
  <c r="B133" i="16"/>
  <c r="F132" i="16"/>
  <c r="E132" i="16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D117" i="16"/>
  <c r="C117" i="16"/>
  <c r="B117" i="16"/>
  <c r="F116" i="16"/>
  <c r="E116" i="16"/>
  <c r="D116" i="16"/>
  <c r="C116" i="16"/>
  <c r="B116" i="16"/>
  <c r="F115" i="16"/>
  <c r="E115" i="16"/>
  <c r="D115" i="16"/>
  <c r="C115" i="16"/>
  <c r="B115" i="16"/>
  <c r="F114" i="16"/>
  <c r="E114" i="16"/>
  <c r="D114" i="16"/>
  <c r="C114" i="16"/>
  <c r="B114" i="16"/>
  <c r="F113" i="16"/>
  <c r="E113" i="16"/>
  <c r="D113" i="16"/>
  <c r="C113" i="16"/>
  <c r="B113" i="16"/>
  <c r="F112" i="16"/>
  <c r="E112" i="16"/>
  <c r="D112" i="16"/>
  <c r="C112" i="16"/>
  <c r="B112" i="16"/>
  <c r="F111" i="16"/>
  <c r="E111" i="16"/>
  <c r="D111" i="16"/>
  <c r="C111" i="16"/>
  <c r="B111" i="16"/>
  <c r="F110" i="16"/>
  <c r="E110" i="16"/>
  <c r="D110" i="16"/>
  <c r="C110" i="16"/>
  <c r="B110" i="16"/>
  <c r="F109" i="16"/>
  <c r="E109" i="16"/>
  <c r="D109" i="16"/>
  <c r="C109" i="16"/>
  <c r="B109" i="16"/>
  <c r="F108" i="16"/>
  <c r="E108" i="16"/>
  <c r="D108" i="16"/>
  <c r="C108" i="16"/>
  <c r="B108" i="16"/>
  <c r="F107" i="16"/>
  <c r="E107" i="16"/>
  <c r="D107" i="16"/>
  <c r="C107" i="16"/>
  <c r="B107" i="16"/>
  <c r="F106" i="16"/>
  <c r="E106" i="16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D103" i="16"/>
  <c r="C103" i="16"/>
  <c r="B103" i="16"/>
  <c r="F102" i="16"/>
  <c r="E102" i="16"/>
  <c r="D102" i="16"/>
  <c r="C102" i="16"/>
  <c r="B102" i="16"/>
  <c r="F101" i="16"/>
  <c r="E101" i="16"/>
  <c r="D101" i="16"/>
  <c r="C101" i="16"/>
  <c r="B101" i="16"/>
  <c r="F100" i="16"/>
  <c r="E100" i="16"/>
  <c r="D100" i="16"/>
  <c r="C100" i="16"/>
  <c r="B100" i="16"/>
  <c r="F99" i="16"/>
  <c r="E99" i="16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D96" i="16"/>
  <c r="C96" i="16"/>
  <c r="B96" i="16"/>
  <c r="F95" i="16"/>
  <c r="E95" i="16"/>
  <c r="D95" i="16"/>
  <c r="C95" i="16"/>
  <c r="B95" i="16"/>
  <c r="F94" i="16"/>
  <c r="E94" i="16"/>
  <c r="D94" i="16"/>
  <c r="C94" i="16"/>
  <c r="B94" i="16"/>
  <c r="F93" i="16"/>
  <c r="E93" i="16"/>
  <c r="D93" i="16"/>
  <c r="C93" i="16"/>
  <c r="B93" i="16"/>
  <c r="F92" i="16"/>
  <c r="E92" i="16"/>
  <c r="D92" i="16"/>
  <c r="C92" i="16"/>
  <c r="B92" i="16"/>
  <c r="F91" i="16"/>
  <c r="E91" i="16"/>
  <c r="D91" i="16"/>
  <c r="C91" i="16"/>
  <c r="B91" i="16"/>
  <c r="F90" i="16"/>
  <c r="E90" i="16"/>
  <c r="D90" i="16"/>
  <c r="C90" i="16"/>
  <c r="B90" i="16"/>
  <c r="F89" i="16"/>
  <c r="E89" i="16"/>
  <c r="D89" i="16"/>
  <c r="C89" i="16"/>
  <c r="B89" i="16"/>
  <c r="F88" i="16"/>
  <c r="E88" i="16"/>
  <c r="D88" i="16"/>
  <c r="C88" i="16"/>
  <c r="B88" i="16"/>
  <c r="F87" i="16"/>
  <c r="E87" i="16"/>
  <c r="D87" i="16"/>
  <c r="C87" i="16"/>
  <c r="B87" i="16"/>
  <c r="F86" i="16"/>
  <c r="E86" i="16"/>
  <c r="D86" i="16"/>
  <c r="C86" i="16"/>
  <c r="B86" i="16"/>
  <c r="F85" i="16"/>
  <c r="E85" i="16"/>
  <c r="D85" i="16"/>
  <c r="C85" i="16"/>
  <c r="B85" i="16"/>
  <c r="F84" i="16"/>
  <c r="E84" i="16"/>
  <c r="D84" i="16"/>
  <c r="C84" i="16"/>
  <c r="B84" i="16"/>
  <c r="F83" i="16"/>
  <c r="E83" i="16"/>
  <c r="D83" i="16"/>
  <c r="C83" i="16"/>
  <c r="B83" i="16"/>
  <c r="F82" i="16"/>
  <c r="E82" i="16"/>
  <c r="D82" i="16"/>
  <c r="C82" i="16"/>
  <c r="B82" i="16"/>
  <c r="F81" i="16"/>
  <c r="E81" i="16"/>
  <c r="D81" i="16"/>
  <c r="C81" i="16"/>
  <c r="B81" i="16"/>
  <c r="F80" i="16"/>
  <c r="E80" i="16"/>
  <c r="D80" i="16"/>
  <c r="C80" i="16"/>
  <c r="B80" i="16"/>
  <c r="F79" i="16"/>
  <c r="E79" i="16"/>
  <c r="D79" i="16"/>
  <c r="C79" i="16"/>
  <c r="B79" i="16"/>
  <c r="F78" i="16"/>
  <c r="E78" i="16"/>
  <c r="D78" i="16"/>
  <c r="C78" i="16"/>
  <c r="B78" i="16"/>
  <c r="F77" i="16"/>
  <c r="E77" i="16"/>
  <c r="D77" i="16"/>
  <c r="C77" i="16"/>
  <c r="B77" i="16"/>
  <c r="F76" i="16"/>
  <c r="E76" i="16"/>
  <c r="D76" i="16"/>
  <c r="C76" i="16"/>
  <c r="B76" i="16"/>
  <c r="F75" i="16"/>
  <c r="E75" i="16"/>
  <c r="D75" i="16"/>
  <c r="C75" i="16"/>
  <c r="B75" i="16"/>
  <c r="F74" i="16"/>
  <c r="E74" i="16"/>
  <c r="D74" i="16"/>
  <c r="C74" i="16"/>
  <c r="B74" i="16"/>
  <c r="F73" i="16"/>
  <c r="E73" i="16"/>
  <c r="D73" i="16"/>
  <c r="C73" i="16"/>
  <c r="B73" i="16"/>
  <c r="F72" i="16"/>
  <c r="E72" i="16"/>
  <c r="D72" i="16"/>
  <c r="C72" i="16"/>
  <c r="B72" i="16"/>
  <c r="F71" i="16"/>
  <c r="E71" i="16"/>
  <c r="D71" i="16"/>
  <c r="C71" i="16"/>
  <c r="B71" i="16"/>
  <c r="F70" i="16"/>
  <c r="E70" i="16"/>
  <c r="D70" i="16"/>
  <c r="C70" i="16"/>
  <c r="B70" i="16"/>
  <c r="F69" i="16"/>
  <c r="E69" i="16"/>
  <c r="D69" i="16"/>
  <c r="C69" i="16"/>
  <c r="B69" i="16"/>
  <c r="F68" i="16"/>
  <c r="E68" i="16"/>
  <c r="D68" i="16"/>
  <c r="C68" i="16"/>
  <c r="B68" i="16"/>
  <c r="F67" i="16"/>
  <c r="E67" i="16"/>
  <c r="D67" i="16"/>
  <c r="C67" i="16"/>
  <c r="B67" i="16"/>
  <c r="F66" i="16"/>
  <c r="E66" i="16"/>
  <c r="D66" i="16"/>
  <c r="C66" i="16"/>
  <c r="B66" i="16"/>
  <c r="F65" i="16"/>
  <c r="E65" i="16"/>
  <c r="D65" i="16"/>
  <c r="C65" i="16"/>
  <c r="B65" i="16"/>
  <c r="F64" i="16"/>
  <c r="E64" i="16"/>
  <c r="D64" i="16"/>
  <c r="C64" i="16"/>
  <c r="B64" i="16"/>
  <c r="F63" i="16"/>
  <c r="E63" i="16"/>
  <c r="D63" i="16"/>
  <c r="C63" i="16"/>
  <c r="B63" i="16"/>
  <c r="F62" i="16"/>
  <c r="E62" i="16"/>
  <c r="D62" i="16"/>
  <c r="C62" i="16"/>
  <c r="B62" i="16"/>
  <c r="F61" i="16"/>
  <c r="E61" i="16"/>
  <c r="D61" i="16"/>
  <c r="C61" i="16"/>
  <c r="B61" i="16"/>
  <c r="F60" i="16"/>
  <c r="E60" i="16"/>
  <c r="D60" i="16"/>
  <c r="C60" i="16"/>
  <c r="B60" i="16"/>
  <c r="F59" i="16"/>
  <c r="E59" i="16"/>
  <c r="D59" i="16"/>
  <c r="C59" i="16"/>
  <c r="B59" i="16"/>
  <c r="F58" i="16"/>
  <c r="E58" i="16"/>
  <c r="D58" i="16"/>
  <c r="C58" i="16"/>
  <c r="B58" i="16"/>
  <c r="F57" i="16"/>
  <c r="E57" i="16"/>
  <c r="D57" i="16"/>
  <c r="C57" i="16"/>
  <c r="B57" i="16"/>
  <c r="F56" i="16"/>
  <c r="E56" i="16"/>
  <c r="D56" i="16"/>
  <c r="C56" i="16"/>
  <c r="B56" i="16"/>
  <c r="F55" i="16"/>
  <c r="E55" i="16"/>
  <c r="D55" i="16"/>
  <c r="C55" i="16"/>
  <c r="B55" i="16"/>
  <c r="F54" i="16"/>
  <c r="E54" i="16"/>
  <c r="D54" i="16"/>
  <c r="C54" i="16"/>
  <c r="B54" i="16"/>
  <c r="F53" i="16"/>
  <c r="E53" i="16"/>
  <c r="D53" i="16"/>
  <c r="C53" i="16"/>
  <c r="B53" i="16"/>
  <c r="F52" i="16"/>
  <c r="E52" i="16"/>
  <c r="D52" i="16"/>
  <c r="C52" i="16"/>
  <c r="B52" i="16"/>
  <c r="F51" i="16"/>
  <c r="E51" i="16"/>
  <c r="D51" i="16"/>
  <c r="C51" i="16"/>
  <c r="B51" i="16"/>
  <c r="F50" i="16"/>
  <c r="E50" i="16"/>
  <c r="D50" i="16"/>
  <c r="C50" i="16"/>
  <c r="B50" i="16"/>
  <c r="F49" i="16"/>
  <c r="E49" i="16"/>
  <c r="D49" i="16"/>
  <c r="C49" i="16"/>
  <c r="B49" i="16"/>
  <c r="F48" i="16"/>
  <c r="E48" i="16"/>
  <c r="D48" i="16"/>
  <c r="C48" i="16"/>
  <c r="B48" i="16"/>
  <c r="F47" i="16"/>
  <c r="E47" i="16"/>
  <c r="D47" i="16"/>
  <c r="C47" i="16"/>
  <c r="B47" i="16"/>
  <c r="F46" i="16"/>
  <c r="N46" i="16" s="1"/>
  <c r="E46" i="16"/>
  <c r="D46" i="16"/>
  <c r="C46" i="16"/>
  <c r="B46" i="16"/>
  <c r="F45" i="16"/>
  <c r="E45" i="16"/>
  <c r="D45" i="16"/>
  <c r="C45" i="16"/>
  <c r="B45" i="16"/>
  <c r="F44" i="16"/>
  <c r="E44" i="16"/>
  <c r="D44" i="16"/>
  <c r="C44" i="16"/>
  <c r="B44" i="16"/>
  <c r="F43" i="16"/>
  <c r="E43" i="16"/>
  <c r="M43" i="16" s="1"/>
  <c r="D43" i="16"/>
  <c r="C43" i="16"/>
  <c r="B43" i="16"/>
  <c r="F42" i="16"/>
  <c r="E42" i="16"/>
  <c r="D42" i="16"/>
  <c r="C42" i="16"/>
  <c r="B42" i="16"/>
  <c r="F41" i="16"/>
  <c r="E41" i="16"/>
  <c r="D41" i="16"/>
  <c r="C41" i="16"/>
  <c r="B41" i="16"/>
  <c r="F40" i="16"/>
  <c r="E40" i="16"/>
  <c r="D40" i="16"/>
  <c r="C40" i="16"/>
  <c r="B40" i="16"/>
  <c r="F39" i="16"/>
  <c r="E39" i="16"/>
  <c r="D39" i="16"/>
  <c r="C39" i="16"/>
  <c r="B39" i="16"/>
  <c r="F38" i="16"/>
  <c r="E38" i="16"/>
  <c r="D38" i="16"/>
  <c r="C38" i="16"/>
  <c r="B38" i="16"/>
  <c r="F37" i="16"/>
  <c r="E37" i="16"/>
  <c r="D37" i="16"/>
  <c r="C37" i="16"/>
  <c r="B37" i="16"/>
  <c r="F36" i="16"/>
  <c r="E36" i="16"/>
  <c r="D36" i="16"/>
  <c r="C36" i="16"/>
  <c r="B36" i="16"/>
  <c r="F35" i="16"/>
  <c r="E35" i="16"/>
  <c r="D35" i="16"/>
  <c r="C35" i="16"/>
  <c r="B35" i="16"/>
  <c r="F34" i="16"/>
  <c r="E34" i="16"/>
  <c r="D34" i="16"/>
  <c r="C34" i="16"/>
  <c r="B34" i="16"/>
  <c r="F33" i="16"/>
  <c r="E33" i="16"/>
  <c r="D33" i="16"/>
  <c r="C33" i="16"/>
  <c r="B33" i="16"/>
  <c r="F32" i="16"/>
  <c r="E32" i="16"/>
  <c r="D32" i="16"/>
  <c r="C32" i="16"/>
  <c r="B32" i="16"/>
  <c r="F31" i="16"/>
  <c r="E31" i="16"/>
  <c r="D31" i="16"/>
  <c r="C31" i="16"/>
  <c r="B31" i="16"/>
  <c r="F30" i="16"/>
  <c r="E30" i="16"/>
  <c r="D30" i="16"/>
  <c r="C30" i="16"/>
  <c r="B30" i="16"/>
  <c r="F29" i="16"/>
  <c r="E29" i="16"/>
  <c r="D29" i="16"/>
  <c r="C29" i="16"/>
  <c r="B29" i="16"/>
  <c r="F28" i="16"/>
  <c r="E28" i="16"/>
  <c r="D28" i="16"/>
  <c r="C28" i="16"/>
  <c r="B28" i="16"/>
  <c r="F27" i="16"/>
  <c r="E27" i="16"/>
  <c r="D27" i="16"/>
  <c r="C27" i="16"/>
  <c r="B27" i="16"/>
  <c r="F26" i="16"/>
  <c r="E26" i="16"/>
  <c r="D26" i="16"/>
  <c r="C26" i="16"/>
  <c r="B26" i="16"/>
  <c r="F25" i="16"/>
  <c r="E25" i="16"/>
  <c r="D25" i="16"/>
  <c r="C25" i="16"/>
  <c r="B25" i="16"/>
  <c r="F24" i="16"/>
  <c r="E24" i="16"/>
  <c r="D24" i="16"/>
  <c r="C24" i="16"/>
  <c r="B24" i="16"/>
  <c r="F23" i="16"/>
  <c r="E23" i="16"/>
  <c r="D23" i="16"/>
  <c r="C23" i="16"/>
  <c r="B23" i="16"/>
  <c r="F22" i="16"/>
  <c r="E22" i="16"/>
  <c r="D22" i="16"/>
  <c r="C22" i="16"/>
  <c r="B22" i="16"/>
  <c r="F21" i="16"/>
  <c r="E21" i="16"/>
  <c r="D21" i="16"/>
  <c r="C21" i="16"/>
  <c r="B21" i="16"/>
  <c r="F20" i="16"/>
  <c r="E20" i="16"/>
  <c r="D20" i="16"/>
  <c r="C20" i="16"/>
  <c r="B20" i="16"/>
  <c r="F19" i="16"/>
  <c r="E19" i="16"/>
  <c r="D19" i="16"/>
  <c r="C19" i="16"/>
  <c r="B19" i="16"/>
  <c r="F18" i="16"/>
  <c r="E18" i="16"/>
  <c r="D18" i="16"/>
  <c r="C18" i="16"/>
  <c r="B18" i="16"/>
  <c r="F17" i="16"/>
  <c r="E17" i="16"/>
  <c r="D17" i="16"/>
  <c r="C17" i="16"/>
  <c r="B17" i="16"/>
  <c r="F16" i="16"/>
  <c r="E16" i="16"/>
  <c r="D16" i="16"/>
  <c r="C16" i="16"/>
  <c r="B16" i="16"/>
  <c r="F15" i="16"/>
  <c r="E15" i="16"/>
  <c r="D15" i="16"/>
  <c r="C15" i="16"/>
  <c r="B15" i="16"/>
  <c r="F14" i="16"/>
  <c r="E14" i="16"/>
  <c r="D14" i="16"/>
  <c r="C14" i="16"/>
  <c r="B14" i="16"/>
  <c r="F13" i="16"/>
  <c r="E13" i="16"/>
  <c r="D13" i="16"/>
  <c r="C13" i="16"/>
  <c r="B13" i="16"/>
  <c r="F12" i="16"/>
  <c r="E12" i="16"/>
  <c r="D12" i="16"/>
  <c r="C12" i="16"/>
  <c r="B12" i="16"/>
  <c r="F11" i="16"/>
  <c r="E11" i="16"/>
  <c r="D11" i="16"/>
  <c r="C11" i="16"/>
  <c r="B11" i="16"/>
  <c r="F10" i="16"/>
  <c r="E10" i="16"/>
  <c r="D10" i="16"/>
  <c r="C10" i="16"/>
  <c r="B10" i="16"/>
  <c r="F9" i="16"/>
  <c r="E9" i="16"/>
  <c r="D9" i="16"/>
  <c r="C9" i="16"/>
  <c r="B9" i="16"/>
  <c r="F8" i="16"/>
  <c r="E8" i="16"/>
  <c r="D8" i="16"/>
  <c r="C8" i="16"/>
  <c r="B8" i="16"/>
  <c r="F7" i="16"/>
  <c r="E7" i="16"/>
  <c r="D7" i="16"/>
  <c r="C7" i="16"/>
  <c r="B7" i="16"/>
  <c r="F6" i="16"/>
  <c r="E6" i="16"/>
  <c r="D6" i="16"/>
  <c r="C6" i="16"/>
  <c r="B6" i="16"/>
  <c r="F5" i="16"/>
  <c r="E5" i="16"/>
  <c r="D5" i="16"/>
  <c r="C5" i="16"/>
  <c r="B5" i="16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E650" i="17"/>
  <c r="E651" i="17" s="1"/>
  <c r="E652" i="17" s="1"/>
  <c r="E653" i="17" s="1"/>
  <c r="E654" i="17" s="1"/>
  <c r="E655" i="17" s="1"/>
  <c r="E656" i="17" s="1"/>
  <c r="G648" i="17"/>
  <c r="G647" i="17"/>
  <c r="G646" i="17"/>
  <c r="G645" i="17"/>
  <c r="G644" i="17"/>
  <c r="G643" i="17"/>
  <c r="G642" i="17"/>
  <c r="E642" i="17"/>
  <c r="E643" i="17" s="1"/>
  <c r="E644" i="17" s="1"/>
  <c r="E645" i="17" s="1"/>
  <c r="E646" i="17" s="1"/>
  <c r="E647" i="17" s="1"/>
  <c r="E648" i="17" s="1"/>
  <c r="G641" i="17"/>
  <c r="L632" i="17"/>
  <c r="L640" i="17" s="1"/>
  <c r="L648" i="17" s="1"/>
  <c r="L656" i="17" s="1"/>
  <c r="G632" i="17"/>
  <c r="L631" i="17"/>
  <c r="L639" i="17" s="1"/>
  <c r="L647" i="17" s="1"/>
  <c r="L655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E627" i="17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6" i="17"/>
  <c r="L634" i="17" s="1"/>
  <c r="L642" i="17" s="1"/>
  <c r="L650" i="17" s="1"/>
  <c r="G626" i="17"/>
  <c r="E626" i="17"/>
  <c r="L625" i="17"/>
  <c r="L633" i="17" s="1"/>
  <c r="L641" i="17" s="1"/>
  <c r="L649" i="17" s="1"/>
  <c r="G625" i="17"/>
  <c r="K616" i="17"/>
  <c r="E610" i="17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G608" i="17"/>
  <c r="G607" i="17"/>
  <c r="G606" i="17"/>
  <c r="G605" i="17"/>
  <c r="G604" i="17"/>
  <c r="G603" i="17"/>
  <c r="G602" i="17"/>
  <c r="E602" i="17"/>
  <c r="E603" i="17" s="1"/>
  <c r="E604" i="17" s="1"/>
  <c r="E605" i="17" s="1"/>
  <c r="E606" i="17" s="1"/>
  <c r="E607" i="17" s="1"/>
  <c r="E608" i="17" s="1"/>
  <c r="G601" i="17"/>
  <c r="L592" i="17"/>
  <c r="L600" i="17" s="1"/>
  <c r="L608" i="17" s="1"/>
  <c r="L616" i="17" s="1"/>
  <c r="K592" i="17"/>
  <c r="K600" i="17" s="1"/>
  <c r="K608" i="17" s="1"/>
  <c r="G592" i="17"/>
  <c r="L591" i="17"/>
  <c r="L599" i="17" s="1"/>
  <c r="L607" i="17" s="1"/>
  <c r="L615" i="17" s="1"/>
  <c r="K591" i="17"/>
  <c r="K599" i="17" s="1"/>
  <c r="G591" i="17"/>
  <c r="L590" i="17"/>
  <c r="L598" i="17" s="1"/>
  <c r="L606" i="17" s="1"/>
  <c r="L614" i="17" s="1"/>
  <c r="K590" i="17"/>
  <c r="K598" i="17" s="1"/>
  <c r="G590" i="17"/>
  <c r="E590" i="17"/>
  <c r="E591" i="17" s="1"/>
  <c r="E592" i="17" s="1"/>
  <c r="E593" i="17" s="1"/>
  <c r="E594" i="17" s="1"/>
  <c r="E595" i="17" s="1"/>
  <c r="E596" i="17" s="1"/>
  <c r="E597" i="17" s="1"/>
  <c r="E598" i="17" s="1"/>
  <c r="E599" i="17" s="1"/>
  <c r="E600" i="17" s="1"/>
  <c r="L589" i="17"/>
  <c r="L597" i="17" s="1"/>
  <c r="L605" i="17" s="1"/>
  <c r="L613" i="17" s="1"/>
  <c r="K589" i="17"/>
  <c r="K597" i="17" s="1"/>
  <c r="G589" i="17"/>
  <c r="L588" i="17"/>
  <c r="K588" i="17"/>
  <c r="K596" i="17" s="1"/>
  <c r="G588" i="17"/>
  <c r="L587" i="17"/>
  <c r="L595" i="17" s="1"/>
  <c r="L603" i="17" s="1"/>
  <c r="L611" i="17" s="1"/>
  <c r="K587" i="17"/>
  <c r="G587" i="17"/>
  <c r="L586" i="17"/>
  <c r="L594" i="17" s="1"/>
  <c r="L602" i="17" s="1"/>
  <c r="L610" i="17" s="1"/>
  <c r="K586" i="17"/>
  <c r="G586" i="17"/>
  <c r="E586" i="17"/>
  <c r="E587" i="17" s="1"/>
  <c r="E588" i="17" s="1"/>
  <c r="E589" i="17" s="1"/>
  <c r="L585" i="17"/>
  <c r="L593" i="17" s="1"/>
  <c r="L601" i="17" s="1"/>
  <c r="L609" i="17" s="1"/>
  <c r="K585" i="17"/>
  <c r="K593" i="17" s="1"/>
  <c r="K601" i="17" s="1"/>
  <c r="G585" i="17"/>
  <c r="E560" i="17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56" i="17"/>
  <c r="E557" i="17" s="1"/>
  <c r="E558" i="17" s="1"/>
  <c r="E559" i="17" s="1"/>
  <c r="E534" i="17"/>
  <c r="E535" i="17" s="1"/>
  <c r="E536" i="17" s="1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14" i="17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513" i="17"/>
  <c r="E512" i="17"/>
  <c r="E490" i="17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68" i="17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46" i="17"/>
  <c r="E447" i="17" s="1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28" i="17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4" i="17"/>
  <c r="E425" i="17" s="1"/>
  <c r="E426" i="17" s="1"/>
  <c r="E427" i="17" s="1"/>
  <c r="E403" i="17"/>
  <c r="E404" i="17" s="1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02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E380" i="17"/>
  <c r="E381" i="17" s="1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E360" i="17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9" i="17"/>
  <c r="E359" i="17"/>
  <c r="G358" i="17"/>
  <c r="E358" i="17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E341" i="17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40" i="17"/>
  <c r="G339" i="17"/>
  <c r="G338" i="17"/>
  <c r="G337" i="17"/>
  <c r="E337" i="17"/>
  <c r="E338" i="17" s="1"/>
  <c r="E339" i="17" s="1"/>
  <c r="E340" i="17" s="1"/>
  <c r="G336" i="17"/>
  <c r="E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E314" i="17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3" i="17"/>
  <c r="E295" i="17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92" i="17"/>
  <c r="E293" i="17" s="1"/>
  <c r="E294" i="17" s="1"/>
  <c r="E273" i="17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72" i="17"/>
  <c r="E271" i="17"/>
  <c r="E270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E250" i="17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9" i="17"/>
  <c r="E249" i="17"/>
  <c r="G248" i="17"/>
  <c r="E248" i="17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E226" i="17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E208" i="17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7" i="17"/>
  <c r="E207" i="17"/>
  <c r="G206" i="17"/>
  <c r="E206" i="17"/>
  <c r="G205" i="17"/>
  <c r="E205" i="17"/>
  <c r="G204" i="17"/>
  <c r="E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E182" i="17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E162" i="17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61" i="17"/>
  <c r="E161" i="17"/>
  <c r="G160" i="17"/>
  <c r="E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E138" i="17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E118" i="17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7" i="17"/>
  <c r="E117" i="17"/>
  <c r="G116" i="17"/>
  <c r="E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E94" i="17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E74" i="17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3" i="17"/>
  <c r="E73" i="17"/>
  <c r="G72" i="17"/>
  <c r="E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E54" i="17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53" i="17"/>
  <c r="G52" i="17"/>
  <c r="G51" i="17"/>
  <c r="E51" i="17"/>
  <c r="E52" i="17" s="1"/>
  <c r="E53" i="17" s="1"/>
  <c r="G50" i="17"/>
  <c r="E50" i="17"/>
  <c r="G49" i="17"/>
  <c r="E28" i="17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AF26" i="17"/>
  <c r="AD26" i="17"/>
  <c r="AB26" i="17"/>
  <c r="Y26" i="17"/>
  <c r="W26" i="17"/>
  <c r="U26" i="17"/>
  <c r="AC15" i="17"/>
  <c r="Y15" i="17"/>
  <c r="X15" i="17"/>
  <c r="AE15" i="17" s="1"/>
  <c r="W15" i="17"/>
  <c r="V15" i="17"/>
  <c r="U15" i="17"/>
  <c r="AP259" i="16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AF4" i="17"/>
  <c r="AD4" i="17"/>
  <c r="AB4" i="17"/>
  <c r="Y4" i="17"/>
  <c r="W4" i="17"/>
  <c r="U4" i="17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I25" i="15"/>
  <c r="AE24" i="15"/>
  <c r="AE25" i="15" s="1"/>
  <c r="X24" i="15"/>
  <c r="X25" i="15" s="1"/>
  <c r="I24" i="15"/>
  <c r="H24" i="15"/>
  <c r="I21" i="15"/>
  <c r="I37" i="15" s="1"/>
  <c r="I20" i="15"/>
  <c r="I36" i="15" s="1"/>
  <c r="AG18" i="15"/>
  <c r="AG34" i="15" s="1"/>
  <c r="I17" i="15"/>
  <c r="I16" i="15"/>
  <c r="I15" i="15"/>
  <c r="I31" i="15" s="1"/>
  <c r="I14" i="15"/>
  <c r="R11" i="15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S10" i="15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10" i="15"/>
  <c r="AA9" i="15"/>
  <c r="S9" i="15"/>
  <c r="R9" i="15"/>
  <c r="L9" i="15"/>
  <c r="L25" i="15" s="1"/>
  <c r="J9" i="15"/>
  <c r="J10" i="15" s="1"/>
  <c r="H9" i="15"/>
  <c r="AU8" i="15"/>
  <c r="AU9" i="15" s="1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T8" i="15"/>
  <c r="AT9" i="15" s="1"/>
  <c r="AP8" i="15"/>
  <c r="AG8" i="15"/>
  <c r="AG24" i="15" s="1"/>
  <c r="AE8" i="15"/>
  <c r="AE9" i="15" s="1"/>
  <c r="AA8" i="15"/>
  <c r="X8" i="15"/>
  <c r="X9" i="15" s="1"/>
  <c r="X10" i="15" s="1"/>
  <c r="Q8" i="15"/>
  <c r="L8" i="15"/>
  <c r="L24" i="15" s="1"/>
  <c r="J8" i="15"/>
  <c r="J24" i="15" s="1"/>
  <c r="F8" i="15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AP6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O23" i="16" l="1"/>
  <c r="N23" i="16"/>
  <c r="M23" i="16"/>
  <c r="O63" i="16"/>
  <c r="N63" i="16"/>
  <c r="M63" i="16"/>
  <c r="O87" i="16"/>
  <c r="N87" i="16"/>
  <c r="M87" i="16"/>
  <c r="O95" i="16"/>
  <c r="N95" i="16"/>
  <c r="M95" i="16"/>
  <c r="O119" i="16"/>
  <c r="N119" i="16"/>
  <c r="M119" i="16"/>
  <c r="O127" i="16"/>
  <c r="N127" i="16"/>
  <c r="M127" i="16"/>
  <c r="O159" i="16"/>
  <c r="N159" i="16"/>
  <c r="M159" i="16"/>
  <c r="O167" i="16"/>
  <c r="N167" i="16"/>
  <c r="M167" i="16"/>
  <c r="O175" i="16"/>
  <c r="N175" i="16"/>
  <c r="M175" i="16"/>
  <c r="O6" i="16"/>
  <c r="N6" i="16"/>
  <c r="M6" i="16"/>
  <c r="O14" i="16"/>
  <c r="M14" i="16"/>
  <c r="O22" i="16"/>
  <c r="N22" i="16"/>
  <c r="M22" i="16"/>
  <c r="O30" i="16"/>
  <c r="M30" i="16"/>
  <c r="O38" i="16"/>
  <c r="N38" i="16"/>
  <c r="M38" i="16"/>
  <c r="O46" i="16"/>
  <c r="M46" i="16"/>
  <c r="O54" i="16"/>
  <c r="N54" i="16"/>
  <c r="M54" i="16"/>
  <c r="O62" i="16"/>
  <c r="M62" i="16"/>
  <c r="O70" i="16"/>
  <c r="N70" i="16"/>
  <c r="M70" i="16"/>
  <c r="O78" i="16"/>
  <c r="M78" i="16"/>
  <c r="O86" i="16"/>
  <c r="N86" i="16"/>
  <c r="M86" i="16"/>
  <c r="O94" i="16"/>
  <c r="M94" i="16"/>
  <c r="O102" i="16"/>
  <c r="N102" i="16"/>
  <c r="M102" i="16"/>
  <c r="M110" i="16"/>
  <c r="O110" i="16"/>
  <c r="N110" i="16"/>
  <c r="M118" i="16"/>
  <c r="O118" i="16"/>
  <c r="N118" i="16"/>
  <c r="M126" i="16"/>
  <c r="O126" i="16"/>
  <c r="N126" i="16"/>
  <c r="M134" i="16"/>
  <c r="O134" i="16"/>
  <c r="N134" i="16"/>
  <c r="M142" i="16"/>
  <c r="O142" i="16"/>
  <c r="N142" i="16"/>
  <c r="M150" i="16"/>
  <c r="O150" i="16"/>
  <c r="N150" i="16"/>
  <c r="M158" i="16"/>
  <c r="O158" i="16"/>
  <c r="N158" i="16"/>
  <c r="M166" i="16"/>
  <c r="O166" i="16"/>
  <c r="N166" i="16"/>
  <c r="M174" i="16"/>
  <c r="O174" i="16"/>
  <c r="N174" i="16"/>
  <c r="N182" i="16"/>
  <c r="N94" i="16"/>
  <c r="O27" i="16"/>
  <c r="N27" i="16"/>
  <c r="O43" i="16"/>
  <c r="N43" i="16"/>
  <c r="O67" i="16"/>
  <c r="N67" i="16"/>
  <c r="M67" i="16"/>
  <c r="O75" i="16"/>
  <c r="N75" i="16"/>
  <c r="O91" i="16"/>
  <c r="N91" i="16"/>
  <c r="O99" i="16"/>
  <c r="N99" i="16"/>
  <c r="M99" i="16"/>
  <c r="O107" i="16"/>
  <c r="N107" i="16"/>
  <c r="M107" i="16"/>
  <c r="O123" i="16"/>
  <c r="N123" i="16"/>
  <c r="M123" i="16"/>
  <c r="O131" i="16"/>
  <c r="N131" i="16"/>
  <c r="M131" i="16"/>
  <c r="O139" i="16"/>
  <c r="N139" i="16"/>
  <c r="M139" i="16"/>
  <c r="O147" i="16"/>
  <c r="N147" i="16"/>
  <c r="M147" i="16"/>
  <c r="O171" i="16"/>
  <c r="N171" i="16"/>
  <c r="M171" i="16"/>
  <c r="M195" i="16"/>
  <c r="O195" i="16"/>
  <c r="N195" i="16"/>
  <c r="M219" i="16"/>
  <c r="O219" i="16"/>
  <c r="N219" i="16"/>
  <c r="M243" i="16"/>
  <c r="O243" i="16"/>
  <c r="N243" i="16"/>
  <c r="M259" i="16"/>
  <c r="O259" i="16"/>
  <c r="N259" i="16"/>
  <c r="K569" i="17"/>
  <c r="K561" i="17"/>
  <c r="K553" i="17"/>
  <c r="K545" i="17"/>
  <c r="K537" i="17"/>
  <c r="K529" i="17"/>
  <c r="K576" i="17"/>
  <c r="K568" i="17"/>
  <c r="K560" i="17"/>
  <c r="K552" i="17"/>
  <c r="K544" i="17"/>
  <c r="K536" i="17"/>
  <c r="K528" i="17"/>
  <c r="K575" i="17"/>
  <c r="K567" i="17"/>
  <c r="K559" i="17"/>
  <c r="K551" i="17"/>
  <c r="K543" i="17"/>
  <c r="K535" i="17"/>
  <c r="K527" i="17"/>
  <c r="K519" i="17"/>
  <c r="K511" i="17"/>
  <c r="K503" i="17"/>
  <c r="K495" i="17"/>
  <c r="K487" i="17"/>
  <c r="K479" i="17"/>
  <c r="K574" i="17"/>
  <c r="K566" i="17"/>
  <c r="K558" i="17"/>
  <c r="K550" i="17"/>
  <c r="K542" i="17"/>
  <c r="K534" i="17"/>
  <c r="K526" i="17"/>
  <c r="K518" i="17"/>
  <c r="K510" i="17"/>
  <c r="K502" i="17"/>
  <c r="K494" i="17"/>
  <c r="K486" i="17"/>
  <c r="K478" i="17"/>
  <c r="K573" i="17"/>
  <c r="K565" i="17"/>
  <c r="K557" i="17"/>
  <c r="K549" i="17"/>
  <c r="K541" i="17"/>
  <c r="K533" i="17"/>
  <c r="K572" i="17"/>
  <c r="K564" i="17"/>
  <c r="K556" i="17"/>
  <c r="K548" i="17"/>
  <c r="K540" i="17"/>
  <c r="K532" i="17"/>
  <c r="K524" i="17"/>
  <c r="K571" i="17"/>
  <c r="K563" i="17"/>
  <c r="K555" i="17"/>
  <c r="K547" i="17"/>
  <c r="K539" i="17"/>
  <c r="K531" i="17"/>
  <c r="K523" i="17"/>
  <c r="K515" i="17"/>
  <c r="K507" i="17"/>
  <c r="K499" i="17"/>
  <c r="K491" i="17"/>
  <c r="K483" i="17"/>
  <c r="K475" i="17"/>
  <c r="K562" i="17"/>
  <c r="K520" i="17"/>
  <c r="K506" i="17"/>
  <c r="K493" i="17"/>
  <c r="K481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94" i="17"/>
  <c r="K86" i="17"/>
  <c r="K78" i="17"/>
  <c r="K70" i="17"/>
  <c r="K62" i="17"/>
  <c r="K54" i="17"/>
  <c r="K46" i="17"/>
  <c r="K38" i="17"/>
  <c r="K554" i="17"/>
  <c r="K517" i="17"/>
  <c r="K505" i="17"/>
  <c r="K492" i="17"/>
  <c r="K480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117" i="17"/>
  <c r="K109" i="17"/>
  <c r="K101" i="17"/>
  <c r="K93" i="17"/>
  <c r="K85" i="17"/>
  <c r="K77" i="17"/>
  <c r="K69" i="17"/>
  <c r="K61" i="17"/>
  <c r="K53" i="17"/>
  <c r="K45" i="17"/>
  <c r="K37" i="17"/>
  <c r="K29" i="17"/>
  <c r="K21" i="17"/>
  <c r="K13" i="17"/>
  <c r="K5" i="17"/>
  <c r="K546" i="17"/>
  <c r="K516" i="17"/>
  <c r="K504" i="17"/>
  <c r="K490" i="17"/>
  <c r="K477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124" i="17"/>
  <c r="K116" i="17"/>
  <c r="K108" i="17"/>
  <c r="K100" i="17"/>
  <c r="K92" i="17"/>
  <c r="K84" i="17"/>
  <c r="K76" i="17"/>
  <c r="K68" i="17"/>
  <c r="K60" i="17"/>
  <c r="K52" i="17"/>
  <c r="K44" i="17"/>
  <c r="K36" i="17"/>
  <c r="K28" i="17"/>
  <c r="K20" i="17"/>
  <c r="K12" i="17"/>
  <c r="K538" i="17"/>
  <c r="K514" i="17"/>
  <c r="K501" i="17"/>
  <c r="K489" i="17"/>
  <c r="K476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115" i="17"/>
  <c r="K107" i="17"/>
  <c r="K99" i="17"/>
  <c r="K91" i="17"/>
  <c r="K83" i="17"/>
  <c r="K75" i="17"/>
  <c r="K67" i="17"/>
  <c r="K59" i="17"/>
  <c r="K51" i="17"/>
  <c r="K43" i="17"/>
  <c r="K35" i="17"/>
  <c r="K27" i="17"/>
  <c r="K19" i="17"/>
  <c r="K11" i="17"/>
  <c r="K530" i="17"/>
  <c r="K513" i="17"/>
  <c r="K500" i="17"/>
  <c r="K488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98" i="17"/>
  <c r="K90" i="17"/>
  <c r="K82" i="17"/>
  <c r="K74" i="17"/>
  <c r="K66" i="17"/>
  <c r="K58" i="17"/>
  <c r="K50" i="17"/>
  <c r="K42" i="17"/>
  <c r="K525" i="17"/>
  <c r="K512" i="17"/>
  <c r="K498" i="17"/>
  <c r="K485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105" i="17"/>
  <c r="K97" i="17"/>
  <c r="K89" i="17"/>
  <c r="K81" i="17"/>
  <c r="K73" i="17"/>
  <c r="K65" i="17"/>
  <c r="K57" i="17"/>
  <c r="K49" i="17"/>
  <c r="K41" i="17"/>
  <c r="K33" i="17"/>
  <c r="K25" i="17"/>
  <c r="K17" i="17"/>
  <c r="K9" i="17"/>
  <c r="K522" i="17"/>
  <c r="K509" i="17"/>
  <c r="K497" i="17"/>
  <c r="K484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120" i="17"/>
  <c r="K112" i="17"/>
  <c r="K104" i="17"/>
  <c r="K96" i="17"/>
  <c r="K88" i="17"/>
  <c r="K80" i="17"/>
  <c r="K72" i="17"/>
  <c r="K64" i="17"/>
  <c r="K56" i="17"/>
  <c r="K48" i="17"/>
  <c r="K40" i="17"/>
  <c r="K32" i="17"/>
  <c r="K24" i="17"/>
  <c r="K16" i="17"/>
  <c r="K8" i="17"/>
  <c r="K570" i="17"/>
  <c r="K447" i="17"/>
  <c r="K383" i="17"/>
  <c r="K319" i="17"/>
  <c r="K255" i="17"/>
  <c r="K191" i="17"/>
  <c r="K127" i="17"/>
  <c r="K63" i="17"/>
  <c r="K23" i="17"/>
  <c r="K521" i="17"/>
  <c r="K439" i="17"/>
  <c r="K375" i="17"/>
  <c r="K311" i="17"/>
  <c r="K247" i="17"/>
  <c r="K183" i="17"/>
  <c r="K119" i="17"/>
  <c r="K55" i="17"/>
  <c r="K22" i="17"/>
  <c r="K508" i="17"/>
  <c r="K431" i="17"/>
  <c r="K367" i="17"/>
  <c r="K303" i="17"/>
  <c r="K239" i="17"/>
  <c r="K175" i="17"/>
  <c r="K111" i="17"/>
  <c r="K47" i="17"/>
  <c r="K18" i="17"/>
  <c r="K496" i="17"/>
  <c r="K423" i="17"/>
  <c r="K359" i="17"/>
  <c r="K295" i="17"/>
  <c r="K231" i="17"/>
  <c r="K167" i="17"/>
  <c r="K103" i="17"/>
  <c r="K39" i="17"/>
  <c r="K15" i="17"/>
  <c r="K482" i="17"/>
  <c r="K415" i="17"/>
  <c r="K351" i="17"/>
  <c r="K287" i="17"/>
  <c r="K223" i="17"/>
  <c r="K159" i="17"/>
  <c r="K95" i="17"/>
  <c r="K34" i="17"/>
  <c r="K14" i="17"/>
  <c r="K471" i="17"/>
  <c r="K407" i="17"/>
  <c r="K343" i="17"/>
  <c r="K279" i="17"/>
  <c r="K215" i="17"/>
  <c r="K151" i="17"/>
  <c r="K87" i="17"/>
  <c r="K31" i="17"/>
  <c r="K10" i="17"/>
  <c r="K455" i="17"/>
  <c r="K391" i="17"/>
  <c r="K327" i="17"/>
  <c r="K263" i="17"/>
  <c r="K199" i="17"/>
  <c r="K135" i="17"/>
  <c r="K71" i="17"/>
  <c r="K26" i="17"/>
  <c r="K6" i="17"/>
  <c r="K30" i="17"/>
  <c r="K463" i="17"/>
  <c r="K7" i="17"/>
  <c r="K399" i="17"/>
  <c r="K335" i="17"/>
  <c r="K271" i="17"/>
  <c r="K207" i="17"/>
  <c r="K143" i="17"/>
  <c r="K79" i="17"/>
  <c r="O8" i="16"/>
  <c r="N8" i="16"/>
  <c r="O16" i="16"/>
  <c r="N16" i="16"/>
  <c r="M16" i="16"/>
  <c r="O24" i="16"/>
  <c r="N24" i="16"/>
  <c r="O32" i="16"/>
  <c r="N32" i="16"/>
  <c r="M32" i="16"/>
  <c r="O40" i="16"/>
  <c r="N40" i="16"/>
  <c r="O48" i="16"/>
  <c r="N48" i="16"/>
  <c r="M48" i="16"/>
  <c r="O56" i="16"/>
  <c r="N56" i="16"/>
  <c r="O64" i="16"/>
  <c r="N64" i="16"/>
  <c r="M64" i="16"/>
  <c r="O72" i="16"/>
  <c r="N72" i="16"/>
  <c r="O80" i="16"/>
  <c r="N80" i="16"/>
  <c r="M80" i="16"/>
  <c r="O88" i="16"/>
  <c r="N88" i="16"/>
  <c r="O96" i="16"/>
  <c r="N96" i="16"/>
  <c r="M96" i="16"/>
  <c r="M104" i="16"/>
  <c r="O104" i="16"/>
  <c r="M112" i="16"/>
  <c r="O112" i="16"/>
  <c r="N112" i="16"/>
  <c r="M120" i="16"/>
  <c r="O120" i="16"/>
  <c r="M128" i="16"/>
  <c r="O128" i="16"/>
  <c r="N128" i="16"/>
  <c r="M136" i="16"/>
  <c r="O136" i="16"/>
  <c r="N136" i="16"/>
  <c r="M144" i="16"/>
  <c r="O144" i="16"/>
  <c r="N144" i="16"/>
  <c r="M152" i="16"/>
  <c r="O152" i="16"/>
  <c r="N152" i="16"/>
  <c r="M160" i="16"/>
  <c r="O160" i="16"/>
  <c r="N160" i="16"/>
  <c r="M168" i="16"/>
  <c r="O168" i="16"/>
  <c r="N168" i="16"/>
  <c r="M176" i="16"/>
  <c r="O176" i="16"/>
  <c r="N176" i="16"/>
  <c r="M184" i="16"/>
  <c r="O184" i="16"/>
  <c r="N184" i="16"/>
  <c r="M192" i="16"/>
  <c r="O192" i="16"/>
  <c r="N192" i="16"/>
  <c r="N200" i="16"/>
  <c r="M200" i="16"/>
  <c r="O200" i="16"/>
  <c r="N208" i="16"/>
  <c r="M208" i="16"/>
  <c r="O208" i="16"/>
  <c r="N216" i="16"/>
  <c r="M216" i="16"/>
  <c r="O216" i="16"/>
  <c r="N224" i="16"/>
  <c r="M224" i="16"/>
  <c r="O224" i="16"/>
  <c r="N232" i="16"/>
  <c r="M232" i="16"/>
  <c r="O232" i="16"/>
  <c r="N240" i="16"/>
  <c r="M240" i="16"/>
  <c r="O240" i="16"/>
  <c r="N248" i="16"/>
  <c r="M248" i="16"/>
  <c r="O248" i="16"/>
  <c r="N256" i="16"/>
  <c r="M256" i="16"/>
  <c r="O256" i="16"/>
  <c r="M24" i="16"/>
  <c r="M75" i="16"/>
  <c r="O19" i="16"/>
  <c r="N19" i="16"/>
  <c r="M19" i="16"/>
  <c r="O35" i="16"/>
  <c r="N35" i="16"/>
  <c r="M35" i="16"/>
  <c r="O51" i="16"/>
  <c r="N51" i="16"/>
  <c r="M51" i="16"/>
  <c r="O59" i="16"/>
  <c r="N59" i="16"/>
  <c r="O155" i="16"/>
  <c r="N155" i="16"/>
  <c r="M155" i="16"/>
  <c r="O179" i="16"/>
  <c r="N179" i="16"/>
  <c r="M179" i="16"/>
  <c r="M203" i="16"/>
  <c r="O203" i="16"/>
  <c r="N203" i="16"/>
  <c r="M211" i="16"/>
  <c r="O211" i="16"/>
  <c r="N211" i="16"/>
  <c r="M235" i="16"/>
  <c r="O235" i="16"/>
  <c r="N235" i="16"/>
  <c r="O5" i="16"/>
  <c r="N5" i="16"/>
  <c r="M5" i="16"/>
  <c r="O13" i="16"/>
  <c r="N13" i="16"/>
  <c r="M13" i="16"/>
  <c r="O21" i="16"/>
  <c r="N21" i="16"/>
  <c r="M21" i="16"/>
  <c r="O29" i="16"/>
  <c r="N29" i="16"/>
  <c r="M29" i="16"/>
  <c r="O37" i="16"/>
  <c r="N37" i="16"/>
  <c r="M37" i="16"/>
  <c r="O45" i="16"/>
  <c r="N45" i="16"/>
  <c r="M45" i="16"/>
  <c r="O53" i="16"/>
  <c r="N53" i="16"/>
  <c r="M53" i="16"/>
  <c r="O61" i="16"/>
  <c r="N61" i="16"/>
  <c r="M61" i="16"/>
  <c r="O69" i="16"/>
  <c r="N69" i="16"/>
  <c r="M69" i="16"/>
  <c r="O77" i="16"/>
  <c r="N77" i="16"/>
  <c r="M77" i="16"/>
  <c r="O85" i="16"/>
  <c r="N85" i="16"/>
  <c r="M85" i="16"/>
  <c r="O93" i="16"/>
  <c r="N93" i="16"/>
  <c r="M93" i="16"/>
  <c r="O101" i="16"/>
  <c r="N101" i="16"/>
  <c r="M101" i="16"/>
  <c r="O109" i="16"/>
  <c r="N109" i="16"/>
  <c r="M109" i="16"/>
  <c r="O117" i="16"/>
  <c r="N117" i="16"/>
  <c r="M117" i="16"/>
  <c r="O125" i="16"/>
  <c r="N125" i="16"/>
  <c r="M125" i="16"/>
  <c r="O133" i="16"/>
  <c r="N133" i="16"/>
  <c r="M133" i="16"/>
  <c r="O141" i="16"/>
  <c r="N141" i="16"/>
  <c r="M141" i="16"/>
  <c r="O149" i="16"/>
  <c r="N149" i="16"/>
  <c r="M149" i="16"/>
  <c r="O157" i="16"/>
  <c r="N157" i="16"/>
  <c r="M157" i="16"/>
  <c r="M27" i="16"/>
  <c r="N78" i="16"/>
  <c r="N104" i="16"/>
  <c r="O11" i="16"/>
  <c r="N11" i="16"/>
  <c r="O83" i="16"/>
  <c r="N83" i="16"/>
  <c r="M83" i="16"/>
  <c r="O115" i="16"/>
  <c r="N115" i="16"/>
  <c r="M115" i="16"/>
  <c r="O163" i="16"/>
  <c r="N163" i="16"/>
  <c r="M163" i="16"/>
  <c r="O187" i="16"/>
  <c r="N187" i="16"/>
  <c r="M187" i="16"/>
  <c r="M227" i="16"/>
  <c r="O227" i="16"/>
  <c r="N227" i="16"/>
  <c r="M251" i="16"/>
  <c r="O251" i="16"/>
  <c r="N251" i="16"/>
  <c r="O10" i="16"/>
  <c r="N10" i="16"/>
  <c r="M10" i="16"/>
  <c r="O18" i="16"/>
  <c r="N18" i="16"/>
  <c r="M18" i="16"/>
  <c r="O26" i="16"/>
  <c r="N26" i="16"/>
  <c r="M26" i="16"/>
  <c r="O34" i="16"/>
  <c r="N34" i="16"/>
  <c r="M34" i="16"/>
  <c r="O42" i="16"/>
  <c r="N42" i="16"/>
  <c r="M42" i="16"/>
  <c r="O50" i="16"/>
  <c r="N50" i="16"/>
  <c r="M50" i="16"/>
  <c r="O58" i="16"/>
  <c r="N58" i="16"/>
  <c r="M58" i="16"/>
  <c r="O66" i="16"/>
  <c r="N66" i="16"/>
  <c r="M66" i="16"/>
  <c r="O74" i="16"/>
  <c r="N74" i="16"/>
  <c r="M74" i="16"/>
  <c r="O82" i="16"/>
  <c r="N82" i="16"/>
  <c r="M82" i="16"/>
  <c r="O90" i="16"/>
  <c r="N90" i="16"/>
  <c r="M90" i="16"/>
  <c r="O98" i="16"/>
  <c r="N98" i="16"/>
  <c r="M98" i="16"/>
  <c r="M106" i="16"/>
  <c r="O106" i="16"/>
  <c r="N106" i="16"/>
  <c r="M114" i="16"/>
  <c r="O114" i="16"/>
  <c r="N114" i="16"/>
  <c r="M122" i="16"/>
  <c r="O122" i="16"/>
  <c r="N122" i="16"/>
  <c r="M130" i="16"/>
  <c r="O130" i="16"/>
  <c r="N130" i="16"/>
  <c r="M138" i="16"/>
  <c r="O138" i="16"/>
  <c r="N138" i="16"/>
  <c r="M146" i="16"/>
  <c r="O146" i="16"/>
  <c r="M154" i="16"/>
  <c r="O154" i="16"/>
  <c r="N154" i="16"/>
  <c r="M162" i="16"/>
  <c r="O162" i="16"/>
  <c r="M170" i="16"/>
  <c r="O170" i="16"/>
  <c r="N170" i="16"/>
  <c r="M178" i="16"/>
  <c r="O178" i="16"/>
  <c r="N30" i="16"/>
  <c r="M56" i="16"/>
  <c r="O31" i="16"/>
  <c r="N31" i="16"/>
  <c r="M31" i="16"/>
  <c r="O55" i="16"/>
  <c r="N55" i="16"/>
  <c r="M55" i="16"/>
  <c r="O151" i="16"/>
  <c r="N151" i="16"/>
  <c r="M151" i="16"/>
  <c r="O183" i="16"/>
  <c r="N183" i="16"/>
  <c r="M183" i="16"/>
  <c r="O191" i="16"/>
  <c r="N191" i="16"/>
  <c r="M191" i="16"/>
  <c r="M199" i="16"/>
  <c r="O199" i="16"/>
  <c r="N199" i="16"/>
  <c r="M207" i="16"/>
  <c r="N207" i="16"/>
  <c r="O207" i="16"/>
  <c r="M215" i="16"/>
  <c r="O215" i="16"/>
  <c r="N215" i="16"/>
  <c r="M223" i="16"/>
  <c r="N223" i="16"/>
  <c r="O223" i="16"/>
  <c r="M231" i="16"/>
  <c r="O231" i="16"/>
  <c r="N231" i="16"/>
  <c r="M239" i="16"/>
  <c r="N239" i="16"/>
  <c r="O239" i="16"/>
  <c r="M247" i="16"/>
  <c r="O247" i="16"/>
  <c r="N247" i="16"/>
  <c r="M255" i="16"/>
  <c r="N255" i="16"/>
  <c r="O255" i="16"/>
  <c r="M8" i="16"/>
  <c r="M59" i="16"/>
  <c r="O7" i="16"/>
  <c r="N7" i="16"/>
  <c r="M7" i="16"/>
  <c r="O39" i="16"/>
  <c r="N39" i="16"/>
  <c r="M39" i="16"/>
  <c r="O71" i="16"/>
  <c r="N71" i="16"/>
  <c r="M71" i="16"/>
  <c r="O103" i="16"/>
  <c r="N103" i="16"/>
  <c r="M103" i="16"/>
  <c r="O135" i="16"/>
  <c r="N135" i="16"/>
  <c r="M135" i="16"/>
  <c r="O12" i="16"/>
  <c r="N12" i="16"/>
  <c r="M12" i="16"/>
  <c r="O20" i="16"/>
  <c r="N20" i="16"/>
  <c r="M20" i="16"/>
  <c r="O28" i="16"/>
  <c r="N28" i="16"/>
  <c r="M28" i="16"/>
  <c r="O36" i="16"/>
  <c r="N36" i="16"/>
  <c r="M36" i="16"/>
  <c r="O44" i="16"/>
  <c r="N44" i="16"/>
  <c r="M44" i="16"/>
  <c r="O52" i="16"/>
  <c r="N52" i="16"/>
  <c r="M52" i="16"/>
  <c r="O60" i="16"/>
  <c r="N60" i="16"/>
  <c r="M60" i="16"/>
  <c r="O68" i="16"/>
  <c r="N68" i="16"/>
  <c r="M68" i="16"/>
  <c r="O76" i="16"/>
  <c r="N76" i="16"/>
  <c r="M76" i="16"/>
  <c r="O84" i="16"/>
  <c r="N84" i="16"/>
  <c r="M84" i="16"/>
  <c r="O92" i="16"/>
  <c r="N92" i="16"/>
  <c r="M92" i="16"/>
  <c r="O100" i="16"/>
  <c r="N100" i="16"/>
  <c r="M100" i="16"/>
  <c r="M108" i="16"/>
  <c r="O108" i="16"/>
  <c r="N108" i="16"/>
  <c r="M116" i="16"/>
  <c r="O116" i="16"/>
  <c r="N116" i="16"/>
  <c r="M124" i="16"/>
  <c r="O124" i="16"/>
  <c r="N124" i="16"/>
  <c r="M132" i="16"/>
  <c r="O132" i="16"/>
  <c r="N132" i="16"/>
  <c r="M140" i="16"/>
  <c r="O140" i="16"/>
  <c r="N140" i="16"/>
  <c r="M148" i="16"/>
  <c r="O148" i="16"/>
  <c r="N148" i="16"/>
  <c r="M156" i="16"/>
  <c r="O156" i="16"/>
  <c r="N156" i="16"/>
  <c r="M164" i="16"/>
  <c r="O164" i="16"/>
  <c r="N164" i="16"/>
  <c r="M172" i="16"/>
  <c r="O172" i="16"/>
  <c r="N172" i="16"/>
  <c r="M11" i="16"/>
  <c r="N62" i="16"/>
  <c r="M88" i="16"/>
  <c r="N120" i="16"/>
  <c r="O15" i="16"/>
  <c r="N15" i="16"/>
  <c r="M15" i="16"/>
  <c r="O47" i="16"/>
  <c r="N47" i="16"/>
  <c r="M47" i="16"/>
  <c r="O79" i="16"/>
  <c r="N79" i="16"/>
  <c r="M79" i="16"/>
  <c r="O111" i="16"/>
  <c r="N111" i="16"/>
  <c r="M111" i="16"/>
  <c r="O143" i="16"/>
  <c r="N143" i="16"/>
  <c r="M143" i="16"/>
  <c r="O9" i="16"/>
  <c r="N9" i="16"/>
  <c r="M9" i="16"/>
  <c r="O17" i="16"/>
  <c r="N17" i="16"/>
  <c r="M17" i="16"/>
  <c r="O25" i="16"/>
  <c r="N25" i="16"/>
  <c r="M25" i="16"/>
  <c r="O33" i="16"/>
  <c r="N33" i="16"/>
  <c r="M33" i="16"/>
  <c r="O41" i="16"/>
  <c r="N41" i="16"/>
  <c r="M41" i="16"/>
  <c r="O49" i="16"/>
  <c r="N49" i="16"/>
  <c r="M49" i="16"/>
  <c r="O57" i="16"/>
  <c r="N57" i="16"/>
  <c r="M57" i="16"/>
  <c r="O65" i="16"/>
  <c r="N65" i="16"/>
  <c r="M65" i="16"/>
  <c r="O73" i="16"/>
  <c r="N73" i="16"/>
  <c r="M73" i="16"/>
  <c r="O81" i="16"/>
  <c r="N81" i="16"/>
  <c r="M81" i="16"/>
  <c r="O89" i="16"/>
  <c r="N89" i="16"/>
  <c r="M89" i="16"/>
  <c r="O97" i="16"/>
  <c r="N97" i="16"/>
  <c r="M97" i="16"/>
  <c r="O105" i="16"/>
  <c r="N105" i="16"/>
  <c r="M105" i="16"/>
  <c r="O113" i="16"/>
  <c r="N113" i="16"/>
  <c r="M113" i="16"/>
  <c r="O121" i="16"/>
  <c r="N121" i="16"/>
  <c r="M121" i="16"/>
  <c r="O129" i="16"/>
  <c r="N129" i="16"/>
  <c r="M129" i="16"/>
  <c r="O137" i="16"/>
  <c r="N137" i="16"/>
  <c r="M137" i="16"/>
  <c r="O145" i="16"/>
  <c r="N145" i="16"/>
  <c r="M145" i="16"/>
  <c r="O153" i="16"/>
  <c r="N153" i="16"/>
  <c r="M153" i="16"/>
  <c r="N14" i="16"/>
  <c r="M40" i="16"/>
  <c r="M91" i="16"/>
  <c r="O165" i="16"/>
  <c r="N165" i="16"/>
  <c r="M165" i="16"/>
  <c r="O173" i="16"/>
  <c r="N173" i="16"/>
  <c r="M173" i="16"/>
  <c r="O181" i="16"/>
  <c r="N181" i="16"/>
  <c r="M181" i="16"/>
  <c r="O189" i="16"/>
  <c r="N189" i="16"/>
  <c r="M189" i="16"/>
  <c r="M197" i="16"/>
  <c r="O197" i="16"/>
  <c r="N197" i="16"/>
  <c r="M205" i="16"/>
  <c r="O205" i="16"/>
  <c r="N205" i="16"/>
  <c r="M213" i="16"/>
  <c r="O213" i="16"/>
  <c r="N213" i="16"/>
  <c r="M221" i="16"/>
  <c r="O221" i="16"/>
  <c r="N221" i="16"/>
  <c r="M229" i="16"/>
  <c r="O229" i="16"/>
  <c r="N229" i="16"/>
  <c r="M237" i="16"/>
  <c r="O237" i="16"/>
  <c r="N237" i="16"/>
  <c r="M245" i="16"/>
  <c r="O245" i="16"/>
  <c r="N245" i="16"/>
  <c r="M253" i="16"/>
  <c r="O253" i="16"/>
  <c r="N253" i="16"/>
  <c r="M186" i="16"/>
  <c r="O186" i="16"/>
  <c r="N194" i="16"/>
  <c r="M194" i="16"/>
  <c r="O194" i="16"/>
  <c r="N202" i="16"/>
  <c r="M202" i="16"/>
  <c r="O202" i="16"/>
  <c r="N210" i="16"/>
  <c r="M210" i="16"/>
  <c r="O210" i="16"/>
  <c r="N218" i="16"/>
  <c r="M218" i="16"/>
  <c r="O218" i="16"/>
  <c r="N226" i="16"/>
  <c r="M226" i="16"/>
  <c r="O226" i="16"/>
  <c r="N234" i="16"/>
  <c r="M234" i="16"/>
  <c r="O234" i="16"/>
  <c r="N242" i="16"/>
  <c r="M242" i="16"/>
  <c r="O242" i="16"/>
  <c r="N250" i="16"/>
  <c r="M250" i="16"/>
  <c r="O250" i="16"/>
  <c r="N258" i="16"/>
  <c r="M258" i="16"/>
  <c r="O258" i="16"/>
  <c r="M180" i="16"/>
  <c r="O180" i="16"/>
  <c r="M188" i="16"/>
  <c r="O188" i="16"/>
  <c r="N196" i="16"/>
  <c r="M196" i="16"/>
  <c r="O196" i="16"/>
  <c r="N204" i="16"/>
  <c r="M204" i="16"/>
  <c r="N212" i="16"/>
  <c r="M212" i="16"/>
  <c r="O212" i="16"/>
  <c r="N220" i="16"/>
  <c r="M220" i="16"/>
  <c r="N228" i="16"/>
  <c r="M228" i="16"/>
  <c r="O228" i="16"/>
  <c r="N236" i="16"/>
  <c r="M236" i="16"/>
  <c r="N244" i="16"/>
  <c r="M244" i="16"/>
  <c r="O244" i="16"/>
  <c r="N252" i="16"/>
  <c r="M252" i="16"/>
  <c r="N260" i="16"/>
  <c r="M260" i="16"/>
  <c r="O260" i="16"/>
  <c r="N186" i="16"/>
  <c r="O161" i="16"/>
  <c r="N161" i="16"/>
  <c r="M161" i="16"/>
  <c r="O169" i="16"/>
  <c r="N169" i="16"/>
  <c r="M169" i="16"/>
  <c r="O177" i="16"/>
  <c r="N177" i="16"/>
  <c r="M177" i="16"/>
  <c r="O185" i="16"/>
  <c r="N185" i="16"/>
  <c r="M185" i="16"/>
  <c r="O193" i="16"/>
  <c r="N193" i="16"/>
  <c r="M193" i="16"/>
  <c r="M201" i="16"/>
  <c r="O201" i="16"/>
  <c r="M209" i="16"/>
  <c r="O209" i="16"/>
  <c r="N209" i="16"/>
  <c r="M217" i="16"/>
  <c r="O217" i="16"/>
  <c r="M225" i="16"/>
  <c r="O225" i="16"/>
  <c r="N225" i="16"/>
  <c r="M233" i="16"/>
  <c r="O233" i="16"/>
  <c r="M241" i="16"/>
  <c r="O241" i="16"/>
  <c r="N241" i="16"/>
  <c r="M249" i="16"/>
  <c r="O249" i="16"/>
  <c r="M257" i="16"/>
  <c r="O257" i="16"/>
  <c r="N257" i="16"/>
  <c r="N188" i="16"/>
  <c r="O236" i="16"/>
  <c r="M182" i="16"/>
  <c r="O182" i="16"/>
  <c r="M190" i="16"/>
  <c r="O190" i="16"/>
  <c r="N198" i="16"/>
  <c r="M198" i="16"/>
  <c r="O198" i="16"/>
  <c r="N206" i="16"/>
  <c r="M206" i="16"/>
  <c r="O206" i="16"/>
  <c r="N214" i="16"/>
  <c r="M214" i="16"/>
  <c r="O214" i="16"/>
  <c r="N222" i="16"/>
  <c r="M222" i="16"/>
  <c r="O222" i="16"/>
  <c r="N230" i="16"/>
  <c r="M230" i="16"/>
  <c r="O230" i="16"/>
  <c r="N238" i="16"/>
  <c r="M238" i="16"/>
  <c r="O238" i="16"/>
  <c r="N246" i="16"/>
  <c r="M246" i="16"/>
  <c r="O246" i="16"/>
  <c r="N254" i="16"/>
  <c r="M254" i="16"/>
  <c r="O254" i="16"/>
  <c r="N190" i="16"/>
  <c r="N217" i="16"/>
  <c r="L48" i="17"/>
  <c r="L44" i="17"/>
  <c r="L40" i="17"/>
  <c r="L36" i="17"/>
  <c r="L45" i="17"/>
  <c r="L41" i="17"/>
  <c r="L37" i="17"/>
  <c r="L30" i="17"/>
  <c r="L33" i="17"/>
  <c r="L24" i="17"/>
  <c r="L18" i="17"/>
  <c r="L23" i="17"/>
  <c r="L9" i="17"/>
  <c r="L34" i="17"/>
  <c r="L29" i="17"/>
  <c r="L8" i="17"/>
  <c r="L35" i="17"/>
  <c r="L32" i="17"/>
  <c r="L27" i="17"/>
  <c r="Q16" i="17"/>
  <c r="L91" i="17" s="1"/>
  <c r="L13" i="17"/>
  <c r="L7" i="17"/>
  <c r="L47" i="17"/>
  <c r="L43" i="17"/>
  <c r="L39" i="17"/>
  <c r="L25" i="17"/>
  <c r="L20" i="17"/>
  <c r="L16" i="17"/>
  <c r="L14" i="17"/>
  <c r="L12" i="17"/>
  <c r="L6" i="17"/>
  <c r="L31" i="17"/>
  <c r="L28" i="17"/>
  <c r="L22" i="17"/>
  <c r="L15" i="17"/>
  <c r="L5" i="17"/>
  <c r="L26" i="17"/>
  <c r="L11" i="17"/>
  <c r="L19" i="17"/>
  <c r="L17" i="17"/>
  <c r="L46" i="17"/>
  <c r="L42" i="17"/>
  <c r="L38" i="17"/>
  <c r="L21" i="17"/>
  <c r="L10" i="17"/>
  <c r="L54" i="17"/>
  <c r="L49" i="17"/>
  <c r="L77" i="17"/>
  <c r="AB15" i="17"/>
  <c r="L60" i="17"/>
  <c r="L83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AD15" i="17"/>
  <c r="L68" i="17"/>
  <c r="L86" i="17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7" i="17"/>
  <c r="G600" i="17"/>
  <c r="G599" i="17"/>
  <c r="G636" i="17"/>
  <c r="L78" i="17"/>
  <c r="L80" i="17"/>
  <c r="AF15" i="17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1" i="17"/>
  <c r="G614" i="17"/>
  <c r="G613" i="17"/>
  <c r="G650" i="17"/>
  <c r="L65" i="17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577" i="17"/>
  <c r="G623" i="17"/>
  <c r="G582" i="17"/>
  <c r="G619" i="17"/>
  <c r="K609" i="17"/>
  <c r="K604" i="17"/>
  <c r="K606" i="17"/>
  <c r="K594" i="17"/>
  <c r="K607" i="17"/>
  <c r="K605" i="17"/>
  <c r="K624" i="17"/>
  <c r="K595" i="17"/>
  <c r="L596" i="17"/>
  <c r="L604" i="17" s="1"/>
  <c r="L612" i="17" s="1"/>
  <c r="AH9" i="15"/>
  <c r="AE10" i="15"/>
  <c r="Q9" i="15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X26" i="15"/>
  <c r="H25" i="15"/>
  <c r="AH25" i="15"/>
  <c r="AE26" i="15"/>
  <c r="AT10" i="15"/>
  <c r="AP9" i="15"/>
  <c r="G9" i="15" s="1"/>
  <c r="AQ8" i="15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X11" i="15"/>
  <c r="H10" i="15"/>
  <c r="J26" i="15"/>
  <c r="J11" i="15"/>
  <c r="I33" i="15"/>
  <c r="AH24" i="15"/>
  <c r="J25" i="15"/>
  <c r="I30" i="15"/>
  <c r="AP4" i="15"/>
  <c r="AH8" i="15"/>
  <c r="L10" i="15"/>
  <c r="I19" i="15"/>
  <c r="H8" i="15"/>
  <c r="G8" i="15" s="1"/>
  <c r="AG19" i="15"/>
  <c r="I32" i="15"/>
  <c r="I18" i="15"/>
  <c r="B259" i="9"/>
  <c r="D259" i="9"/>
  <c r="E259" i="9"/>
  <c r="K259" i="9"/>
  <c r="L259" i="9"/>
  <c r="B260" i="9"/>
  <c r="D260" i="9"/>
  <c r="E260" i="9"/>
  <c r="K260" i="9"/>
  <c r="L260" i="9"/>
  <c r="L63" i="17" l="1"/>
  <c r="L72" i="17"/>
  <c r="L88" i="17"/>
  <c r="L85" i="17"/>
  <c r="L70" i="17"/>
  <c r="L62" i="17"/>
  <c r="L52" i="17"/>
  <c r="L57" i="17"/>
  <c r="L75" i="17"/>
  <c r="L55" i="17"/>
  <c r="K602" i="17"/>
  <c r="K617" i="17"/>
  <c r="L89" i="17"/>
  <c r="L81" i="17"/>
  <c r="L73" i="17"/>
  <c r="L66" i="17"/>
  <c r="L58" i="17"/>
  <c r="L50" i="17"/>
  <c r="L90" i="17"/>
  <c r="L82" i="17"/>
  <c r="L74" i="17"/>
  <c r="L92" i="17"/>
  <c r="L84" i="17"/>
  <c r="L76" i="17"/>
  <c r="L69" i="17"/>
  <c r="L61" i="17"/>
  <c r="L53" i="17"/>
  <c r="L51" i="17"/>
  <c r="L64" i="17"/>
  <c r="L79" i="17"/>
  <c r="L87" i="17"/>
  <c r="L71" i="17"/>
  <c r="L67" i="17"/>
  <c r="L56" i="17"/>
  <c r="Q17" i="17"/>
  <c r="L59" i="17"/>
  <c r="K612" i="17"/>
  <c r="K632" i="17"/>
  <c r="K614" i="17"/>
  <c r="K613" i="17"/>
  <c r="K603" i="17"/>
  <c r="K615" i="17"/>
  <c r="AP10" i="15"/>
  <c r="G10" i="15" s="1"/>
  <c r="AT11" i="15"/>
  <c r="D8" i="15"/>
  <c r="AI8" i="15"/>
  <c r="E8" i="15" s="1"/>
  <c r="J27" i="15"/>
  <c r="J12" i="15"/>
  <c r="X27" i="15"/>
  <c r="H26" i="15"/>
  <c r="I34" i="15"/>
  <c r="I22" i="15"/>
  <c r="AE27" i="15"/>
  <c r="AH26" i="15"/>
  <c r="AG35" i="15"/>
  <c r="AG20" i="15"/>
  <c r="X12" i="15"/>
  <c r="H11" i="15"/>
  <c r="D25" i="15"/>
  <c r="AE11" i="15"/>
  <c r="AH10" i="15"/>
  <c r="D24" i="15"/>
  <c r="AI24" i="15"/>
  <c r="E24" i="15" s="1"/>
  <c r="D9" i="15"/>
  <c r="AI9" i="15"/>
  <c r="E9" i="15" s="1"/>
  <c r="L11" i="15"/>
  <c r="L26" i="15"/>
  <c r="I23" i="15"/>
  <c r="I35" i="15"/>
  <c r="AQ9" i="15"/>
  <c r="G24" i="15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K621" i="17" l="1"/>
  <c r="L121" i="17"/>
  <c r="L127" i="17"/>
  <c r="L122" i="17"/>
  <c r="L110" i="17"/>
  <c r="L102" i="17"/>
  <c r="L94" i="17"/>
  <c r="L134" i="17"/>
  <c r="L128" i="17"/>
  <c r="L118" i="17"/>
  <c r="L112" i="17"/>
  <c r="L104" i="17"/>
  <c r="L96" i="17"/>
  <c r="L129" i="17"/>
  <c r="L124" i="17"/>
  <c r="L113" i="17"/>
  <c r="L105" i="17"/>
  <c r="L97" i="17"/>
  <c r="L107" i="17"/>
  <c r="L99" i="17"/>
  <c r="Q18" i="17"/>
  <c r="Q19" i="17" s="1"/>
  <c r="L136" i="17"/>
  <c r="L100" i="17"/>
  <c r="L123" i="17"/>
  <c r="L126" i="17"/>
  <c r="L117" i="17"/>
  <c r="L109" i="17"/>
  <c r="L101" i="17"/>
  <c r="L130" i="17"/>
  <c r="L106" i="17"/>
  <c r="L119" i="17"/>
  <c r="L108" i="17"/>
  <c r="L132" i="17"/>
  <c r="L98" i="17"/>
  <c r="L103" i="17"/>
  <c r="L133" i="17"/>
  <c r="L125" i="17"/>
  <c r="L120" i="17"/>
  <c r="L114" i="17"/>
  <c r="L93" i="17"/>
  <c r="L135" i="17"/>
  <c r="L95" i="17"/>
  <c r="L115" i="17"/>
  <c r="L131" i="17"/>
  <c r="L116" i="17"/>
  <c r="L111" i="17"/>
  <c r="K625" i="17"/>
  <c r="K622" i="17"/>
  <c r="K611" i="17"/>
  <c r="K620" i="17"/>
  <c r="K610" i="17"/>
  <c r="K623" i="17"/>
  <c r="K640" i="17"/>
  <c r="G25" i="15"/>
  <c r="AQ10" i="15"/>
  <c r="AG36" i="15"/>
  <c r="AG21" i="15"/>
  <c r="X28" i="15"/>
  <c r="H27" i="15"/>
  <c r="H12" i="15"/>
  <c r="X13" i="15"/>
  <c r="J13" i="15"/>
  <c r="J28" i="15"/>
  <c r="AI10" i="15"/>
  <c r="E10" i="15" s="1"/>
  <c r="D10" i="15"/>
  <c r="I39" i="15"/>
  <c r="AE12" i="15"/>
  <c r="AH11" i="15"/>
  <c r="AE28" i="15"/>
  <c r="AH27" i="15"/>
  <c r="D26" i="15"/>
  <c r="AI25" i="15"/>
  <c r="E25" i="15" s="1"/>
  <c r="I38" i="15"/>
  <c r="L27" i="15"/>
  <c r="L12" i="15"/>
  <c r="AP11" i="15"/>
  <c r="G11" i="15" s="1"/>
  <c r="AT12" i="15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18" i="17" l="1"/>
  <c r="K633" i="17"/>
  <c r="K628" i="17"/>
  <c r="L443" i="17"/>
  <c r="L439" i="17"/>
  <c r="L435" i="17"/>
  <c r="L431" i="17"/>
  <c r="L427" i="17"/>
  <c r="L423" i="17"/>
  <c r="L444" i="17"/>
  <c r="L440" i="17"/>
  <c r="L436" i="17"/>
  <c r="L432" i="17"/>
  <c r="L428" i="17"/>
  <c r="L424" i="17"/>
  <c r="L441" i="17"/>
  <c r="L437" i="17"/>
  <c r="L433" i="17"/>
  <c r="L429" i="17"/>
  <c r="L425" i="17"/>
  <c r="L422" i="17"/>
  <c r="L418" i="17"/>
  <c r="L414" i="17"/>
  <c r="L410" i="17"/>
  <c r="L406" i="17"/>
  <c r="L402" i="17"/>
  <c r="L419" i="17"/>
  <c r="L415" i="17"/>
  <c r="L411" i="17"/>
  <c r="L407" i="17"/>
  <c r="L403" i="17"/>
  <c r="L417" i="17"/>
  <c r="L413" i="17"/>
  <c r="L409" i="17"/>
  <c r="L405" i="17"/>
  <c r="L401" i="17"/>
  <c r="L442" i="17"/>
  <c r="L434" i="17"/>
  <c r="L426" i="17"/>
  <c r="L421" i="17"/>
  <c r="L420" i="17"/>
  <c r="L416" i="17"/>
  <c r="L412" i="17"/>
  <c r="L408" i="17"/>
  <c r="L404" i="17"/>
  <c r="L438" i="17"/>
  <c r="L430" i="17"/>
  <c r="Q20" i="17"/>
  <c r="K648" i="17"/>
  <c r="K619" i="17"/>
  <c r="K631" i="17"/>
  <c r="K630" i="17"/>
  <c r="K629" i="17"/>
  <c r="AI11" i="15"/>
  <c r="E11" i="15" s="1"/>
  <c r="D11" i="15"/>
  <c r="H13" i="15"/>
  <c r="X14" i="15"/>
  <c r="AE13" i="15"/>
  <c r="AH12" i="15"/>
  <c r="AG37" i="15"/>
  <c r="AG22" i="15"/>
  <c r="AT13" i="15"/>
  <c r="AP12" i="15"/>
  <c r="G12" i="15" s="1"/>
  <c r="AI26" i="15"/>
  <c r="E26" i="15" s="1"/>
  <c r="H28" i="15"/>
  <c r="X29" i="15"/>
  <c r="D27" i="15"/>
  <c r="G26" i="15"/>
  <c r="AQ11" i="15"/>
  <c r="L13" i="15"/>
  <c r="L28" i="15"/>
  <c r="AH28" i="15"/>
  <c r="AE29" i="15"/>
  <c r="J29" i="15"/>
  <c r="J14" i="15"/>
  <c r="N35" i="14"/>
  <c r="L35" i="14"/>
  <c r="F35" i="14"/>
  <c r="E35" i="14"/>
  <c r="K639" i="17" l="1"/>
  <c r="K626" i="17"/>
  <c r="K627" i="17"/>
  <c r="K637" i="17"/>
  <c r="K636" i="17"/>
  <c r="K656" i="17"/>
  <c r="K638" i="17"/>
  <c r="L486" i="17"/>
  <c r="L482" i="17"/>
  <c r="L478" i="17"/>
  <c r="L474" i="17"/>
  <c r="L470" i="17"/>
  <c r="L463" i="17"/>
  <c r="L459" i="17"/>
  <c r="L455" i="17"/>
  <c r="L451" i="17"/>
  <c r="L447" i="17"/>
  <c r="L487" i="17"/>
  <c r="L483" i="17"/>
  <c r="L479" i="17"/>
  <c r="L475" i="17"/>
  <c r="L471" i="17"/>
  <c r="L467" i="17"/>
  <c r="L464" i="17"/>
  <c r="L460" i="17"/>
  <c r="L456" i="17"/>
  <c r="L452" i="17"/>
  <c r="L448" i="17"/>
  <c r="L488" i="17"/>
  <c r="L484" i="17"/>
  <c r="L480" i="17"/>
  <c r="L476" i="17"/>
  <c r="L472" i="17"/>
  <c r="L468" i="17"/>
  <c r="L465" i="17"/>
  <c r="L461" i="17"/>
  <c r="L457" i="17"/>
  <c r="L453" i="17"/>
  <c r="L449" i="17"/>
  <c r="L445" i="17"/>
  <c r="L485" i="17"/>
  <c r="L481" i="17"/>
  <c r="L477" i="17"/>
  <c r="L473" i="17"/>
  <c r="L469" i="17"/>
  <c r="L466" i="17"/>
  <c r="L462" i="17"/>
  <c r="L458" i="17"/>
  <c r="L454" i="17"/>
  <c r="L450" i="17"/>
  <c r="L446" i="17"/>
  <c r="Q21" i="17"/>
  <c r="Q22" i="17" s="1"/>
  <c r="Q23" i="17" s="1"/>
  <c r="K641" i="17"/>
  <c r="J30" i="15"/>
  <c r="J15" i="15"/>
  <c r="AI27" i="15"/>
  <c r="E27" i="15" s="1"/>
  <c r="AG38" i="15"/>
  <c r="AG23" i="15"/>
  <c r="AG39" i="15" s="1"/>
  <c r="D12" i="15"/>
  <c r="AI12" i="15"/>
  <c r="E12" i="15" s="1"/>
  <c r="AI28" i="15"/>
  <c r="E28" i="15" s="1"/>
  <c r="D28" i="15"/>
  <c r="H14" i="15"/>
  <c r="X15" i="15"/>
  <c r="X30" i="15"/>
  <c r="H29" i="15"/>
  <c r="AE14" i="15"/>
  <c r="AH13" i="15"/>
  <c r="L29" i="15"/>
  <c r="L14" i="15"/>
  <c r="AE30" i="15"/>
  <c r="AH29" i="15"/>
  <c r="AQ12" i="15"/>
  <c r="G27" i="15"/>
  <c r="AT14" i="15"/>
  <c r="AP13" i="15"/>
  <c r="G13" i="15" s="1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0" i="16" l="1"/>
  <c r="AB140" i="16" s="1"/>
  <c r="AC140" i="16" s="1"/>
  <c r="AD140" i="16" s="1"/>
  <c r="H148" i="16"/>
  <c r="AB148" i="16" s="1"/>
  <c r="AC148" i="16" s="1"/>
  <c r="AD148" i="16" s="1"/>
  <c r="H12" i="16"/>
  <c r="AB12" i="16" s="1"/>
  <c r="AC12" i="16" s="1"/>
  <c r="AD12" i="16" s="1"/>
  <c r="H20" i="16"/>
  <c r="AB20" i="16" s="1"/>
  <c r="AC20" i="16" s="1"/>
  <c r="AD20" i="16" s="1"/>
  <c r="K645" i="17"/>
  <c r="K646" i="17"/>
  <c r="K635" i="17"/>
  <c r="K649" i="17"/>
  <c r="L176" i="17"/>
  <c r="L168" i="17"/>
  <c r="L160" i="17"/>
  <c r="L177" i="17"/>
  <c r="L169" i="17"/>
  <c r="L152" i="17"/>
  <c r="L159" i="17"/>
  <c r="L146" i="17"/>
  <c r="L144" i="17"/>
  <c r="L141" i="17"/>
  <c r="L137" i="17"/>
  <c r="L167" i="17"/>
  <c r="L138" i="17"/>
  <c r="L175" i="17"/>
  <c r="L161" i="17"/>
  <c r="L154" i="17"/>
  <c r="Q24" i="17"/>
  <c r="L157" i="17"/>
  <c r="L173" i="17"/>
  <c r="L142" i="17"/>
  <c r="L165" i="17"/>
  <c r="L153" i="17"/>
  <c r="L172" i="17"/>
  <c r="L147" i="17"/>
  <c r="L162" i="17"/>
  <c r="L156" i="17"/>
  <c r="L151" i="17"/>
  <c r="L166" i="17"/>
  <c r="L140" i="17"/>
  <c r="L179" i="17"/>
  <c r="L170" i="17"/>
  <c r="L180" i="17"/>
  <c r="L158" i="17"/>
  <c r="L139" i="17"/>
  <c r="L163" i="17"/>
  <c r="L149" i="17"/>
  <c r="L178" i="17"/>
  <c r="L143" i="17"/>
  <c r="L148" i="17"/>
  <c r="L171" i="17"/>
  <c r="L155" i="17"/>
  <c r="L150" i="17"/>
  <c r="L174" i="17"/>
  <c r="L164" i="17"/>
  <c r="L145" i="17"/>
  <c r="K634" i="17"/>
  <c r="K647" i="17"/>
  <c r="K644" i="17"/>
  <c r="D13" i="15"/>
  <c r="AI13" i="15"/>
  <c r="E13" i="15" s="1"/>
  <c r="AT15" i="15"/>
  <c r="AP14" i="15"/>
  <c r="G14" i="15" s="1"/>
  <c r="AH14" i="15"/>
  <c r="AE15" i="15"/>
  <c r="G28" i="15"/>
  <c r="AQ13" i="15"/>
  <c r="AI29" i="15"/>
  <c r="E29" i="15" s="1"/>
  <c r="D29" i="15"/>
  <c r="H15" i="15"/>
  <c r="X16" i="15"/>
  <c r="X31" i="15"/>
  <c r="H30" i="15"/>
  <c r="AE31" i="15"/>
  <c r="AH30" i="15"/>
  <c r="J31" i="15"/>
  <c r="J16" i="15"/>
  <c r="L30" i="15"/>
  <c r="L15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188" i="16" l="1"/>
  <c r="AB188" i="16" s="1"/>
  <c r="AC188" i="16" s="1"/>
  <c r="AD188" i="16" s="1"/>
  <c r="H52" i="16"/>
  <c r="AB52" i="16" s="1"/>
  <c r="AC52" i="16" s="1"/>
  <c r="AD52" i="16" s="1"/>
  <c r="H9" i="16"/>
  <c r="AB9" i="16" s="1"/>
  <c r="AC9" i="16" s="1"/>
  <c r="AD9" i="16" s="1"/>
  <c r="H33" i="16"/>
  <c r="AB33" i="16" s="1"/>
  <c r="AC33" i="16" s="1"/>
  <c r="AD33" i="16" s="1"/>
  <c r="H81" i="16"/>
  <c r="AB81" i="16" s="1"/>
  <c r="AC81" i="16" s="1"/>
  <c r="AD81" i="16" s="1"/>
  <c r="H25" i="16"/>
  <c r="AB25" i="16" s="1"/>
  <c r="AC25" i="16" s="1"/>
  <c r="AD25" i="16" s="1"/>
  <c r="H17" i="16"/>
  <c r="AB17" i="16" s="1"/>
  <c r="AC17" i="16" s="1"/>
  <c r="AD17" i="16" s="1"/>
  <c r="H49" i="16"/>
  <c r="AB49" i="16" s="1"/>
  <c r="AC49" i="16" s="1"/>
  <c r="AD49" i="16" s="1"/>
  <c r="H57" i="16"/>
  <c r="AB57" i="16" s="1"/>
  <c r="AC57" i="16" s="1"/>
  <c r="AD57" i="16" s="1"/>
  <c r="H105" i="16"/>
  <c r="AB105" i="16" s="1"/>
  <c r="AC105" i="16" s="1"/>
  <c r="AD105" i="16" s="1"/>
  <c r="H89" i="16"/>
  <c r="AB89" i="16" s="1"/>
  <c r="AC89" i="16" s="1"/>
  <c r="AD89" i="16" s="1"/>
  <c r="H73" i="16"/>
  <c r="AB73" i="16" s="1"/>
  <c r="AC73" i="16" s="1"/>
  <c r="AD73" i="16" s="1"/>
  <c r="H121" i="16"/>
  <c r="AB121" i="16" s="1"/>
  <c r="AC121" i="16" s="1"/>
  <c r="AD121" i="16" s="1"/>
  <c r="H65" i="16"/>
  <c r="AB65" i="16" s="1"/>
  <c r="AC65" i="16" s="1"/>
  <c r="AD65" i="16" s="1"/>
  <c r="H129" i="16"/>
  <c r="AB129" i="16" s="1"/>
  <c r="AC129" i="16" s="1"/>
  <c r="AD129" i="16" s="1"/>
  <c r="H113" i="16"/>
  <c r="AB113" i="16" s="1"/>
  <c r="AC113" i="16" s="1"/>
  <c r="AD113" i="16" s="1"/>
  <c r="H97" i="16"/>
  <c r="AB97" i="16" s="1"/>
  <c r="AC97" i="16" s="1"/>
  <c r="AD97" i="16" s="1"/>
  <c r="H41" i="16"/>
  <c r="AB41" i="16" s="1"/>
  <c r="AC41" i="16" s="1"/>
  <c r="AD41" i="16" s="1"/>
  <c r="H154" i="16"/>
  <c r="AB154" i="16" s="1"/>
  <c r="AC154" i="16" s="1"/>
  <c r="AD154" i="16" s="1"/>
  <c r="H194" i="16"/>
  <c r="AB194" i="16" s="1"/>
  <c r="AC194" i="16" s="1"/>
  <c r="AD194" i="16" s="1"/>
  <c r="H202" i="16"/>
  <c r="AB202" i="16" s="1"/>
  <c r="AC202" i="16" s="1"/>
  <c r="AD202" i="16" s="1"/>
  <c r="H162" i="16"/>
  <c r="AB162" i="16" s="1"/>
  <c r="AC162" i="16" s="1"/>
  <c r="AD162" i="16" s="1"/>
  <c r="H146" i="16"/>
  <c r="AB146" i="16" s="1"/>
  <c r="AC146" i="16" s="1"/>
  <c r="AD146" i="16" s="1"/>
  <c r="H170" i="16"/>
  <c r="AB170" i="16" s="1"/>
  <c r="AC170" i="16" s="1"/>
  <c r="AD170" i="16" s="1"/>
  <c r="H186" i="16"/>
  <c r="AB186" i="16" s="1"/>
  <c r="AC186" i="16" s="1"/>
  <c r="AD186" i="16" s="1"/>
  <c r="H138" i="16"/>
  <c r="AB138" i="16" s="1"/>
  <c r="AC138" i="16" s="1"/>
  <c r="AD138" i="16" s="1"/>
  <c r="H178" i="16"/>
  <c r="AB178" i="16" s="1"/>
  <c r="AC178" i="16" s="1"/>
  <c r="AD178" i="16" s="1"/>
  <c r="H183" i="16"/>
  <c r="AB183" i="16" s="1"/>
  <c r="AC183" i="16" s="1"/>
  <c r="AD183" i="16" s="1"/>
  <c r="H76" i="16"/>
  <c r="AB76" i="16" s="1"/>
  <c r="AC76" i="16" s="1"/>
  <c r="AD76" i="16" s="1"/>
  <c r="H84" i="16"/>
  <c r="AB84" i="16" s="1"/>
  <c r="AC84" i="16" s="1"/>
  <c r="AD84" i="16" s="1"/>
  <c r="H175" i="16"/>
  <c r="AB175" i="16" s="1"/>
  <c r="AC175" i="16" s="1"/>
  <c r="AD175" i="16" s="1"/>
  <c r="H135" i="16"/>
  <c r="AB135" i="16" s="1"/>
  <c r="AC135" i="16" s="1"/>
  <c r="AD135" i="16" s="1"/>
  <c r="H143" i="16"/>
  <c r="AB143" i="16" s="1"/>
  <c r="AC143" i="16" s="1"/>
  <c r="AD143" i="16" s="1"/>
  <c r="H151" i="16"/>
  <c r="AB151" i="16" s="1"/>
  <c r="AC151" i="16" s="1"/>
  <c r="AD151" i="16" s="1"/>
  <c r="H191" i="16"/>
  <c r="AB191" i="16" s="1"/>
  <c r="AC191" i="16" s="1"/>
  <c r="AD191" i="16" s="1"/>
  <c r="H159" i="16"/>
  <c r="AB159" i="16" s="1"/>
  <c r="AC159" i="16" s="1"/>
  <c r="AD159" i="16" s="1"/>
  <c r="H167" i="16"/>
  <c r="AB167" i="16" s="1"/>
  <c r="AC167" i="16" s="1"/>
  <c r="AD167" i="16" s="1"/>
  <c r="H199" i="16"/>
  <c r="AB199" i="16" s="1"/>
  <c r="AC199" i="16" s="1"/>
  <c r="AD199" i="16" s="1"/>
  <c r="H137" i="16"/>
  <c r="AB137" i="16" s="1"/>
  <c r="AC137" i="16" s="1"/>
  <c r="AD137" i="16" s="1"/>
  <c r="H193" i="16"/>
  <c r="AB193" i="16" s="1"/>
  <c r="AC193" i="16" s="1"/>
  <c r="AD193" i="16" s="1"/>
  <c r="H185" i="16"/>
  <c r="AB185" i="16" s="1"/>
  <c r="AC185" i="16" s="1"/>
  <c r="AD185" i="16" s="1"/>
  <c r="H201" i="16"/>
  <c r="AB201" i="16" s="1"/>
  <c r="AC201" i="16" s="1"/>
  <c r="AD201" i="16" s="1"/>
  <c r="H177" i="16"/>
  <c r="AB177" i="16" s="1"/>
  <c r="AC177" i="16" s="1"/>
  <c r="AD177" i="16" s="1"/>
  <c r="H145" i="16"/>
  <c r="AB145" i="16" s="1"/>
  <c r="AC145" i="16" s="1"/>
  <c r="AD145" i="16" s="1"/>
  <c r="H161" i="16"/>
  <c r="AB161" i="16" s="1"/>
  <c r="AC161" i="16" s="1"/>
  <c r="AD161" i="16" s="1"/>
  <c r="H169" i="16"/>
  <c r="AB169" i="16" s="1"/>
  <c r="AC169" i="16" s="1"/>
  <c r="AD169" i="16" s="1"/>
  <c r="H153" i="16"/>
  <c r="AB153" i="16" s="1"/>
  <c r="AC153" i="16" s="1"/>
  <c r="AD153" i="16" s="1"/>
  <c r="H66" i="16"/>
  <c r="AB66" i="16" s="1"/>
  <c r="AC66" i="16" s="1"/>
  <c r="AD66" i="16" s="1"/>
  <c r="H18" i="16"/>
  <c r="AB18" i="16" s="1"/>
  <c r="AC18" i="16" s="1"/>
  <c r="AD18" i="16" s="1"/>
  <c r="H34" i="16"/>
  <c r="AB34" i="16" s="1"/>
  <c r="AC34" i="16" s="1"/>
  <c r="AD34" i="16" s="1"/>
  <c r="H130" i="16"/>
  <c r="AB130" i="16" s="1"/>
  <c r="AC130" i="16" s="1"/>
  <c r="AD130" i="16" s="1"/>
  <c r="H42" i="16"/>
  <c r="AB42" i="16" s="1"/>
  <c r="AC42" i="16" s="1"/>
  <c r="AD42" i="16" s="1"/>
  <c r="H26" i="16"/>
  <c r="AB26" i="16" s="1"/>
  <c r="AC26" i="16" s="1"/>
  <c r="AD26" i="16" s="1"/>
  <c r="H50" i="16"/>
  <c r="AB50" i="16" s="1"/>
  <c r="AC50" i="16" s="1"/>
  <c r="AD50" i="16" s="1"/>
  <c r="H98" i="16"/>
  <c r="AB98" i="16" s="1"/>
  <c r="AC98" i="16" s="1"/>
  <c r="AD98" i="16" s="1"/>
  <c r="H74" i="16"/>
  <c r="AB74" i="16" s="1"/>
  <c r="AC74" i="16" s="1"/>
  <c r="AD74" i="16" s="1"/>
  <c r="H106" i="16"/>
  <c r="AB106" i="16" s="1"/>
  <c r="AC106" i="16" s="1"/>
  <c r="AD106" i="16" s="1"/>
  <c r="H82" i="16"/>
  <c r="AB82" i="16" s="1"/>
  <c r="AC82" i="16" s="1"/>
  <c r="AD82" i="16" s="1"/>
  <c r="H58" i="16"/>
  <c r="AB58" i="16" s="1"/>
  <c r="AC58" i="16" s="1"/>
  <c r="AD58" i="16" s="1"/>
  <c r="H114" i="16"/>
  <c r="AB114" i="16" s="1"/>
  <c r="AC114" i="16" s="1"/>
  <c r="AD114" i="16" s="1"/>
  <c r="H10" i="16"/>
  <c r="AB10" i="16" s="1"/>
  <c r="AC10" i="16" s="1"/>
  <c r="AD10" i="16" s="1"/>
  <c r="H122" i="16"/>
  <c r="AB122" i="16" s="1"/>
  <c r="AC122" i="16" s="1"/>
  <c r="AD122" i="16" s="1"/>
  <c r="H90" i="16"/>
  <c r="AB90" i="16" s="1"/>
  <c r="AC90" i="16" s="1"/>
  <c r="AD90" i="16" s="1"/>
  <c r="H36" i="16"/>
  <c r="AB36" i="16" s="1"/>
  <c r="AC36" i="16" s="1"/>
  <c r="AD36" i="16" s="1"/>
  <c r="H156" i="16"/>
  <c r="AB156" i="16" s="1"/>
  <c r="AC156" i="16" s="1"/>
  <c r="AD156" i="16" s="1"/>
  <c r="H132" i="16"/>
  <c r="AB132" i="16" s="1"/>
  <c r="AC132" i="16" s="1"/>
  <c r="AD132" i="16" s="1"/>
  <c r="H32" i="16"/>
  <c r="AB32" i="16" s="1"/>
  <c r="AC32" i="16" s="1"/>
  <c r="AD32" i="16" s="1"/>
  <c r="H104" i="16"/>
  <c r="AB104" i="16" s="1"/>
  <c r="AC104" i="16" s="1"/>
  <c r="AD104" i="16" s="1"/>
  <c r="H88" i="16"/>
  <c r="AB88" i="16" s="1"/>
  <c r="AC88" i="16" s="1"/>
  <c r="AD88" i="16" s="1"/>
  <c r="H16" i="16"/>
  <c r="AB16" i="16" s="1"/>
  <c r="AC16" i="16" s="1"/>
  <c r="AD16" i="16" s="1"/>
  <c r="H120" i="16"/>
  <c r="AB120" i="16" s="1"/>
  <c r="AC120" i="16" s="1"/>
  <c r="AD120" i="16" s="1"/>
  <c r="H72" i="16"/>
  <c r="AB72" i="16" s="1"/>
  <c r="AC72" i="16" s="1"/>
  <c r="AD72" i="16" s="1"/>
  <c r="H40" i="16"/>
  <c r="AB40" i="16" s="1"/>
  <c r="AC40" i="16" s="1"/>
  <c r="AD40" i="16" s="1"/>
  <c r="H24" i="16"/>
  <c r="AB24" i="16" s="1"/>
  <c r="AC24" i="16" s="1"/>
  <c r="AD24" i="16" s="1"/>
  <c r="H56" i="16"/>
  <c r="AB56" i="16" s="1"/>
  <c r="AC56" i="16" s="1"/>
  <c r="AD56" i="16" s="1"/>
  <c r="H64" i="16"/>
  <c r="AB64" i="16" s="1"/>
  <c r="AC64" i="16" s="1"/>
  <c r="AD64" i="16" s="1"/>
  <c r="H96" i="16"/>
  <c r="AB96" i="16" s="1"/>
  <c r="AC96" i="16" s="1"/>
  <c r="AD96" i="16" s="1"/>
  <c r="H128" i="16"/>
  <c r="AB128" i="16" s="1"/>
  <c r="AC128" i="16" s="1"/>
  <c r="AD128" i="16" s="1"/>
  <c r="H80" i="16"/>
  <c r="AB80" i="16" s="1"/>
  <c r="AC80" i="16" s="1"/>
  <c r="AD80" i="16" s="1"/>
  <c r="H112" i="16"/>
  <c r="AB112" i="16" s="1"/>
  <c r="AC112" i="16" s="1"/>
  <c r="AD112" i="16" s="1"/>
  <c r="H48" i="16"/>
  <c r="AB48" i="16" s="1"/>
  <c r="AC48" i="16" s="1"/>
  <c r="AD48" i="16" s="1"/>
  <c r="H8" i="16"/>
  <c r="AB8" i="16" s="1"/>
  <c r="AC8" i="16" s="1"/>
  <c r="AD8" i="16" s="1"/>
  <c r="H144" i="16"/>
  <c r="AB144" i="16" s="1"/>
  <c r="AC144" i="16" s="1"/>
  <c r="AD144" i="16" s="1"/>
  <c r="H192" i="16"/>
  <c r="AB192" i="16" s="1"/>
  <c r="AC192" i="16" s="1"/>
  <c r="AD192" i="16" s="1"/>
  <c r="H160" i="16"/>
  <c r="AB160" i="16" s="1"/>
  <c r="AC160" i="16" s="1"/>
  <c r="AD160" i="16" s="1"/>
  <c r="H152" i="16"/>
  <c r="AB152" i="16" s="1"/>
  <c r="AC152" i="16" s="1"/>
  <c r="AD152" i="16" s="1"/>
  <c r="H168" i="16"/>
  <c r="AB168" i="16" s="1"/>
  <c r="AC168" i="16" s="1"/>
  <c r="AD168" i="16" s="1"/>
  <c r="H176" i="16"/>
  <c r="AB176" i="16" s="1"/>
  <c r="AC176" i="16" s="1"/>
  <c r="AD176" i="16" s="1"/>
  <c r="H136" i="16"/>
  <c r="AB136" i="16" s="1"/>
  <c r="AC136" i="16" s="1"/>
  <c r="AD136" i="16" s="1"/>
  <c r="H184" i="16"/>
  <c r="AB184" i="16" s="1"/>
  <c r="AC184" i="16" s="1"/>
  <c r="AD184" i="16" s="1"/>
  <c r="H200" i="16"/>
  <c r="AB200" i="16" s="1"/>
  <c r="AC200" i="16" s="1"/>
  <c r="AD200" i="16" s="1"/>
  <c r="H44" i="16"/>
  <c r="AB44" i="16" s="1"/>
  <c r="AC44" i="16" s="1"/>
  <c r="AD44" i="16" s="1"/>
  <c r="H124" i="16"/>
  <c r="AB124" i="16" s="1"/>
  <c r="AC124" i="16" s="1"/>
  <c r="AD124" i="16" s="1"/>
  <c r="H172" i="16"/>
  <c r="AB172" i="16" s="1"/>
  <c r="AC172" i="16" s="1"/>
  <c r="AD172" i="16" s="1"/>
  <c r="H163" i="16"/>
  <c r="AB163" i="16" s="1"/>
  <c r="AC163" i="16" s="1"/>
  <c r="AD163" i="16" s="1"/>
  <c r="H147" i="16"/>
  <c r="AB147" i="16" s="1"/>
  <c r="AC147" i="16" s="1"/>
  <c r="AD147" i="16" s="1"/>
  <c r="H171" i="16"/>
  <c r="AB171" i="16" s="1"/>
  <c r="AC171" i="16" s="1"/>
  <c r="AD171" i="16" s="1"/>
  <c r="H139" i="16"/>
  <c r="AB139" i="16" s="1"/>
  <c r="AC139" i="16" s="1"/>
  <c r="AD139" i="16" s="1"/>
  <c r="H155" i="16"/>
  <c r="AB155" i="16" s="1"/>
  <c r="AC155" i="16" s="1"/>
  <c r="AD155" i="16" s="1"/>
  <c r="H187" i="16"/>
  <c r="AB187" i="16" s="1"/>
  <c r="AC187" i="16" s="1"/>
  <c r="AD187" i="16" s="1"/>
  <c r="H179" i="16"/>
  <c r="AB179" i="16" s="1"/>
  <c r="AC179" i="16" s="1"/>
  <c r="AD179" i="16" s="1"/>
  <c r="H195" i="16"/>
  <c r="AB195" i="16" s="1"/>
  <c r="AC195" i="16" s="1"/>
  <c r="AD195" i="16" s="1"/>
  <c r="H203" i="16"/>
  <c r="AB203" i="16" s="1"/>
  <c r="AC203" i="16" s="1"/>
  <c r="AD203" i="16" s="1"/>
  <c r="H60" i="16"/>
  <c r="AB60" i="16" s="1"/>
  <c r="AC60" i="16" s="1"/>
  <c r="AD60" i="16" s="1"/>
  <c r="H92" i="16"/>
  <c r="AB92" i="16" s="1"/>
  <c r="AC92" i="16" s="1"/>
  <c r="AD92" i="16" s="1"/>
  <c r="H196" i="16"/>
  <c r="AB196" i="16" s="1"/>
  <c r="AC196" i="16" s="1"/>
  <c r="AD196" i="16" s="1"/>
  <c r="H141" i="16"/>
  <c r="AB141" i="16" s="1"/>
  <c r="AC141" i="16" s="1"/>
  <c r="AD141" i="16" s="1"/>
  <c r="H165" i="16"/>
  <c r="AB165" i="16" s="1"/>
  <c r="AC165" i="16" s="1"/>
  <c r="AD165" i="16" s="1"/>
  <c r="H133" i="16"/>
  <c r="AB133" i="16" s="1"/>
  <c r="AC133" i="16" s="1"/>
  <c r="AD133" i="16" s="1"/>
  <c r="H189" i="16"/>
  <c r="AB189" i="16" s="1"/>
  <c r="AC189" i="16" s="1"/>
  <c r="AD189" i="16" s="1"/>
  <c r="H149" i="16"/>
  <c r="AB149" i="16" s="1"/>
  <c r="AC149" i="16" s="1"/>
  <c r="AD149" i="16" s="1"/>
  <c r="H197" i="16"/>
  <c r="AB197" i="16" s="1"/>
  <c r="AC197" i="16" s="1"/>
  <c r="AD197" i="16" s="1"/>
  <c r="H173" i="16"/>
  <c r="AB173" i="16" s="1"/>
  <c r="AC173" i="16" s="1"/>
  <c r="AD173" i="16" s="1"/>
  <c r="H157" i="16"/>
  <c r="AB157" i="16" s="1"/>
  <c r="AC157" i="16" s="1"/>
  <c r="AD157" i="16" s="1"/>
  <c r="H181" i="16"/>
  <c r="AB181" i="16" s="1"/>
  <c r="AC181" i="16" s="1"/>
  <c r="AD181" i="16" s="1"/>
  <c r="H27" i="16"/>
  <c r="AB27" i="16" s="1"/>
  <c r="AC27" i="16" s="1"/>
  <c r="AD27" i="16" s="1"/>
  <c r="H75" i="16"/>
  <c r="AB75" i="16" s="1"/>
  <c r="AC75" i="16" s="1"/>
  <c r="AD75" i="16" s="1"/>
  <c r="H11" i="16"/>
  <c r="AB11" i="16" s="1"/>
  <c r="AC11" i="16" s="1"/>
  <c r="AD11" i="16" s="1"/>
  <c r="H43" i="16"/>
  <c r="AB43" i="16" s="1"/>
  <c r="AC43" i="16" s="1"/>
  <c r="AD43" i="16" s="1"/>
  <c r="H115" i="16"/>
  <c r="AB115" i="16" s="1"/>
  <c r="AC115" i="16" s="1"/>
  <c r="AD115" i="16" s="1"/>
  <c r="H123" i="16"/>
  <c r="AB123" i="16" s="1"/>
  <c r="AC123" i="16" s="1"/>
  <c r="AD123" i="16" s="1"/>
  <c r="H83" i="16"/>
  <c r="AB83" i="16" s="1"/>
  <c r="AC83" i="16" s="1"/>
  <c r="AD83" i="16" s="1"/>
  <c r="H19" i="16"/>
  <c r="AB19" i="16" s="1"/>
  <c r="AC19" i="16" s="1"/>
  <c r="AD19" i="16" s="1"/>
  <c r="H67" i="16"/>
  <c r="AB67" i="16" s="1"/>
  <c r="AC67" i="16" s="1"/>
  <c r="AD67" i="16" s="1"/>
  <c r="H91" i="16"/>
  <c r="AB91" i="16" s="1"/>
  <c r="AC91" i="16" s="1"/>
  <c r="AD91" i="16" s="1"/>
  <c r="H107" i="16"/>
  <c r="AB107" i="16" s="1"/>
  <c r="AC107" i="16" s="1"/>
  <c r="AD107" i="16" s="1"/>
  <c r="H131" i="16"/>
  <c r="AB131" i="16" s="1"/>
  <c r="AC131" i="16" s="1"/>
  <c r="AD131" i="16" s="1"/>
  <c r="H51" i="16"/>
  <c r="AB51" i="16" s="1"/>
  <c r="AC51" i="16" s="1"/>
  <c r="AD51" i="16" s="1"/>
  <c r="H59" i="16"/>
  <c r="AB59" i="16" s="1"/>
  <c r="AC59" i="16" s="1"/>
  <c r="AD59" i="16" s="1"/>
  <c r="H35" i="16"/>
  <c r="AB35" i="16" s="1"/>
  <c r="AC35" i="16" s="1"/>
  <c r="AD35" i="16" s="1"/>
  <c r="H99" i="16"/>
  <c r="AB99" i="16" s="1"/>
  <c r="AC99" i="16" s="1"/>
  <c r="AD99" i="16" s="1"/>
  <c r="H5" i="16"/>
  <c r="AB5" i="16" s="1"/>
  <c r="AC5" i="16" s="1"/>
  <c r="AD5" i="16" s="1"/>
  <c r="H93" i="16"/>
  <c r="AB93" i="16" s="1"/>
  <c r="AC93" i="16" s="1"/>
  <c r="AD93" i="16" s="1"/>
  <c r="H21" i="16"/>
  <c r="AB21" i="16" s="1"/>
  <c r="AC21" i="16" s="1"/>
  <c r="AD21" i="16" s="1"/>
  <c r="H37" i="16"/>
  <c r="AB37" i="16" s="1"/>
  <c r="AC37" i="16" s="1"/>
  <c r="AD37" i="16" s="1"/>
  <c r="H53" i="16"/>
  <c r="AB53" i="16" s="1"/>
  <c r="AC53" i="16" s="1"/>
  <c r="AD53" i="16" s="1"/>
  <c r="H13" i="16"/>
  <c r="AB13" i="16" s="1"/>
  <c r="AC13" i="16" s="1"/>
  <c r="AD13" i="16" s="1"/>
  <c r="H29" i="16"/>
  <c r="AB29" i="16" s="1"/>
  <c r="AC29" i="16" s="1"/>
  <c r="AD29" i="16" s="1"/>
  <c r="H45" i="16"/>
  <c r="AB45" i="16" s="1"/>
  <c r="AC45" i="16" s="1"/>
  <c r="AD45" i="16" s="1"/>
  <c r="H109" i="16"/>
  <c r="AB109" i="16" s="1"/>
  <c r="AC109" i="16" s="1"/>
  <c r="AD109" i="16" s="1"/>
  <c r="H69" i="16"/>
  <c r="AB69" i="16" s="1"/>
  <c r="AC69" i="16" s="1"/>
  <c r="AD69" i="16" s="1"/>
  <c r="H101" i="16"/>
  <c r="AB101" i="16" s="1"/>
  <c r="AC101" i="16" s="1"/>
  <c r="AD101" i="16" s="1"/>
  <c r="H117" i="16"/>
  <c r="AB117" i="16" s="1"/>
  <c r="AC117" i="16" s="1"/>
  <c r="AD117" i="16" s="1"/>
  <c r="H61" i="16"/>
  <c r="AB61" i="16" s="1"/>
  <c r="AC61" i="16" s="1"/>
  <c r="AD61" i="16" s="1"/>
  <c r="H85" i="16"/>
  <c r="AB85" i="16" s="1"/>
  <c r="AC85" i="16" s="1"/>
  <c r="AD85" i="16" s="1"/>
  <c r="H77" i="16"/>
  <c r="AB77" i="16" s="1"/>
  <c r="AC77" i="16" s="1"/>
  <c r="AD77" i="16" s="1"/>
  <c r="H125" i="16"/>
  <c r="AB125" i="16" s="1"/>
  <c r="AC125" i="16" s="1"/>
  <c r="AD125" i="16" s="1"/>
  <c r="H100" i="16"/>
  <c r="AB100" i="16" s="1"/>
  <c r="AC100" i="16" s="1"/>
  <c r="AD100" i="16" s="1"/>
  <c r="H28" i="16"/>
  <c r="AB28" i="16" s="1"/>
  <c r="AC28" i="16" s="1"/>
  <c r="AD28" i="16" s="1"/>
  <c r="H68" i="16"/>
  <c r="AB68" i="16" s="1"/>
  <c r="AC68" i="16" s="1"/>
  <c r="AD68" i="16" s="1"/>
  <c r="H108" i="16"/>
  <c r="AB108" i="16" s="1"/>
  <c r="AC108" i="16" s="1"/>
  <c r="AD108" i="16" s="1"/>
  <c r="H180" i="16"/>
  <c r="AB180" i="16" s="1"/>
  <c r="AC180" i="16" s="1"/>
  <c r="AD180" i="16" s="1"/>
  <c r="H204" i="16"/>
  <c r="AB204" i="16" s="1"/>
  <c r="AC204" i="16" s="1"/>
  <c r="AD204" i="16" s="1"/>
  <c r="H166" i="16"/>
  <c r="AB166" i="16" s="1"/>
  <c r="AC166" i="16" s="1"/>
  <c r="AD166" i="16" s="1"/>
  <c r="H134" i="16"/>
  <c r="AB134" i="16" s="1"/>
  <c r="AC134" i="16" s="1"/>
  <c r="AD134" i="16" s="1"/>
  <c r="H174" i="16"/>
  <c r="AB174" i="16" s="1"/>
  <c r="AC174" i="16" s="1"/>
  <c r="AD174" i="16" s="1"/>
  <c r="H142" i="16"/>
  <c r="AB142" i="16" s="1"/>
  <c r="AC142" i="16" s="1"/>
  <c r="AD142" i="16" s="1"/>
  <c r="H198" i="16"/>
  <c r="AB198" i="16" s="1"/>
  <c r="AC198" i="16" s="1"/>
  <c r="AD198" i="16" s="1"/>
  <c r="H182" i="16"/>
  <c r="AB182" i="16" s="1"/>
  <c r="AC182" i="16" s="1"/>
  <c r="AD182" i="16" s="1"/>
  <c r="H158" i="16"/>
  <c r="AB158" i="16" s="1"/>
  <c r="AC158" i="16" s="1"/>
  <c r="AD158" i="16" s="1"/>
  <c r="H150" i="16"/>
  <c r="AB150" i="16" s="1"/>
  <c r="AC150" i="16" s="1"/>
  <c r="AD150" i="16" s="1"/>
  <c r="H190" i="16"/>
  <c r="AB190" i="16" s="1"/>
  <c r="AC190" i="16" s="1"/>
  <c r="AD190" i="16" s="1"/>
  <c r="H6" i="16"/>
  <c r="AB6" i="16" s="1"/>
  <c r="AC6" i="16" s="1"/>
  <c r="AD6" i="16" s="1"/>
  <c r="H30" i="16"/>
  <c r="AB30" i="16" s="1"/>
  <c r="AC30" i="16" s="1"/>
  <c r="AD30" i="16" s="1"/>
  <c r="H46" i="16"/>
  <c r="AB46" i="16" s="1"/>
  <c r="AC46" i="16" s="1"/>
  <c r="AD46" i="16" s="1"/>
  <c r="H94" i="16"/>
  <c r="AB94" i="16" s="1"/>
  <c r="AC94" i="16" s="1"/>
  <c r="AD94" i="16" s="1"/>
  <c r="H86" i="16"/>
  <c r="AB86" i="16" s="1"/>
  <c r="AC86" i="16" s="1"/>
  <c r="AD86" i="16" s="1"/>
  <c r="H126" i="16"/>
  <c r="AB126" i="16" s="1"/>
  <c r="AC126" i="16" s="1"/>
  <c r="AD126" i="16" s="1"/>
  <c r="H14" i="16"/>
  <c r="AB14" i="16" s="1"/>
  <c r="AC14" i="16" s="1"/>
  <c r="AD14" i="16" s="1"/>
  <c r="H62" i="16"/>
  <c r="AB62" i="16" s="1"/>
  <c r="AC62" i="16" s="1"/>
  <c r="AD62" i="16" s="1"/>
  <c r="H78" i="16"/>
  <c r="AB78" i="16" s="1"/>
  <c r="AC78" i="16" s="1"/>
  <c r="AD78" i="16" s="1"/>
  <c r="H54" i="16"/>
  <c r="AB54" i="16" s="1"/>
  <c r="AC54" i="16" s="1"/>
  <c r="AD54" i="16" s="1"/>
  <c r="H110" i="16"/>
  <c r="AB110" i="16" s="1"/>
  <c r="AC110" i="16" s="1"/>
  <c r="AD110" i="16" s="1"/>
  <c r="H38" i="16"/>
  <c r="AB38" i="16" s="1"/>
  <c r="AC38" i="16" s="1"/>
  <c r="AD38" i="16" s="1"/>
  <c r="H22" i="16"/>
  <c r="AB22" i="16" s="1"/>
  <c r="AC22" i="16" s="1"/>
  <c r="AD22" i="16" s="1"/>
  <c r="H118" i="16"/>
  <c r="AB118" i="16" s="1"/>
  <c r="AC118" i="16" s="1"/>
  <c r="AD118" i="16" s="1"/>
  <c r="H70" i="16"/>
  <c r="AB70" i="16" s="1"/>
  <c r="AC70" i="16" s="1"/>
  <c r="AD70" i="16" s="1"/>
  <c r="H102" i="16"/>
  <c r="AB102" i="16" s="1"/>
  <c r="AC102" i="16" s="1"/>
  <c r="AD102" i="16" s="1"/>
  <c r="H7" i="16"/>
  <c r="AB7" i="16" s="1"/>
  <c r="AC7" i="16" s="1"/>
  <c r="AD7" i="16" s="1"/>
  <c r="H55" i="16"/>
  <c r="AB55" i="16" s="1"/>
  <c r="AC55" i="16" s="1"/>
  <c r="AD55" i="16" s="1"/>
  <c r="H31" i="16"/>
  <c r="AB31" i="16" s="1"/>
  <c r="AC31" i="16" s="1"/>
  <c r="AD31" i="16" s="1"/>
  <c r="H15" i="16"/>
  <c r="AB15" i="16" s="1"/>
  <c r="AC15" i="16" s="1"/>
  <c r="AD15" i="16" s="1"/>
  <c r="H79" i="16"/>
  <c r="AB79" i="16" s="1"/>
  <c r="AC79" i="16" s="1"/>
  <c r="AD79" i="16" s="1"/>
  <c r="H39" i="16"/>
  <c r="AB39" i="16" s="1"/>
  <c r="AC39" i="16" s="1"/>
  <c r="AD39" i="16" s="1"/>
  <c r="H63" i="16"/>
  <c r="AB63" i="16" s="1"/>
  <c r="AC63" i="16" s="1"/>
  <c r="AD63" i="16" s="1"/>
  <c r="H111" i="16"/>
  <c r="AB111" i="16" s="1"/>
  <c r="AC111" i="16" s="1"/>
  <c r="AD111" i="16" s="1"/>
  <c r="H47" i="16"/>
  <c r="AB47" i="16" s="1"/>
  <c r="AC47" i="16" s="1"/>
  <c r="AD47" i="16" s="1"/>
  <c r="H23" i="16"/>
  <c r="AB23" i="16" s="1"/>
  <c r="AC23" i="16" s="1"/>
  <c r="AD23" i="16" s="1"/>
  <c r="H71" i="16"/>
  <c r="AB71" i="16" s="1"/>
  <c r="AC71" i="16" s="1"/>
  <c r="AD71" i="16" s="1"/>
  <c r="H87" i="16"/>
  <c r="AB87" i="16" s="1"/>
  <c r="AC87" i="16" s="1"/>
  <c r="AD87" i="16" s="1"/>
  <c r="H119" i="16"/>
  <c r="AB119" i="16" s="1"/>
  <c r="AC119" i="16" s="1"/>
  <c r="AD119" i="16" s="1"/>
  <c r="H127" i="16"/>
  <c r="AB127" i="16" s="1"/>
  <c r="AC127" i="16" s="1"/>
  <c r="AD127" i="16" s="1"/>
  <c r="H103" i="16"/>
  <c r="AB103" i="16" s="1"/>
  <c r="AC103" i="16" s="1"/>
  <c r="AD103" i="16" s="1"/>
  <c r="H95" i="16"/>
  <c r="AB95" i="16" s="1"/>
  <c r="AC95" i="16" s="1"/>
  <c r="AD95" i="16" s="1"/>
  <c r="H116" i="16"/>
  <c r="AB116" i="16" s="1"/>
  <c r="AC116" i="16" s="1"/>
  <c r="AD116" i="16" s="1"/>
  <c r="H164" i="16"/>
  <c r="AB164" i="16" s="1"/>
  <c r="AC164" i="16" s="1"/>
  <c r="AD164" i="16" s="1"/>
  <c r="K652" i="17"/>
  <c r="K655" i="17"/>
  <c r="L220" i="17"/>
  <c r="L212" i="17"/>
  <c r="L204" i="17"/>
  <c r="L197" i="17"/>
  <c r="L189" i="17"/>
  <c r="L181" i="17"/>
  <c r="L221" i="17"/>
  <c r="L213" i="17"/>
  <c r="L205" i="17"/>
  <c r="L198" i="17"/>
  <c r="L222" i="17"/>
  <c r="L214" i="17"/>
  <c r="L206" i="17"/>
  <c r="L199" i="17"/>
  <c r="L191" i="17"/>
  <c r="L183" i="17"/>
  <c r="L223" i="17"/>
  <c r="L215" i="17"/>
  <c r="L207" i="17"/>
  <c r="L200" i="17"/>
  <c r="L192" i="17"/>
  <c r="L184" i="17"/>
  <c r="L182" i="17"/>
  <c r="L190" i="17"/>
  <c r="Q25" i="17"/>
  <c r="L218" i="17"/>
  <c r="L194" i="17"/>
  <c r="L219" i="17"/>
  <c r="L202" i="17"/>
  <c r="L216" i="17"/>
  <c r="L201" i="17"/>
  <c r="L187" i="17"/>
  <c r="L193" i="17"/>
  <c r="L208" i="17"/>
  <c r="L210" i="17"/>
  <c r="L185" i="17"/>
  <c r="L195" i="17"/>
  <c r="L188" i="17"/>
  <c r="L186" i="17"/>
  <c r="L217" i="17"/>
  <c r="L196" i="17"/>
  <c r="L203" i="17"/>
  <c r="L209" i="17"/>
  <c r="L224" i="17"/>
  <c r="L211" i="17"/>
  <c r="K653" i="17"/>
  <c r="K642" i="17"/>
  <c r="K643" i="17"/>
  <c r="K654" i="17"/>
  <c r="AH31" i="15"/>
  <c r="AE32" i="15"/>
  <c r="AE16" i="15"/>
  <c r="AH15" i="15"/>
  <c r="AQ14" i="15"/>
  <c r="G29" i="15"/>
  <c r="L31" i="15"/>
  <c r="L16" i="15"/>
  <c r="X17" i="15"/>
  <c r="H16" i="15"/>
  <c r="D30" i="15"/>
  <c r="AI30" i="15"/>
  <c r="E30" i="15" s="1"/>
  <c r="D14" i="15"/>
  <c r="AI14" i="15"/>
  <c r="E14" i="15" s="1"/>
  <c r="AT16" i="15"/>
  <c r="AP15" i="15"/>
  <c r="G15" i="15" s="1"/>
  <c r="X32" i="15"/>
  <c r="H31" i="15"/>
  <c r="J32" i="15"/>
  <c r="J17" i="15"/>
  <c r="F17" i="13"/>
  <c r="G17" i="13"/>
  <c r="H17" i="13"/>
  <c r="I17" i="13"/>
  <c r="J17" i="13"/>
  <c r="K17" i="13"/>
  <c r="L17" i="13"/>
  <c r="L24" i="13" s="1"/>
  <c r="M17" i="13"/>
  <c r="N17" i="13"/>
  <c r="O17" i="13"/>
  <c r="P17" i="13"/>
  <c r="Q17" i="13"/>
  <c r="R17" i="13"/>
  <c r="S17" i="13"/>
  <c r="T17" i="13"/>
  <c r="T24" i="13" s="1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L264" i="17" l="1"/>
  <c r="L256" i="17"/>
  <c r="L248" i="17"/>
  <c r="L243" i="17"/>
  <c r="L227" i="17"/>
  <c r="L261" i="17"/>
  <c r="L254" i="17"/>
  <c r="L249" i="17"/>
  <c r="L244" i="17"/>
  <c r="L236" i="17"/>
  <c r="L228" i="17"/>
  <c r="L258" i="17"/>
  <c r="L262" i="17"/>
  <c r="L255" i="17"/>
  <c r="L250" i="17"/>
  <c r="L238" i="17"/>
  <c r="L230" i="17"/>
  <c r="Q26" i="17"/>
  <c r="Q27" i="17" s="1"/>
  <c r="L229" i="17"/>
  <c r="L237" i="17"/>
  <c r="L240" i="17"/>
  <c r="L260" i="17"/>
  <c r="L257" i="17"/>
  <c r="L241" i="17"/>
  <c r="L232" i="17"/>
  <c r="L253" i="17"/>
  <c r="L268" i="17"/>
  <c r="L234" i="17"/>
  <c r="L225" i="17"/>
  <c r="L242" i="17"/>
  <c r="L235" i="17"/>
  <c r="L247" i="17"/>
  <c r="L252" i="17"/>
  <c r="L265" i="17"/>
  <c r="L267" i="17"/>
  <c r="L239" i="17"/>
  <c r="L266" i="17"/>
  <c r="L251" i="17"/>
  <c r="L246" i="17"/>
  <c r="L259" i="17"/>
  <c r="L231" i="17"/>
  <c r="L263" i="17"/>
  <c r="L226" i="17"/>
  <c r="L245" i="17"/>
  <c r="L233" i="17"/>
  <c r="K651" i="17"/>
  <c r="K650" i="17"/>
  <c r="AT17" i="15"/>
  <c r="AP16" i="15"/>
  <c r="G16" i="15" s="1"/>
  <c r="L32" i="15"/>
  <c r="L17" i="15"/>
  <c r="AI15" i="15"/>
  <c r="E15" i="15" s="1"/>
  <c r="D15" i="15"/>
  <c r="AH16" i="15"/>
  <c r="AE17" i="15"/>
  <c r="AE33" i="15"/>
  <c r="AH32" i="15"/>
  <c r="AQ15" i="15"/>
  <c r="G30" i="15"/>
  <c r="J33" i="15"/>
  <c r="J18" i="15"/>
  <c r="X33" i="15"/>
  <c r="H32" i="15"/>
  <c r="X18" i="15"/>
  <c r="H17" i="15"/>
  <c r="AI31" i="15"/>
  <c r="E31" i="15" s="1"/>
  <c r="D31" i="15"/>
  <c r="S24" i="13"/>
  <c r="K24" i="13"/>
  <c r="R24" i="13"/>
  <c r="J24" i="13"/>
  <c r="Q24" i="13"/>
  <c r="I24" i="13"/>
  <c r="P24" i="13"/>
  <c r="H24" i="13"/>
  <c r="O24" i="13"/>
  <c r="G24" i="13"/>
  <c r="N24" i="13"/>
  <c r="F24" i="13"/>
  <c r="E24" i="13"/>
  <c r="M24" i="13"/>
  <c r="C29" i="13"/>
  <c r="V19" i="13"/>
  <c r="W20" i="13"/>
  <c r="C33" i="13"/>
  <c r="V23" i="13"/>
  <c r="W24" i="13"/>
  <c r="C28" i="13"/>
  <c r="V18" i="13"/>
  <c r="W19" i="13"/>
  <c r="C32" i="13"/>
  <c r="V22" i="13"/>
  <c r="L532" i="17" l="1"/>
  <c r="L529" i="17"/>
  <c r="L531" i="17"/>
  <c r="L525" i="17"/>
  <c r="L521" i="17"/>
  <c r="L517" i="17"/>
  <c r="L513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30" i="17"/>
  <c r="L527" i="17"/>
  <c r="L523" i="17"/>
  <c r="L519" i="17"/>
  <c r="L515" i="17"/>
  <c r="L511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L520" i="17"/>
  <c r="L516" i="17"/>
  <c r="L512" i="17"/>
  <c r="L528" i="17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Q28" i="17"/>
  <c r="AE18" i="15"/>
  <c r="AH17" i="15"/>
  <c r="D16" i="15"/>
  <c r="AI16" i="15"/>
  <c r="E16" i="15" s="1"/>
  <c r="J34" i="15"/>
  <c r="J19" i="15"/>
  <c r="X34" i="15"/>
  <c r="H33" i="15"/>
  <c r="L33" i="15"/>
  <c r="L18" i="15"/>
  <c r="G31" i="15"/>
  <c r="AQ16" i="15"/>
  <c r="D32" i="15"/>
  <c r="AI32" i="15"/>
  <c r="E32" i="15" s="1"/>
  <c r="H18" i="15"/>
  <c r="X19" i="15"/>
  <c r="AH33" i="15"/>
  <c r="AE34" i="15"/>
  <c r="AT18" i="15"/>
  <c r="AP17" i="15"/>
  <c r="G17" i="15" s="1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70" i="17"/>
  <c r="L562" i="17"/>
  <c r="L548" i="17"/>
  <c r="H548" i="17" s="1" a="1"/>
  <c r="H548" i="17" s="1"/>
  <c r="L545" i="17"/>
  <c r="H545" i="17" s="1" a="1"/>
  <c r="H545" i="17" s="1"/>
  <c r="L542" i="17"/>
  <c r="H542" i="17" s="1" a="1"/>
  <c r="H542" i="17" s="1"/>
  <c r="L539" i="17"/>
  <c r="H539" i="17" s="1" a="1"/>
  <c r="H539" i="17" s="1"/>
  <c r="L554" i="17"/>
  <c r="H554" i="17" s="1" a="1"/>
  <c r="H554" i="17" s="1"/>
  <c r="X12" i="17" s="1"/>
  <c r="X34" i="17" s="1"/>
  <c r="H608" i="17" s="1" a="1"/>
  <c r="H608" i="17" s="1"/>
  <c r="L551" i="17"/>
  <c r="H551" i="17" s="1" a="1"/>
  <c r="H551" i="17" s="1"/>
  <c r="L540" i="17"/>
  <c r="H540" i="17" s="1" a="1"/>
  <c r="H540" i="17" s="1"/>
  <c r="L537" i="17"/>
  <c r="H537" i="17" s="1" a="1"/>
  <c r="H537" i="17" s="1"/>
  <c r="L534" i="17"/>
  <c r="H534" i="17" s="1" a="1"/>
  <c r="H534" i="17" s="1"/>
  <c r="L552" i="17"/>
  <c r="H552" i="17" s="1" a="1"/>
  <c r="H552" i="17" s="1"/>
  <c r="L549" i="17"/>
  <c r="H549" i="17" s="1" a="1"/>
  <c r="H549" i="17" s="1"/>
  <c r="L546" i="17"/>
  <c r="H546" i="17" s="1" a="1"/>
  <c r="H546" i="17" s="1"/>
  <c r="X9" i="17" s="1"/>
  <c r="X31" i="17" s="1"/>
  <c r="H605" i="17" s="1" a="1"/>
  <c r="H605" i="17" s="1"/>
  <c r="L543" i="17"/>
  <c r="H543" i="17" s="1" a="1"/>
  <c r="H543" i="17" s="1"/>
  <c r="L566" i="17"/>
  <c r="L574" i="17"/>
  <c r="L558" i="17"/>
  <c r="L544" i="17"/>
  <c r="H544" i="17" s="1" a="1"/>
  <c r="H544" i="17" s="1"/>
  <c r="L541" i="17"/>
  <c r="H541" i="17" s="1" a="1"/>
  <c r="H541" i="17" s="1"/>
  <c r="X8" i="17" s="1"/>
  <c r="X30" i="17" s="1"/>
  <c r="H604" i="17" s="1" a="1"/>
  <c r="H604" i="17" s="1"/>
  <c r="L538" i="17"/>
  <c r="H538" i="17" s="1" a="1"/>
  <c r="H538" i="17" s="1"/>
  <c r="L535" i="17"/>
  <c r="H535" i="17" s="1" a="1"/>
  <c r="H535" i="17" s="1"/>
  <c r="L553" i="17"/>
  <c r="H553" i="17" s="1" a="1"/>
  <c r="H553" i="17" s="1"/>
  <c r="X11" i="17" s="1"/>
  <c r="X33" i="17" s="1"/>
  <c r="H607" i="17" s="1" a="1"/>
  <c r="H607" i="17" s="1"/>
  <c r="L550" i="17"/>
  <c r="H550" i="17" s="1" a="1"/>
  <c r="H550" i="17" s="1"/>
  <c r="X10" i="17" s="1"/>
  <c r="X32" i="17" s="1"/>
  <c r="H606" i="17" s="1" a="1"/>
  <c r="H606" i="17" s="1"/>
  <c r="L547" i="17"/>
  <c r="H547" i="17" s="1" a="1"/>
  <c r="H547" i="17" s="1"/>
  <c r="L536" i="17"/>
  <c r="H536" i="17" s="1" a="1"/>
  <c r="H536" i="17" s="1"/>
  <c r="L533" i="17"/>
  <c r="H533" i="17" s="1" a="1"/>
  <c r="H533" i="17" s="1"/>
  <c r="X5" i="17" s="1"/>
  <c r="X27" i="17" s="1"/>
  <c r="H601" i="17" s="1" a="1"/>
  <c r="H601" i="17" s="1"/>
  <c r="Q29" i="17"/>
  <c r="Q30" i="17" s="1"/>
  <c r="Q31" i="17" s="1"/>
  <c r="X35" i="15"/>
  <c r="H34" i="15"/>
  <c r="J35" i="15"/>
  <c r="J20" i="15"/>
  <c r="AQ17" i="15"/>
  <c r="G32" i="15"/>
  <c r="X20" i="15"/>
  <c r="H19" i="15"/>
  <c r="AP18" i="15"/>
  <c r="G18" i="15" s="1"/>
  <c r="AT19" i="15"/>
  <c r="AH34" i="15"/>
  <c r="AE35" i="15"/>
  <c r="L19" i="15"/>
  <c r="L34" i="15"/>
  <c r="AI17" i="15"/>
  <c r="E17" i="15" s="1"/>
  <c r="D17" i="15"/>
  <c r="D33" i="15"/>
  <c r="AI33" i="15"/>
  <c r="E33" i="15" s="1"/>
  <c r="AE19" i="15"/>
  <c r="AH18" i="15"/>
  <c r="L13" i="10"/>
  <c r="L28" i="10"/>
  <c r="L35" i="10" s="1"/>
  <c r="H13" i="10"/>
  <c r="H28" i="10"/>
  <c r="H35" i="10" s="1"/>
  <c r="D13" i="10"/>
  <c r="F13" i="10"/>
  <c r="K13" i="10"/>
  <c r="K28" i="10"/>
  <c r="K35" i="10" s="1"/>
  <c r="G13" i="10"/>
  <c r="G28" i="10"/>
  <c r="G35" i="10" s="1"/>
  <c r="C13" i="10"/>
  <c r="C35" i="10" s="1"/>
  <c r="M13" i="10"/>
  <c r="M28" i="10"/>
  <c r="M35" i="10" s="1"/>
  <c r="I13" i="10"/>
  <c r="I28" i="10"/>
  <c r="I35" i="10" s="1"/>
  <c r="E13" i="10"/>
  <c r="E28" i="10"/>
  <c r="E35" i="10" s="1"/>
  <c r="J13" i="10"/>
  <c r="F31" i="10"/>
  <c r="J28" i="10"/>
  <c r="J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D35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X6" i="17" l="1"/>
  <c r="X28" i="17" s="1"/>
  <c r="H602" i="17" s="1" a="1"/>
  <c r="H602" i="17" s="1"/>
  <c r="X7" i="17"/>
  <c r="X29" i="17" s="1"/>
  <c r="H603" i="17" s="1" a="1"/>
  <c r="H603" i="17" s="1"/>
  <c r="L310" i="17"/>
  <c r="L302" i="17"/>
  <c r="L294" i="17"/>
  <c r="L287" i="17"/>
  <c r="L279" i="17"/>
  <c r="L271" i="17"/>
  <c r="L307" i="17"/>
  <c r="L299" i="17"/>
  <c r="L291" i="17"/>
  <c r="L284" i="17"/>
  <c r="L276" i="17"/>
  <c r="L309" i="17"/>
  <c r="L301" i="17"/>
  <c r="L293" i="17"/>
  <c r="L292" i="17"/>
  <c r="L300" i="17"/>
  <c r="L273" i="17"/>
  <c r="L308" i="17"/>
  <c r="L286" i="17"/>
  <c r="Q32" i="17"/>
  <c r="L280" i="17"/>
  <c r="L270" i="17"/>
  <c r="L312" i="17"/>
  <c r="L282" i="17"/>
  <c r="L281" i="17"/>
  <c r="L288" i="17"/>
  <c r="L297" i="17"/>
  <c r="L272" i="17"/>
  <c r="L277" i="17"/>
  <c r="L306" i="17"/>
  <c r="L298" i="17"/>
  <c r="L305" i="17"/>
  <c r="L285" i="17"/>
  <c r="L274" i="17"/>
  <c r="L283" i="17"/>
  <c r="L311" i="17"/>
  <c r="L296" i="17"/>
  <c r="L278" i="17"/>
  <c r="L290" i="17"/>
  <c r="L303" i="17"/>
  <c r="L289" i="17"/>
  <c r="L275" i="17"/>
  <c r="L304" i="17"/>
  <c r="L295" i="17"/>
  <c r="L269" i="17"/>
  <c r="H20" i="15"/>
  <c r="X21" i="15"/>
  <c r="AI18" i="15"/>
  <c r="E18" i="15" s="1"/>
  <c r="D18" i="15"/>
  <c r="AE36" i="15"/>
  <c r="AH35" i="15"/>
  <c r="J36" i="15"/>
  <c r="J21" i="15"/>
  <c r="AH19" i="15"/>
  <c r="AE20" i="15"/>
  <c r="AI34" i="15"/>
  <c r="E34" i="15" s="1"/>
  <c r="D34" i="15"/>
  <c r="L35" i="15"/>
  <c r="L20" i="15"/>
  <c r="AP19" i="15"/>
  <c r="G19" i="15" s="1"/>
  <c r="AT20" i="15"/>
  <c r="G33" i="15"/>
  <c r="AQ18" i="15"/>
  <c r="X36" i="15"/>
  <c r="H35" i="15"/>
  <c r="F35" i="10"/>
  <c r="L353" i="17" l="1"/>
  <c r="L345" i="17"/>
  <c r="L337" i="17"/>
  <c r="L330" i="17"/>
  <c r="L322" i="17"/>
  <c r="L314" i="17"/>
  <c r="L355" i="17"/>
  <c r="L347" i="17"/>
  <c r="L339" i="17"/>
  <c r="L332" i="17"/>
  <c r="L324" i="17"/>
  <c r="L316" i="17"/>
  <c r="L323" i="17"/>
  <c r="L331" i="17"/>
  <c r="L338" i="17"/>
  <c r="L346" i="17"/>
  <c r="L354" i="17"/>
  <c r="L315" i="17"/>
  <c r="Q33" i="17"/>
  <c r="L333" i="17"/>
  <c r="L321" i="17"/>
  <c r="L335" i="17"/>
  <c r="L334" i="17"/>
  <c r="L351" i="17"/>
  <c r="L325" i="17"/>
  <c r="L328" i="17"/>
  <c r="L320" i="17"/>
  <c r="L317" i="17"/>
  <c r="L341" i="17"/>
  <c r="L313" i="17"/>
  <c r="L336" i="17"/>
  <c r="L326" i="17"/>
  <c r="L327" i="17"/>
  <c r="L340" i="17"/>
  <c r="L319" i="17"/>
  <c r="L344" i="17"/>
  <c r="L343" i="17"/>
  <c r="L348" i="17"/>
  <c r="L350" i="17"/>
  <c r="L318" i="17"/>
  <c r="L349" i="17"/>
  <c r="L352" i="17"/>
  <c r="L342" i="17"/>
  <c r="L356" i="17"/>
  <c r="L329" i="17"/>
  <c r="J37" i="15"/>
  <c r="J22" i="15"/>
  <c r="AP20" i="15"/>
  <c r="G20" i="15" s="1"/>
  <c r="AT21" i="15"/>
  <c r="L21" i="15"/>
  <c r="L36" i="15"/>
  <c r="D35" i="15"/>
  <c r="AI35" i="15"/>
  <c r="E35" i="15" s="1"/>
  <c r="X37" i="15"/>
  <c r="H36" i="15"/>
  <c r="G34" i="15"/>
  <c r="AQ19" i="15"/>
  <c r="AE21" i="15"/>
  <c r="AH20" i="15"/>
  <c r="H21" i="15"/>
  <c r="X22" i="15"/>
  <c r="AH36" i="15"/>
  <c r="AE37" i="15"/>
  <c r="AI19" i="15"/>
  <c r="E19" i="15" s="1"/>
  <c r="D19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17" i="16" l="1"/>
  <c r="AB217" i="16" s="1"/>
  <c r="AC217" i="16" s="1"/>
  <c r="AD217" i="16" s="1"/>
  <c r="H209" i="16"/>
  <c r="AB209" i="16" s="1"/>
  <c r="AC209" i="16" s="1"/>
  <c r="AD209" i="16" s="1"/>
  <c r="H233" i="16"/>
  <c r="AB233" i="16" s="1"/>
  <c r="AC233" i="16" s="1"/>
  <c r="AD233" i="16" s="1"/>
  <c r="H249" i="16"/>
  <c r="AB249" i="16" s="1"/>
  <c r="AC249" i="16" s="1"/>
  <c r="AD249" i="16" s="1"/>
  <c r="H257" i="16"/>
  <c r="AB257" i="16" s="1"/>
  <c r="AC257" i="16" s="1"/>
  <c r="H241" i="16"/>
  <c r="AB241" i="16" s="1"/>
  <c r="AC241" i="16" s="1"/>
  <c r="AD241" i="16" s="1"/>
  <c r="H225" i="16"/>
  <c r="AB225" i="16" s="1"/>
  <c r="AC225" i="16" s="1"/>
  <c r="AD225" i="16" s="1"/>
  <c r="H221" i="16"/>
  <c r="AB221" i="16" s="1"/>
  <c r="AC221" i="16" s="1"/>
  <c r="AD221" i="16" s="1"/>
  <c r="H205" i="16"/>
  <c r="AB205" i="16" s="1"/>
  <c r="AC205" i="16" s="1"/>
  <c r="AD205" i="16" s="1"/>
  <c r="H237" i="16"/>
  <c r="AB237" i="16" s="1"/>
  <c r="AC237" i="16" s="1"/>
  <c r="AD237" i="16" s="1"/>
  <c r="H245" i="16"/>
  <c r="AB245" i="16" s="1"/>
  <c r="AC245" i="16" s="1"/>
  <c r="AD245" i="16" s="1"/>
  <c r="H229" i="16"/>
  <c r="AB229" i="16" s="1"/>
  <c r="AC229" i="16" s="1"/>
  <c r="AD229" i="16" s="1"/>
  <c r="H253" i="16"/>
  <c r="AB253" i="16" s="1"/>
  <c r="AC253" i="16" s="1"/>
  <c r="H213" i="16"/>
  <c r="AB213" i="16" s="1"/>
  <c r="AC213" i="16" s="1"/>
  <c r="AD213" i="16" s="1"/>
  <c r="H223" i="16"/>
  <c r="AB223" i="16" s="1"/>
  <c r="AC223" i="16" s="1"/>
  <c r="AD223" i="16" s="1"/>
  <c r="H255" i="16"/>
  <c r="AB255" i="16" s="1"/>
  <c r="AC255" i="16" s="1"/>
  <c r="H215" i="16"/>
  <c r="AB215" i="16" s="1"/>
  <c r="AC215" i="16" s="1"/>
  <c r="AD215" i="16" s="1"/>
  <c r="H239" i="16"/>
  <c r="AB239" i="16" s="1"/>
  <c r="AC239" i="16" s="1"/>
  <c r="AD239" i="16" s="1"/>
  <c r="H207" i="16"/>
  <c r="AB207" i="16" s="1"/>
  <c r="AC207" i="16" s="1"/>
  <c r="AD207" i="16" s="1"/>
  <c r="H247" i="16"/>
  <c r="AB247" i="16" s="1"/>
  <c r="AC247" i="16" s="1"/>
  <c r="AD247" i="16" s="1"/>
  <c r="H231" i="16"/>
  <c r="AB231" i="16" s="1"/>
  <c r="AC231" i="16" s="1"/>
  <c r="AD231" i="16" s="1"/>
  <c r="H259" i="16"/>
  <c r="AB259" i="16" s="1"/>
  <c r="AC259" i="16" s="1"/>
  <c r="H211" i="16"/>
  <c r="AB211" i="16" s="1"/>
  <c r="AC211" i="16" s="1"/>
  <c r="AD211" i="16" s="1"/>
  <c r="H243" i="16"/>
  <c r="AB243" i="16" s="1"/>
  <c r="AC243" i="16" s="1"/>
  <c r="AD243" i="16" s="1"/>
  <c r="H219" i="16"/>
  <c r="AB219" i="16" s="1"/>
  <c r="AC219" i="16" s="1"/>
  <c r="AD219" i="16" s="1"/>
  <c r="H251" i="16"/>
  <c r="AB251" i="16" s="1"/>
  <c r="AC251" i="16" s="1"/>
  <c r="AD251" i="16" s="1"/>
  <c r="H227" i="16"/>
  <c r="AB227" i="16" s="1"/>
  <c r="AC227" i="16" s="1"/>
  <c r="AD227" i="16" s="1"/>
  <c r="H235" i="16"/>
  <c r="AB235" i="16" s="1"/>
  <c r="AC235" i="16" s="1"/>
  <c r="AD235" i="16" s="1"/>
  <c r="H230" i="16"/>
  <c r="AB230" i="16" s="1"/>
  <c r="AC230" i="16" s="1"/>
  <c r="AD230" i="16" s="1"/>
  <c r="H238" i="16"/>
  <c r="AB238" i="16" s="1"/>
  <c r="AC238" i="16" s="1"/>
  <c r="AD238" i="16" s="1"/>
  <c r="H214" i="16"/>
  <c r="AB214" i="16" s="1"/>
  <c r="AC214" i="16" s="1"/>
  <c r="AD214" i="16" s="1"/>
  <c r="H254" i="16"/>
  <c r="AB254" i="16" s="1"/>
  <c r="AC254" i="16" s="1"/>
  <c r="H222" i="16"/>
  <c r="AB222" i="16" s="1"/>
  <c r="AC222" i="16" s="1"/>
  <c r="AD222" i="16" s="1"/>
  <c r="H246" i="16"/>
  <c r="AB246" i="16" s="1"/>
  <c r="AC246" i="16" s="1"/>
  <c r="AD246" i="16" s="1"/>
  <c r="H206" i="16"/>
  <c r="AB206" i="16" s="1"/>
  <c r="AC206" i="16" s="1"/>
  <c r="AD206" i="16" s="1"/>
  <c r="H218" i="16"/>
  <c r="AB218" i="16" s="1"/>
  <c r="AC218" i="16" s="1"/>
  <c r="AD218" i="16" s="1"/>
  <c r="H242" i="16"/>
  <c r="AB242" i="16" s="1"/>
  <c r="AC242" i="16" s="1"/>
  <c r="AD242" i="16" s="1"/>
  <c r="H210" i="16"/>
  <c r="AB210" i="16" s="1"/>
  <c r="AC210" i="16" s="1"/>
  <c r="AD210" i="16" s="1"/>
  <c r="H250" i="16"/>
  <c r="AB250" i="16" s="1"/>
  <c r="AC250" i="16" s="1"/>
  <c r="AD250" i="16" s="1"/>
  <c r="H226" i="16"/>
  <c r="AB226" i="16" s="1"/>
  <c r="AC226" i="16" s="1"/>
  <c r="AD226" i="16" s="1"/>
  <c r="H234" i="16"/>
  <c r="AB234" i="16" s="1"/>
  <c r="AC234" i="16" s="1"/>
  <c r="AD234" i="16" s="1"/>
  <c r="H258" i="16"/>
  <c r="AB258" i="16" s="1"/>
  <c r="AC258" i="16" s="1"/>
  <c r="H260" i="16"/>
  <c r="AB260" i="16" s="1"/>
  <c r="AC260" i="16" s="1"/>
  <c r="H236" i="16"/>
  <c r="AB236" i="16" s="1"/>
  <c r="AC236" i="16" s="1"/>
  <c r="AD236" i="16" s="1"/>
  <c r="H244" i="16"/>
  <c r="AB244" i="16" s="1"/>
  <c r="AC244" i="16" s="1"/>
  <c r="AD244" i="16" s="1"/>
  <c r="H252" i="16"/>
  <c r="AB252" i="16" s="1"/>
  <c r="AC252" i="16" s="1"/>
  <c r="AD252" i="16" s="1"/>
  <c r="H212" i="16"/>
  <c r="AB212" i="16" s="1"/>
  <c r="AC212" i="16" s="1"/>
  <c r="AD212" i="16" s="1"/>
  <c r="H228" i="16"/>
  <c r="AB228" i="16" s="1"/>
  <c r="AC228" i="16" s="1"/>
  <c r="AD228" i="16" s="1"/>
  <c r="H220" i="16"/>
  <c r="AB220" i="16" s="1"/>
  <c r="AC220" i="16" s="1"/>
  <c r="AD220" i="16" s="1"/>
  <c r="H216" i="16"/>
  <c r="AB216" i="16" s="1"/>
  <c r="AC216" i="16" s="1"/>
  <c r="AD216" i="16" s="1"/>
  <c r="H224" i="16"/>
  <c r="AB224" i="16" s="1"/>
  <c r="AC224" i="16" s="1"/>
  <c r="AD224" i="16" s="1"/>
  <c r="H208" i="16"/>
  <c r="AB208" i="16" s="1"/>
  <c r="AC208" i="16" s="1"/>
  <c r="AD208" i="16" s="1"/>
  <c r="H256" i="16"/>
  <c r="AB256" i="16" s="1"/>
  <c r="AC256" i="16" s="1"/>
  <c r="H248" i="16"/>
  <c r="AB248" i="16" s="1"/>
  <c r="AC248" i="16" s="1"/>
  <c r="AD248" i="16" s="1"/>
  <c r="H240" i="16"/>
  <c r="AB240" i="16" s="1"/>
  <c r="AC240" i="16" s="1"/>
  <c r="AD240" i="16" s="1"/>
  <c r="H232" i="16"/>
  <c r="AB232" i="16" s="1"/>
  <c r="AC232" i="16" s="1"/>
  <c r="AD232" i="16" s="1"/>
  <c r="L391" i="17"/>
  <c r="L383" i="17"/>
  <c r="L376" i="17"/>
  <c r="L368" i="17"/>
  <c r="L360" i="17"/>
  <c r="L397" i="17"/>
  <c r="L392" i="17"/>
  <c r="L384" i="17"/>
  <c r="L377" i="17"/>
  <c r="L369" i="17"/>
  <c r="L361" i="17"/>
  <c r="L398" i="17"/>
  <c r="L393" i="17"/>
  <c r="L385" i="17"/>
  <c r="L378" i="17"/>
  <c r="L370" i="17"/>
  <c r="L362" i="17"/>
  <c r="L390" i="17"/>
  <c r="L363" i="17"/>
  <c r="L382" i="17"/>
  <c r="L371" i="17"/>
  <c r="L358" i="17"/>
  <c r="L380" i="17"/>
  <c r="L372" i="17"/>
  <c r="L387" i="17"/>
  <c r="L379" i="17"/>
  <c r="L365" i="17"/>
  <c r="L357" i="17"/>
  <c r="L373" i="17"/>
  <c r="L359" i="17"/>
  <c r="L389" i="17"/>
  <c r="L386" i="17"/>
  <c r="L396" i="17"/>
  <c r="L399" i="17"/>
  <c r="L367" i="17"/>
  <c r="L366" i="17"/>
  <c r="L374" i="17"/>
  <c r="L364" i="17"/>
  <c r="L381" i="17"/>
  <c r="L388" i="17"/>
  <c r="L375" i="17"/>
  <c r="L400" i="17"/>
  <c r="L394" i="17"/>
  <c r="L395" i="17"/>
  <c r="AI20" i="15"/>
  <c r="E20" i="15" s="1"/>
  <c r="D20" i="15"/>
  <c r="AH21" i="15"/>
  <c r="AE22" i="15"/>
  <c r="L22" i="15"/>
  <c r="L37" i="15"/>
  <c r="AQ20" i="15"/>
  <c r="G35" i="15"/>
  <c r="AP21" i="15"/>
  <c r="G21" i="15" s="1"/>
  <c r="AT22" i="15"/>
  <c r="X23" i="15"/>
  <c r="H23" i="15" s="1"/>
  <c r="H22" i="15"/>
  <c r="AE38" i="15"/>
  <c r="AH37" i="15"/>
  <c r="J38" i="15"/>
  <c r="J23" i="15"/>
  <c r="J39" i="15" s="1"/>
  <c r="D36" i="15"/>
  <c r="AI36" i="15"/>
  <c r="E36" i="15" s="1"/>
  <c r="X38" i="15"/>
  <c r="H37" i="15"/>
  <c r="J56" i="5"/>
  <c r="L56" i="5"/>
  <c r="K56" i="5"/>
  <c r="N56" i="5"/>
  <c r="M56" i="5"/>
  <c r="K199" i="9"/>
  <c r="K195" i="9"/>
  <c r="K128" i="9"/>
  <c r="E17" i="9"/>
  <c r="L16" i="9"/>
  <c r="N40" i="5"/>
  <c r="M40" i="5"/>
  <c r="AD256" i="16" l="1"/>
  <c r="H520" i="17" a="1"/>
  <c r="H520" i="17" s="1"/>
  <c r="H521" i="17" a="1"/>
  <c r="H521" i="17" s="1"/>
  <c r="H523" i="17" a="1"/>
  <c r="H523" i="17" s="1"/>
  <c r="H519" i="17" a="1"/>
  <c r="H519" i="17" s="1"/>
  <c r="H522" i="17" a="1"/>
  <c r="H522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7" i="16"/>
  <c r="H527" i="17" a="1"/>
  <c r="H527" i="17" s="1"/>
  <c r="H524" i="17" a="1"/>
  <c r="H524" i="17" s="1"/>
  <c r="H525" i="17" a="1"/>
  <c r="H525" i="17" s="1"/>
  <c r="H526" i="17" a="1"/>
  <c r="H526" i="17" s="1"/>
  <c r="AD254" i="16"/>
  <c r="H512" i="17" a="1"/>
  <c r="H512" i="17" s="1"/>
  <c r="H513" i="17" a="1"/>
  <c r="H513" i="17" s="1"/>
  <c r="H514" i="17" a="1"/>
  <c r="H514" i="17" s="1"/>
  <c r="AD258" i="16"/>
  <c r="H530" i="17" a="1"/>
  <c r="H530" i="17" s="1"/>
  <c r="H529" i="17" a="1"/>
  <c r="H529" i="17" s="1"/>
  <c r="H528" i="17" a="1"/>
  <c r="H528" i="17" s="1"/>
  <c r="AD255" i="16"/>
  <c r="H517" i="17" a="1"/>
  <c r="H517" i="17" s="1"/>
  <c r="H515" i="17" a="1"/>
  <c r="H515" i="17" s="1"/>
  <c r="H518" i="17" a="1"/>
  <c r="H518" i="17" s="1"/>
  <c r="H516" i="17" a="1"/>
  <c r="H516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59" i="16"/>
  <c r="H575" i="17" s="1" a="1"/>
  <c r="H575" i="17" s="1"/>
  <c r="AE11" i="17" s="1"/>
  <c r="AE33" i="17" s="1"/>
  <c r="H647" i="17" s="1" a="1"/>
  <c r="H647" i="17" s="1"/>
  <c r="H531" i="17" a="1"/>
  <c r="H531" i="17" s="1"/>
  <c r="G36" i="15"/>
  <c r="AQ21" i="15"/>
  <c r="AI37" i="15"/>
  <c r="E37" i="15" s="1"/>
  <c r="D37" i="15"/>
  <c r="AE39" i="15"/>
  <c r="AH39" i="15" s="1"/>
  <c r="AH38" i="15"/>
  <c r="AE23" i="15"/>
  <c r="AH23" i="15" s="1"/>
  <c r="AH22" i="15"/>
  <c r="L38" i="15"/>
  <c r="L23" i="15"/>
  <c r="L39" i="15" s="1"/>
  <c r="X39" i="15"/>
  <c r="H39" i="15" s="1"/>
  <c r="H38" i="15"/>
  <c r="AI21" i="15"/>
  <c r="E21" i="15" s="1"/>
  <c r="D21" i="15"/>
  <c r="AP22" i="15"/>
  <c r="G22" i="15" s="1"/>
  <c r="AT23" i="15"/>
  <c r="AP23" i="15" s="1"/>
  <c r="K203" i="9"/>
  <c r="K207" i="9"/>
  <c r="L69" i="9"/>
  <c r="E70" i="9"/>
  <c r="L17" i="9"/>
  <c r="E18" i="9"/>
  <c r="O40" i="5"/>
  <c r="H562" i="17" l="1" a="1"/>
  <c r="H562" i="17" s="1"/>
  <c r="H560" i="17" a="1"/>
  <c r="H560" i="17" s="1"/>
  <c r="H561" i="17" a="1"/>
  <c r="H561" i="17" s="1"/>
  <c r="H559" i="17" a="1"/>
  <c r="H559" i="17" s="1"/>
  <c r="AE7" i="17" s="1"/>
  <c r="AE29" i="17" s="1"/>
  <c r="H643" i="17" s="1" a="1"/>
  <c r="H643" i="17" s="1"/>
  <c r="H566" i="17" a="1"/>
  <c r="H566" i="17" s="1"/>
  <c r="H563" i="17" a="1"/>
  <c r="H563" i="17" s="1"/>
  <c r="AE8" i="17" s="1"/>
  <c r="AE30" i="17" s="1"/>
  <c r="H644" i="17" s="1" a="1"/>
  <c r="H644" i="17" s="1"/>
  <c r="H564" i="17" a="1"/>
  <c r="H564" i="17" s="1"/>
  <c r="H565" i="17" a="1"/>
  <c r="H565" i="17" s="1"/>
  <c r="H567" i="17" a="1"/>
  <c r="H567" i="17" s="1"/>
  <c r="H556" i="17" a="1"/>
  <c r="H556" i="17" s="1"/>
  <c r="AE6" i="17" s="1"/>
  <c r="AE28" i="17" s="1"/>
  <c r="H642" i="17" s="1" a="1"/>
  <c r="H642" i="17" s="1"/>
  <c r="H557" i="17" a="1"/>
  <c r="H557" i="17" s="1"/>
  <c r="H558" i="17" a="1"/>
  <c r="H558" i="17" s="1"/>
  <c r="H574" i="17" a="1"/>
  <c r="H574" i="17" s="1"/>
  <c r="H572" i="17" a="1"/>
  <c r="H572" i="17" s="1"/>
  <c r="AE10" i="17" s="1"/>
  <c r="AE32" i="17" s="1"/>
  <c r="H646" i="17" s="1" a="1"/>
  <c r="H646" i="17" s="1"/>
  <c r="H573" i="17" a="1"/>
  <c r="H573" i="17" s="1"/>
  <c r="H568" i="17" a="1"/>
  <c r="H568" i="17" s="1"/>
  <c r="AE9" i="17" s="1"/>
  <c r="AE31" i="17" s="1"/>
  <c r="H645" i="17" s="1" a="1"/>
  <c r="H645" i="17" s="1"/>
  <c r="H570" i="17" a="1"/>
  <c r="H570" i="17" s="1"/>
  <c r="H571" i="17" a="1"/>
  <c r="H571" i="17" s="1"/>
  <c r="H569" i="17" a="1"/>
  <c r="H569" i="17" s="1"/>
  <c r="D39" i="15"/>
  <c r="G23" i="15"/>
  <c r="AP5" i="15"/>
  <c r="D22" i="15"/>
  <c r="AI22" i="15"/>
  <c r="E22" i="15" s="1"/>
  <c r="AI23" i="15"/>
  <c r="E23" i="15" s="1"/>
  <c r="D23" i="15"/>
  <c r="AQ22" i="15"/>
  <c r="G37" i="15"/>
  <c r="D38" i="15"/>
  <c r="AI38" i="15"/>
  <c r="E38" i="15" s="1"/>
  <c r="K215" i="9"/>
  <c r="K211" i="9"/>
  <c r="E71" i="9"/>
  <c r="L70" i="9"/>
  <c r="L18" i="9"/>
  <c r="E19" i="9"/>
  <c r="P40" i="5"/>
  <c r="AQ23" i="15" l="1"/>
  <c r="G38" i="15"/>
  <c r="AI39" i="15"/>
  <c r="E39" i="15" s="1"/>
  <c r="K219" i="9"/>
  <c r="K223" i="9"/>
  <c r="L71" i="9"/>
  <c r="E72" i="9"/>
  <c r="E20" i="9"/>
  <c r="L19" i="9"/>
  <c r="Q40" i="5"/>
  <c r="G39" i="15" l="1"/>
  <c r="AQ5" i="15"/>
  <c r="K231" i="9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29" i="4" s="1"/>
  <c r="D7" i="11"/>
  <c r="K6" i="4"/>
  <c r="K28" i="4" s="1"/>
  <c r="K6" i="11"/>
  <c r="K28" i="11" s="1"/>
  <c r="K17" i="12" s="1"/>
  <c r="K28" i="12" s="1"/>
  <c r="F6" i="4"/>
  <c r="F28" i="4" s="1"/>
  <c r="I13" i="9" s="1" a="1"/>
  <c r="I13" i="9" s="1"/>
  <c r="AN13" i="16" s="1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AN5" i="16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31" i="4" s="1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33" i="7" s="1"/>
  <c r="N33" i="8" s="1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O32" i="4" s="1"/>
  <c r="P32" i="4" s="1"/>
  <c r="Q32" i="4" s="1"/>
  <c r="R32" i="4" s="1"/>
  <c r="S32" i="4" s="1"/>
  <c r="T32" i="4" s="1"/>
  <c r="I129" i="9" s="1" a="1"/>
  <c r="I129" i="9" s="1"/>
  <c r="AN129" i="16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32" i="7" s="1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31" i="4" s="1"/>
  <c r="K9" i="5"/>
  <c r="K31" i="5" s="1"/>
  <c r="I184" i="9" s="1" a="1"/>
  <c r="I184" i="9" s="1"/>
  <c r="AN184" i="16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30" i="7" s="1"/>
  <c r="L30" i="8" s="1"/>
  <c r="L8" i="5"/>
  <c r="L30" i="5" s="1"/>
  <c r="I191" i="9" s="1" a="1"/>
  <c r="I191" i="9" s="1"/>
  <c r="AN191" i="16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30" i="6" s="1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29" i="6" s="1"/>
  <c r="N7" i="4"/>
  <c r="N29" i="4" s="1"/>
  <c r="I78" i="9" s="1" a="1"/>
  <c r="I78" i="9" s="1"/>
  <c r="AN78" i="16" s="1"/>
  <c r="H7" i="2"/>
  <c r="H29" i="2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J28" i="6" s="1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35" i="6" s="1"/>
  <c r="P35" i="6" s="1"/>
  <c r="Q35" i="6" s="1"/>
  <c r="R35" i="6" s="1"/>
  <c r="S35" i="6" s="1"/>
  <c r="T35" i="6" s="1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6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6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J31" i="4" s="1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F30" i="4" s="1"/>
  <c r="I15" i="9" s="1" a="1"/>
  <c r="I15" i="9" s="1"/>
  <c r="AN15" i="16" s="1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L29" i="4" s="1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AN150" i="16" s="1"/>
  <c r="N6" i="2"/>
  <c r="N28" i="2" s="1"/>
  <c r="N6" i="8"/>
  <c r="N6" i="7"/>
  <c r="N28" i="7" s="1"/>
  <c r="N28" i="8" s="1"/>
  <c r="N6" i="5"/>
  <c r="N28" i="5" s="1"/>
  <c r="I205" i="9" s="1" a="1"/>
  <c r="I205" i="9" s="1"/>
  <c r="AN205" i="16" s="1"/>
  <c r="N6" i="6"/>
  <c r="N28" i="6" s="1"/>
  <c r="H6" i="2"/>
  <c r="H28" i="2" s="1"/>
  <c r="H6" i="7"/>
  <c r="H28" i="7" s="1"/>
  <c r="H28" i="8" s="1"/>
  <c r="H6" i="8"/>
  <c r="H6" i="5"/>
  <c r="H28" i="5" s="1"/>
  <c r="I157" i="9" s="1" a="1"/>
  <c r="I157" i="9" s="1"/>
  <c r="AN157" i="16" s="1"/>
  <c r="H6" i="6"/>
  <c r="J6" i="4"/>
  <c r="J28" i="4" s="1"/>
  <c r="N6" i="4"/>
  <c r="N28" i="4" s="1"/>
  <c r="I77" i="9" s="1" a="1"/>
  <c r="I77" i="9" s="1"/>
  <c r="AN77" i="16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33" i="4" s="1"/>
  <c r="K11" i="5"/>
  <c r="K33" i="5" s="1"/>
  <c r="I186" i="9" s="1" a="1"/>
  <c r="I186" i="9" s="1"/>
  <c r="AN186" i="16" s="1"/>
  <c r="F11" i="2"/>
  <c r="F33" i="2" s="1"/>
  <c r="F11" i="8"/>
  <c r="F11" i="7"/>
  <c r="F33" i="7" s="1"/>
  <c r="F33" i="8" s="1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31" i="7" s="1"/>
  <c r="N31" i="8" s="1"/>
  <c r="N9" i="5"/>
  <c r="N31" i="5" s="1"/>
  <c r="I208" i="9" s="1" a="1"/>
  <c r="I208" i="9" s="1"/>
  <c r="AN208" i="16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30" i="6" s="1"/>
  <c r="P30" i="6" s="1"/>
  <c r="Q30" i="6" s="1"/>
  <c r="R30" i="6" s="1"/>
  <c r="S30" i="6" s="1"/>
  <c r="T30" i="6" s="1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30" i="7" s="1"/>
  <c r="J30" i="8" s="1"/>
  <c r="J8" i="5"/>
  <c r="J30" i="5" s="1"/>
  <c r="I175" i="9" s="1" a="1"/>
  <c r="I175" i="9" s="1"/>
  <c r="AN175" i="16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C28" i="4" s="1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33" i="6" s="1"/>
  <c r="P33" i="6" s="1"/>
  <c r="Q33" i="6" s="1"/>
  <c r="R33" i="6" s="1"/>
  <c r="S33" i="6" s="1"/>
  <c r="T33" i="6" s="1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F32" i="4" s="1"/>
  <c r="I17" i="9" s="1" a="1"/>
  <c r="I17" i="9" s="1"/>
  <c r="AN17" i="16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L28" i="6"/>
  <c r="F30" i="6"/>
  <c r="E81" i="9"/>
  <c r="L80" i="9"/>
  <c r="L28" i="9"/>
  <c r="B26" i="7"/>
  <c r="L24" i="6"/>
  <c r="B26" i="6"/>
  <c r="I24" i="6"/>
  <c r="B26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21" i="16" l="1"/>
  <c r="J21" i="16" s="1"/>
  <c r="P21" i="16" s="1"/>
  <c r="I13" i="16"/>
  <c r="J13" i="16" s="1"/>
  <c r="P13" i="16" s="1"/>
  <c r="I5" i="16"/>
  <c r="J5" i="16" s="1"/>
  <c r="P5" i="16" s="1"/>
  <c r="I133" i="16"/>
  <c r="J133" i="16" s="1"/>
  <c r="P133" i="16" s="1"/>
  <c r="I149" i="16"/>
  <c r="J149" i="16" s="1"/>
  <c r="P149" i="16" s="1"/>
  <c r="I141" i="16"/>
  <c r="J141" i="16" s="1"/>
  <c r="P141" i="16" s="1"/>
  <c r="I157" i="16"/>
  <c r="J157" i="16" s="1"/>
  <c r="P157" i="16" s="1"/>
  <c r="J35" i="12"/>
  <c r="L35" i="6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P19" i="8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197" i="16" s="1"/>
  <c r="J197" i="16" s="1"/>
  <c r="P197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Q24" i="5" s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I10" i="16" l="1"/>
  <c r="J10" i="16" s="1"/>
  <c r="P10" i="16" s="1"/>
  <c r="I18" i="16"/>
  <c r="J18" i="16" s="1"/>
  <c r="P18" i="16" s="1"/>
  <c r="I26" i="16"/>
  <c r="J26" i="16" s="1"/>
  <c r="P26" i="16" s="1"/>
  <c r="G10" i="16"/>
  <c r="G18" i="16"/>
  <c r="G74" i="16"/>
  <c r="G50" i="16"/>
  <c r="G42" i="16"/>
  <c r="G90" i="16"/>
  <c r="G26" i="16"/>
  <c r="G66" i="16"/>
  <c r="G34" i="16"/>
  <c r="G58" i="16"/>
  <c r="G82" i="16"/>
  <c r="G207" i="16"/>
  <c r="G191" i="16"/>
  <c r="G175" i="16"/>
  <c r="G183" i="16"/>
  <c r="G135" i="16"/>
  <c r="G167" i="16"/>
  <c r="G151" i="16"/>
  <c r="G143" i="16"/>
  <c r="G159" i="16"/>
  <c r="G199" i="16"/>
  <c r="Q141" i="16"/>
  <c r="R141" i="16"/>
  <c r="I205" i="16"/>
  <c r="J205" i="16" s="1"/>
  <c r="P205" i="16" s="1"/>
  <c r="Q5" i="16"/>
  <c r="R5" i="16"/>
  <c r="I20" i="16"/>
  <c r="J20" i="16" s="1"/>
  <c r="P20" i="16" s="1"/>
  <c r="I28" i="16"/>
  <c r="J28" i="16" s="1"/>
  <c r="P28" i="16" s="1"/>
  <c r="I12" i="16"/>
  <c r="J12" i="16" s="1"/>
  <c r="P12" i="16" s="1"/>
  <c r="I138" i="16"/>
  <c r="J138" i="16" s="1"/>
  <c r="P138" i="16" s="1"/>
  <c r="I186" i="16"/>
  <c r="J186" i="16" s="1"/>
  <c r="P186" i="16" s="1"/>
  <c r="I170" i="16"/>
  <c r="J170" i="16" s="1"/>
  <c r="P170" i="16" s="1"/>
  <c r="I218" i="16"/>
  <c r="J218" i="16" s="1"/>
  <c r="P218" i="16" s="1"/>
  <c r="I162" i="16"/>
  <c r="J162" i="16" s="1"/>
  <c r="P162" i="16" s="1"/>
  <c r="I178" i="16"/>
  <c r="J178" i="16" s="1"/>
  <c r="P178" i="16" s="1"/>
  <c r="I194" i="16"/>
  <c r="J194" i="16" s="1"/>
  <c r="P194" i="16" s="1"/>
  <c r="I202" i="16"/>
  <c r="J202" i="16" s="1"/>
  <c r="P202" i="16" s="1"/>
  <c r="I154" i="16"/>
  <c r="J154" i="16" s="1"/>
  <c r="P154" i="16" s="1"/>
  <c r="I146" i="16"/>
  <c r="J146" i="16" s="1"/>
  <c r="P146" i="16" s="1"/>
  <c r="I210" i="16"/>
  <c r="J210" i="16" s="1"/>
  <c r="P210" i="16" s="1"/>
  <c r="I219" i="16"/>
  <c r="J219" i="16" s="1"/>
  <c r="P219" i="16" s="1"/>
  <c r="I147" i="16"/>
  <c r="J147" i="16" s="1"/>
  <c r="P147" i="16" s="1"/>
  <c r="I171" i="16"/>
  <c r="J171" i="16" s="1"/>
  <c r="P171" i="16" s="1"/>
  <c r="I139" i="16"/>
  <c r="J139" i="16" s="1"/>
  <c r="P139" i="16" s="1"/>
  <c r="I163" i="16"/>
  <c r="J163" i="16" s="1"/>
  <c r="P163" i="16" s="1"/>
  <c r="I211" i="16"/>
  <c r="J211" i="16" s="1"/>
  <c r="P211" i="16" s="1"/>
  <c r="I179" i="16"/>
  <c r="J179" i="16" s="1"/>
  <c r="P179" i="16" s="1"/>
  <c r="I155" i="16"/>
  <c r="J155" i="16" s="1"/>
  <c r="P155" i="16" s="1"/>
  <c r="I203" i="16"/>
  <c r="J203" i="16" s="1"/>
  <c r="P203" i="16" s="1"/>
  <c r="I195" i="16"/>
  <c r="J195" i="16" s="1"/>
  <c r="P195" i="16" s="1"/>
  <c r="I187" i="16"/>
  <c r="J187" i="16" s="1"/>
  <c r="P187" i="16" s="1"/>
  <c r="G7" i="16"/>
  <c r="G15" i="16"/>
  <c r="G55" i="16"/>
  <c r="G63" i="16"/>
  <c r="G39" i="16"/>
  <c r="G79" i="16"/>
  <c r="G31" i="16"/>
  <c r="G71" i="16"/>
  <c r="G47" i="16"/>
  <c r="G23" i="16"/>
  <c r="I173" i="16"/>
  <c r="J173" i="16" s="1"/>
  <c r="P173" i="16" s="1"/>
  <c r="I165" i="16"/>
  <c r="J165" i="16" s="1"/>
  <c r="P165" i="16" s="1"/>
  <c r="G154" i="16"/>
  <c r="G194" i="16"/>
  <c r="G138" i="16"/>
  <c r="G170" i="16"/>
  <c r="G186" i="16"/>
  <c r="G178" i="16"/>
  <c r="G210" i="16"/>
  <c r="G162" i="16"/>
  <c r="G202" i="16"/>
  <c r="G146" i="16"/>
  <c r="G218" i="16"/>
  <c r="I148" i="16"/>
  <c r="J148" i="16" s="1"/>
  <c r="P148" i="16" s="1"/>
  <c r="I164" i="16"/>
  <c r="J164" i="16" s="1"/>
  <c r="P164" i="16" s="1"/>
  <c r="I180" i="16"/>
  <c r="J180" i="16" s="1"/>
  <c r="P180" i="16" s="1"/>
  <c r="I156" i="16"/>
  <c r="J156" i="16" s="1"/>
  <c r="P156" i="16" s="1"/>
  <c r="I140" i="16"/>
  <c r="J140" i="16" s="1"/>
  <c r="P140" i="16" s="1"/>
  <c r="I188" i="16"/>
  <c r="J188" i="16" s="1"/>
  <c r="P188" i="16" s="1"/>
  <c r="I172" i="16"/>
  <c r="J172" i="16" s="1"/>
  <c r="P172" i="16" s="1"/>
  <c r="I212" i="16"/>
  <c r="J212" i="16" s="1"/>
  <c r="P212" i="16" s="1"/>
  <c r="I196" i="16"/>
  <c r="J196" i="16" s="1"/>
  <c r="P196" i="16" s="1"/>
  <c r="I204" i="16"/>
  <c r="J204" i="16" s="1"/>
  <c r="P204" i="16" s="1"/>
  <c r="I220" i="16"/>
  <c r="J220" i="16" s="1"/>
  <c r="P220" i="16" s="1"/>
  <c r="I14" i="16"/>
  <c r="J14" i="16" s="1"/>
  <c r="P14" i="16" s="1"/>
  <c r="I6" i="16"/>
  <c r="J6" i="16" s="1"/>
  <c r="P6" i="16" s="1"/>
  <c r="I22" i="16"/>
  <c r="J22" i="16" s="1"/>
  <c r="P22" i="16" s="1"/>
  <c r="I27" i="16"/>
  <c r="J27" i="16" s="1"/>
  <c r="P27" i="16" s="1"/>
  <c r="I19" i="16"/>
  <c r="J19" i="16" s="1"/>
  <c r="P19" i="16" s="1"/>
  <c r="I11" i="16"/>
  <c r="J11" i="16" s="1"/>
  <c r="P11" i="16" s="1"/>
  <c r="G49" i="16"/>
  <c r="G57" i="16"/>
  <c r="G41" i="16"/>
  <c r="G25" i="16"/>
  <c r="G17" i="16"/>
  <c r="G73" i="16"/>
  <c r="G33" i="16"/>
  <c r="G9" i="16"/>
  <c r="G89" i="16"/>
  <c r="G65" i="16"/>
  <c r="G81" i="16"/>
  <c r="G19" i="16"/>
  <c r="G43" i="16"/>
  <c r="G75" i="16"/>
  <c r="G51" i="16"/>
  <c r="G35" i="16"/>
  <c r="G83" i="16"/>
  <c r="G11" i="16"/>
  <c r="G67" i="16"/>
  <c r="G91" i="16"/>
  <c r="G27" i="16"/>
  <c r="G59" i="16"/>
  <c r="I213" i="16"/>
  <c r="J213" i="16" s="1"/>
  <c r="P213" i="16" s="1"/>
  <c r="I29" i="16"/>
  <c r="J29" i="16" s="1"/>
  <c r="P29" i="16" s="1"/>
  <c r="Q157" i="16"/>
  <c r="R157" i="16"/>
  <c r="I16" i="16"/>
  <c r="J16" i="16" s="1"/>
  <c r="P16" i="16" s="1"/>
  <c r="I24" i="16"/>
  <c r="J24" i="16" s="1"/>
  <c r="P24" i="16" s="1"/>
  <c r="I8" i="16"/>
  <c r="J8" i="16" s="1"/>
  <c r="P8" i="16" s="1"/>
  <c r="I183" i="16"/>
  <c r="J183" i="16" s="1"/>
  <c r="P183" i="16" s="1"/>
  <c r="I175" i="16"/>
  <c r="J175" i="16" s="1"/>
  <c r="P175" i="16" s="1"/>
  <c r="I167" i="16"/>
  <c r="J167" i="16" s="1"/>
  <c r="P167" i="16" s="1"/>
  <c r="I135" i="16"/>
  <c r="J135" i="16" s="1"/>
  <c r="P135" i="16" s="1"/>
  <c r="I143" i="16"/>
  <c r="J143" i="16" s="1"/>
  <c r="P143" i="16" s="1"/>
  <c r="I215" i="16"/>
  <c r="J215" i="16" s="1"/>
  <c r="P215" i="16" s="1"/>
  <c r="I191" i="16"/>
  <c r="J191" i="16" s="1"/>
  <c r="P191" i="16" s="1"/>
  <c r="I159" i="16"/>
  <c r="J159" i="16" s="1"/>
  <c r="P159" i="16" s="1"/>
  <c r="I199" i="16"/>
  <c r="J199" i="16" s="1"/>
  <c r="P199" i="16" s="1"/>
  <c r="I151" i="16"/>
  <c r="J151" i="16" s="1"/>
  <c r="P151" i="16" s="1"/>
  <c r="I207" i="16"/>
  <c r="J207" i="16" s="1"/>
  <c r="P207" i="16" s="1"/>
  <c r="G145" i="16"/>
  <c r="G161" i="16"/>
  <c r="G153" i="16"/>
  <c r="G169" i="16"/>
  <c r="G177" i="16"/>
  <c r="G137" i="16"/>
  <c r="G193" i="16"/>
  <c r="G201" i="16"/>
  <c r="G217" i="16"/>
  <c r="G209" i="16"/>
  <c r="G185" i="16"/>
  <c r="G195" i="16"/>
  <c r="G203" i="16"/>
  <c r="G179" i="16"/>
  <c r="G171" i="16"/>
  <c r="G147" i="16"/>
  <c r="G155" i="16"/>
  <c r="G187" i="16"/>
  <c r="G163" i="16"/>
  <c r="G219" i="16"/>
  <c r="G211" i="16"/>
  <c r="G139" i="16"/>
  <c r="I181" i="16"/>
  <c r="J181" i="16" s="1"/>
  <c r="P181" i="16" s="1"/>
  <c r="I158" i="16"/>
  <c r="J158" i="16" s="1"/>
  <c r="P158" i="16" s="1"/>
  <c r="I142" i="16"/>
  <c r="J142" i="16" s="1"/>
  <c r="P142" i="16" s="1"/>
  <c r="I150" i="16"/>
  <c r="J150" i="16" s="1"/>
  <c r="P150" i="16" s="1"/>
  <c r="I174" i="16"/>
  <c r="J174" i="16" s="1"/>
  <c r="P174" i="16" s="1"/>
  <c r="I190" i="16"/>
  <c r="J190" i="16" s="1"/>
  <c r="P190" i="16" s="1"/>
  <c r="I166" i="16"/>
  <c r="J166" i="16" s="1"/>
  <c r="P166" i="16" s="1"/>
  <c r="I214" i="16"/>
  <c r="J214" i="16" s="1"/>
  <c r="P214" i="16" s="1"/>
  <c r="I134" i="16"/>
  <c r="J134" i="16" s="1"/>
  <c r="P134" i="16" s="1"/>
  <c r="I182" i="16"/>
  <c r="J182" i="16" s="1"/>
  <c r="P182" i="16" s="1"/>
  <c r="I198" i="16"/>
  <c r="J198" i="16" s="1"/>
  <c r="P198" i="16" s="1"/>
  <c r="I206" i="16"/>
  <c r="J206" i="16" s="1"/>
  <c r="P206" i="16" s="1"/>
  <c r="I23" i="16"/>
  <c r="J23" i="16" s="1"/>
  <c r="P23" i="16" s="1"/>
  <c r="I15" i="16"/>
  <c r="J15" i="16" s="1"/>
  <c r="P15" i="16" s="1"/>
  <c r="I7" i="16"/>
  <c r="J7" i="16" s="1"/>
  <c r="P7" i="16" s="1"/>
  <c r="G48" i="16"/>
  <c r="G24" i="16"/>
  <c r="G32" i="16"/>
  <c r="G72" i="16"/>
  <c r="G88" i="16"/>
  <c r="G64" i="16"/>
  <c r="G8" i="16"/>
  <c r="G16" i="16"/>
  <c r="G56" i="16"/>
  <c r="G80" i="16"/>
  <c r="G40" i="16"/>
  <c r="I189" i="16"/>
  <c r="J189" i="16" s="1"/>
  <c r="P189" i="16" s="1"/>
  <c r="Q149" i="16"/>
  <c r="R149" i="16"/>
  <c r="Q13" i="16"/>
  <c r="R13" i="16"/>
  <c r="S13" i="16" s="1"/>
  <c r="Q197" i="16"/>
  <c r="R197" i="16"/>
  <c r="S197" i="16" s="1"/>
  <c r="I136" i="16"/>
  <c r="J136" i="16" s="1"/>
  <c r="P136" i="16" s="1"/>
  <c r="I208" i="16"/>
  <c r="J208" i="16" s="1"/>
  <c r="P208" i="16" s="1"/>
  <c r="I216" i="16"/>
  <c r="J216" i="16" s="1"/>
  <c r="P216" i="16" s="1"/>
  <c r="I200" i="16"/>
  <c r="J200" i="16" s="1"/>
  <c r="P200" i="16" s="1"/>
  <c r="I192" i="16"/>
  <c r="J192" i="16" s="1"/>
  <c r="P192" i="16" s="1"/>
  <c r="I160" i="16"/>
  <c r="J160" i="16" s="1"/>
  <c r="P160" i="16" s="1"/>
  <c r="I144" i="16"/>
  <c r="J144" i="16" s="1"/>
  <c r="P144" i="16" s="1"/>
  <c r="I152" i="16"/>
  <c r="J152" i="16" s="1"/>
  <c r="P152" i="16" s="1"/>
  <c r="I168" i="16"/>
  <c r="J168" i="16" s="1"/>
  <c r="P168" i="16" s="1"/>
  <c r="I184" i="16"/>
  <c r="J184" i="16" s="1"/>
  <c r="P184" i="16" s="1"/>
  <c r="I176" i="16"/>
  <c r="J176" i="16" s="1"/>
  <c r="P176" i="16" s="1"/>
  <c r="I137" i="16"/>
  <c r="J137" i="16" s="1"/>
  <c r="P137" i="16" s="1"/>
  <c r="I169" i="16"/>
  <c r="J169" i="16" s="1"/>
  <c r="P169" i="16" s="1"/>
  <c r="I177" i="16"/>
  <c r="J177" i="16" s="1"/>
  <c r="P177" i="16" s="1"/>
  <c r="I153" i="16"/>
  <c r="J153" i="16" s="1"/>
  <c r="P153" i="16" s="1"/>
  <c r="I201" i="16"/>
  <c r="J201" i="16" s="1"/>
  <c r="P201" i="16" s="1"/>
  <c r="I161" i="16"/>
  <c r="J161" i="16" s="1"/>
  <c r="P161" i="16" s="1"/>
  <c r="I193" i="16"/>
  <c r="J193" i="16" s="1"/>
  <c r="P193" i="16" s="1"/>
  <c r="I209" i="16"/>
  <c r="J209" i="16" s="1"/>
  <c r="P209" i="16" s="1"/>
  <c r="I145" i="16"/>
  <c r="J145" i="16" s="1"/>
  <c r="P145" i="16" s="1"/>
  <c r="I217" i="16"/>
  <c r="J217" i="16" s="1"/>
  <c r="P217" i="16" s="1"/>
  <c r="I185" i="16"/>
  <c r="J185" i="16" s="1"/>
  <c r="P185" i="16" s="1"/>
  <c r="G216" i="16"/>
  <c r="G136" i="16"/>
  <c r="G200" i="16"/>
  <c r="G192" i="16"/>
  <c r="G160" i="16"/>
  <c r="G144" i="16"/>
  <c r="G152" i="16"/>
  <c r="G208" i="16"/>
  <c r="G168" i="16"/>
  <c r="G184" i="16"/>
  <c r="G176" i="16"/>
  <c r="G198" i="16"/>
  <c r="G214" i="16"/>
  <c r="G150" i="16"/>
  <c r="G182" i="16"/>
  <c r="G174" i="16"/>
  <c r="G190" i="16"/>
  <c r="G166" i="16"/>
  <c r="G206" i="16"/>
  <c r="G134" i="16"/>
  <c r="G158" i="16"/>
  <c r="G142" i="16"/>
  <c r="Q133" i="16"/>
  <c r="R133" i="16"/>
  <c r="S133" i="16" s="1"/>
  <c r="I25" i="16"/>
  <c r="J25" i="16" s="1"/>
  <c r="P25" i="16" s="1"/>
  <c r="I17" i="16"/>
  <c r="J17" i="16" s="1"/>
  <c r="P17" i="16" s="1"/>
  <c r="I9" i="16"/>
  <c r="J9" i="16" s="1"/>
  <c r="P9" i="16" s="1"/>
  <c r="G70" i="16"/>
  <c r="G14" i="16"/>
  <c r="G46" i="16"/>
  <c r="G30" i="16"/>
  <c r="G38" i="16"/>
  <c r="G54" i="16"/>
  <c r="G62" i="16"/>
  <c r="G6" i="16"/>
  <c r="G22" i="16"/>
  <c r="G78" i="16"/>
  <c r="G86" i="16"/>
  <c r="Q21" i="16"/>
  <c r="R21" i="16"/>
  <c r="S21" i="16" s="1"/>
  <c r="Q19" i="6"/>
  <c r="Q17" i="12"/>
  <c r="Q28" i="12" s="1"/>
  <c r="P35" i="12"/>
  <c r="G96" i="9" a="1"/>
  <c r="G96" i="9" s="1"/>
  <c r="AL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G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227" i="9" a="1"/>
  <c r="G227" i="9" s="1"/>
  <c r="AL227" i="16" s="1"/>
  <c r="G98" i="9" a="1"/>
  <c r="G98" i="9" s="1"/>
  <c r="AL98" i="16" s="1"/>
  <c r="G226" i="9" a="1"/>
  <c r="G226" i="9" s="1"/>
  <c r="AL226" i="16" s="1"/>
  <c r="G97" i="9" a="1"/>
  <c r="G97" i="9" s="1"/>
  <c r="AL97" i="16" s="1"/>
  <c r="G97" i="16" s="1"/>
  <c r="G225" i="9" a="1"/>
  <c r="G225" i="9" s="1"/>
  <c r="AL225" i="16" s="1"/>
  <c r="G87" i="9" a="1"/>
  <c r="G87" i="9" s="1"/>
  <c r="AL87" i="16" s="1"/>
  <c r="G87" i="16" s="1"/>
  <c r="G215" i="9" a="1"/>
  <c r="G215" i="9" s="1"/>
  <c r="AL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I225" i="16" s="1"/>
  <c r="J225" i="16" s="1"/>
  <c r="P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I221" i="16" s="1"/>
  <c r="J221" i="16" s="1"/>
  <c r="P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Q221" i="16" l="1"/>
  <c r="R221" i="16"/>
  <c r="T87" i="16"/>
  <c r="U87" i="16" s="1"/>
  <c r="V87" i="16" s="1"/>
  <c r="T94" i="16"/>
  <c r="U94" i="16" s="1"/>
  <c r="V94" i="16" s="1"/>
  <c r="T97" i="16"/>
  <c r="U97" i="16" s="1"/>
  <c r="Q225" i="16"/>
  <c r="R225" i="16"/>
  <c r="S225" i="16" s="1"/>
  <c r="T198" i="16"/>
  <c r="U198" i="16" s="1"/>
  <c r="L198" i="16"/>
  <c r="K198" i="16"/>
  <c r="X198" i="16" s="1"/>
  <c r="Q136" i="16"/>
  <c r="R136" i="16"/>
  <c r="S136" i="16" s="1"/>
  <c r="G53" i="16"/>
  <c r="G45" i="16"/>
  <c r="G69" i="16"/>
  <c r="G37" i="16"/>
  <c r="G85" i="16"/>
  <c r="G93" i="16"/>
  <c r="G29" i="16"/>
  <c r="G61" i="16"/>
  <c r="G13" i="16"/>
  <c r="G21" i="16"/>
  <c r="G77" i="16"/>
  <c r="G5" i="16"/>
  <c r="T46" i="16"/>
  <c r="U46" i="16" s="1"/>
  <c r="V46" i="16" s="1"/>
  <c r="K190" i="16"/>
  <c r="X190" i="16" s="1"/>
  <c r="T190" i="16"/>
  <c r="U190" i="16" s="1"/>
  <c r="L190" i="16"/>
  <c r="K176" i="16"/>
  <c r="X176" i="16" s="1"/>
  <c r="T176" i="16"/>
  <c r="U176" i="16" s="1"/>
  <c r="L176" i="16"/>
  <c r="G224" i="16"/>
  <c r="Q185" i="16"/>
  <c r="R185" i="16"/>
  <c r="S185" i="16" s="1"/>
  <c r="Q201" i="16"/>
  <c r="R201" i="16"/>
  <c r="Q144" i="16"/>
  <c r="R144" i="16"/>
  <c r="G96" i="16"/>
  <c r="Q15" i="16"/>
  <c r="R15" i="16"/>
  <c r="T163" i="16"/>
  <c r="U163" i="16" s="1"/>
  <c r="V163" i="16" s="1"/>
  <c r="L163" i="16"/>
  <c r="K163" i="16"/>
  <c r="X163" i="16" s="1"/>
  <c r="T201" i="16"/>
  <c r="U201" i="16" s="1"/>
  <c r="V201" i="16" s="1"/>
  <c r="L201" i="16"/>
  <c r="K201" i="16"/>
  <c r="X201" i="16" s="1"/>
  <c r="K153" i="16"/>
  <c r="X153" i="16" s="1"/>
  <c r="T153" i="16"/>
  <c r="U153" i="16" s="1"/>
  <c r="L153" i="16"/>
  <c r="I223" i="16"/>
  <c r="J223" i="16" s="1"/>
  <c r="P223" i="16" s="1"/>
  <c r="Q213" i="16"/>
  <c r="R213" i="16"/>
  <c r="K11" i="16"/>
  <c r="X11" i="16" s="1"/>
  <c r="T11" i="16"/>
  <c r="U11" i="16" s="1"/>
  <c r="V11" i="16" s="1"/>
  <c r="L11" i="16"/>
  <c r="T43" i="16"/>
  <c r="U43" i="16" s="1"/>
  <c r="T57" i="16"/>
  <c r="U57" i="16" s="1"/>
  <c r="V57" i="16" s="1"/>
  <c r="Q22" i="16"/>
  <c r="R22" i="16"/>
  <c r="Q172" i="16"/>
  <c r="R172" i="16"/>
  <c r="Q164" i="16"/>
  <c r="R164" i="16"/>
  <c r="S164" i="16" s="1"/>
  <c r="T178" i="16"/>
  <c r="U178" i="16" s="1"/>
  <c r="V178" i="16" s="1"/>
  <c r="K178" i="16"/>
  <c r="X178" i="16" s="1"/>
  <c r="L178" i="16"/>
  <c r="T47" i="16"/>
  <c r="U47" i="16" s="1"/>
  <c r="V47" i="16" s="1"/>
  <c r="Q203" i="16"/>
  <c r="R203" i="16"/>
  <c r="Q139" i="16"/>
  <c r="R139" i="16"/>
  <c r="Q154" i="16"/>
  <c r="R154" i="16"/>
  <c r="S154" i="16" s="1"/>
  <c r="Q218" i="16"/>
  <c r="R218" i="16"/>
  <c r="S218" i="16" s="1"/>
  <c r="Q28" i="16"/>
  <c r="R28" i="16"/>
  <c r="S28" i="16" s="1"/>
  <c r="S5" i="16"/>
  <c r="G215" i="16"/>
  <c r="T34" i="16"/>
  <c r="U34" i="16" s="1"/>
  <c r="V34" i="16" s="1"/>
  <c r="T50" i="16"/>
  <c r="U50" i="16" s="1"/>
  <c r="V50" i="16" s="1"/>
  <c r="T30" i="16"/>
  <c r="U30" i="16" s="1"/>
  <c r="Q161" i="16"/>
  <c r="R161" i="16"/>
  <c r="S161" i="16" s="1"/>
  <c r="T14" i="16"/>
  <c r="U14" i="16" s="1"/>
  <c r="V14" i="16" s="1"/>
  <c r="L14" i="16"/>
  <c r="K14" i="16"/>
  <c r="X14" i="16" s="1"/>
  <c r="Q17" i="16"/>
  <c r="R17" i="16"/>
  <c r="S17" i="16" s="1"/>
  <c r="L142" i="16"/>
  <c r="K142" i="16"/>
  <c r="X142" i="16" s="1"/>
  <c r="T142" i="16"/>
  <c r="U142" i="16" s="1"/>
  <c r="V142" i="16" s="1"/>
  <c r="K174" i="16"/>
  <c r="X174" i="16" s="1"/>
  <c r="L174" i="16"/>
  <c r="T174" i="16"/>
  <c r="U174" i="16" s="1"/>
  <c r="V174" i="16" s="1"/>
  <c r="K160" i="16"/>
  <c r="X160" i="16" s="1"/>
  <c r="T160" i="16"/>
  <c r="U160" i="16" s="1"/>
  <c r="L160" i="16"/>
  <c r="Q153" i="16"/>
  <c r="R153" i="16"/>
  <c r="S153" i="16" s="1"/>
  <c r="Q160" i="16"/>
  <c r="R160" i="16"/>
  <c r="S160" i="16" s="1"/>
  <c r="T40" i="16"/>
  <c r="U40" i="16" s="1"/>
  <c r="Q206" i="16"/>
  <c r="R206" i="16"/>
  <c r="Q166" i="16"/>
  <c r="R166" i="16"/>
  <c r="L187" i="16"/>
  <c r="K187" i="16"/>
  <c r="X187" i="16" s="1"/>
  <c r="T187" i="16"/>
  <c r="U187" i="16" s="1"/>
  <c r="T195" i="16"/>
  <c r="U195" i="16" s="1"/>
  <c r="V195" i="16" s="1"/>
  <c r="K195" i="16"/>
  <c r="X195" i="16" s="1"/>
  <c r="L195" i="16"/>
  <c r="G225" i="16"/>
  <c r="K161" i="16"/>
  <c r="X161" i="16" s="1"/>
  <c r="T161" i="16"/>
  <c r="U161" i="16" s="1"/>
  <c r="V161" i="16" s="1"/>
  <c r="L161" i="16"/>
  <c r="Q159" i="16"/>
  <c r="R159" i="16"/>
  <c r="Q167" i="16"/>
  <c r="R167" i="16"/>
  <c r="L19" i="16"/>
  <c r="T19" i="16"/>
  <c r="U19" i="16" s="1"/>
  <c r="V19" i="16" s="1"/>
  <c r="K19" i="16"/>
  <c r="X19" i="16" s="1"/>
  <c r="T89" i="16"/>
  <c r="U89" i="16" s="1"/>
  <c r="T49" i="16"/>
  <c r="U49" i="16" s="1"/>
  <c r="Q27" i="16"/>
  <c r="R27" i="16"/>
  <c r="Q188" i="16"/>
  <c r="R188" i="16"/>
  <c r="S188" i="16" s="1"/>
  <c r="Q148" i="16"/>
  <c r="R148" i="16"/>
  <c r="T71" i="16"/>
  <c r="U71" i="16" s="1"/>
  <c r="V71" i="16" s="1"/>
  <c r="T63" i="16"/>
  <c r="U63" i="16" s="1"/>
  <c r="Q171" i="16"/>
  <c r="R171" i="16"/>
  <c r="I226" i="16"/>
  <c r="J226" i="16" s="1"/>
  <c r="P226" i="16" s="1"/>
  <c r="Q170" i="16"/>
  <c r="R170" i="16"/>
  <c r="S170" i="16" s="1"/>
  <c r="T143" i="16"/>
  <c r="U143" i="16" s="1"/>
  <c r="L143" i="16"/>
  <c r="K143" i="16"/>
  <c r="X143" i="16" s="1"/>
  <c r="L175" i="16"/>
  <c r="K175" i="16"/>
  <c r="X175" i="16" s="1"/>
  <c r="T175" i="16"/>
  <c r="U175" i="16" s="1"/>
  <c r="V175" i="16" s="1"/>
  <c r="Z175" i="16" s="1"/>
  <c r="T66" i="16"/>
  <c r="U66" i="16" s="1"/>
  <c r="V66" i="16" s="1"/>
  <c r="Q26" i="16"/>
  <c r="R26" i="16"/>
  <c r="S26" i="16" s="1"/>
  <c r="T166" i="16"/>
  <c r="U166" i="16" s="1"/>
  <c r="L166" i="16"/>
  <c r="K166" i="16"/>
  <c r="X166" i="16" s="1"/>
  <c r="T6" i="16"/>
  <c r="U6" i="16" s="1"/>
  <c r="V6" i="16" s="1"/>
  <c r="L6" i="16"/>
  <c r="K6" i="16"/>
  <c r="X6" i="16" s="1"/>
  <c r="L158" i="16"/>
  <c r="T158" i="16"/>
  <c r="U158" i="16" s="1"/>
  <c r="V158" i="16" s="1"/>
  <c r="K158" i="16"/>
  <c r="X158" i="16" s="1"/>
  <c r="K184" i="16"/>
  <c r="X184" i="16" s="1"/>
  <c r="L184" i="16"/>
  <c r="T184" i="16"/>
  <c r="U184" i="16" s="1"/>
  <c r="V184" i="16" s="1"/>
  <c r="T192" i="16"/>
  <c r="U192" i="16" s="1"/>
  <c r="V192" i="16" s="1"/>
  <c r="L192" i="16"/>
  <c r="K192" i="16"/>
  <c r="X192" i="16" s="1"/>
  <c r="Q217" i="16"/>
  <c r="R217" i="16"/>
  <c r="Q177" i="16"/>
  <c r="R177" i="16"/>
  <c r="Q176" i="16"/>
  <c r="R176" i="16"/>
  <c r="S176" i="16" s="1"/>
  <c r="Q192" i="16"/>
  <c r="Y192" i="16" s="1"/>
  <c r="AG192" i="16" s="1"/>
  <c r="R192" i="16"/>
  <c r="S192" i="16" s="1"/>
  <c r="T80" i="16"/>
  <c r="U80" i="16" s="1"/>
  <c r="T88" i="16"/>
  <c r="U88" i="16" s="1"/>
  <c r="Q198" i="16"/>
  <c r="R198" i="16"/>
  <c r="S198" i="16" s="1"/>
  <c r="Q190" i="16"/>
  <c r="R190" i="16"/>
  <c r="Q181" i="16"/>
  <c r="R181" i="16"/>
  <c r="S181" i="16" s="1"/>
  <c r="T193" i="16"/>
  <c r="U193" i="16" s="1"/>
  <c r="V193" i="16" s="1"/>
  <c r="K193" i="16"/>
  <c r="X193" i="16" s="1"/>
  <c r="L193" i="16"/>
  <c r="Q175" i="16"/>
  <c r="Y175" i="16" s="1"/>
  <c r="AG175" i="16" s="1"/>
  <c r="R175" i="16"/>
  <c r="S175" i="16" s="1"/>
  <c r="Q24" i="16"/>
  <c r="R24" i="16"/>
  <c r="S24" i="16" s="1"/>
  <c r="T59" i="16"/>
  <c r="U59" i="16" s="1"/>
  <c r="V59" i="16" s="1"/>
  <c r="T83" i="16"/>
  <c r="U83" i="16" s="1"/>
  <c r="K9" i="16"/>
  <c r="X9" i="16" s="1"/>
  <c r="L9" i="16"/>
  <c r="T9" i="16"/>
  <c r="U9" i="16" s="1"/>
  <c r="Q6" i="16"/>
  <c r="Y6" i="16" s="1"/>
  <c r="AG6" i="16" s="1"/>
  <c r="R6" i="16"/>
  <c r="S6" i="16" s="1"/>
  <c r="Q220" i="16"/>
  <c r="R220" i="16"/>
  <c r="Q140" i="16"/>
  <c r="R140" i="16"/>
  <c r="S140" i="16" s="1"/>
  <c r="G226" i="16"/>
  <c r="K186" i="16"/>
  <c r="X186" i="16" s="1"/>
  <c r="T186" i="16"/>
  <c r="U186" i="16" s="1"/>
  <c r="L186" i="16"/>
  <c r="T31" i="16"/>
  <c r="U31" i="16" s="1"/>
  <c r="T55" i="16"/>
  <c r="U55" i="16" s="1"/>
  <c r="I227" i="16"/>
  <c r="J227" i="16" s="1"/>
  <c r="P227" i="16" s="1"/>
  <c r="Q202" i="16"/>
  <c r="R202" i="16"/>
  <c r="S202" i="16" s="1"/>
  <c r="Q20" i="16"/>
  <c r="R20" i="16"/>
  <c r="S20" i="16" s="1"/>
  <c r="Q205" i="16"/>
  <c r="R205" i="16"/>
  <c r="S205" i="16" s="1"/>
  <c r="K151" i="16"/>
  <c r="X151" i="16" s="1"/>
  <c r="L151" i="16"/>
  <c r="T151" i="16"/>
  <c r="U151" i="16" s="1"/>
  <c r="V151" i="16" s="1"/>
  <c r="K191" i="16"/>
  <c r="X191" i="16" s="1"/>
  <c r="T191" i="16"/>
  <c r="U191" i="16" s="1"/>
  <c r="V191" i="16" s="1"/>
  <c r="L191" i="16"/>
  <c r="G98" i="16"/>
  <c r="T74" i="16"/>
  <c r="U74" i="16" s="1"/>
  <c r="Q152" i="16"/>
  <c r="R152" i="16"/>
  <c r="T70" i="16"/>
  <c r="U70" i="16" s="1"/>
  <c r="T86" i="16"/>
  <c r="U86" i="16" s="1"/>
  <c r="T62" i="16"/>
  <c r="U62" i="16" s="1"/>
  <c r="G222" i="16"/>
  <c r="K182" i="16"/>
  <c r="X182" i="16" s="1"/>
  <c r="T182" i="16"/>
  <c r="U182" i="16" s="1"/>
  <c r="V182" i="16" s="1"/>
  <c r="Z182" i="16" s="1"/>
  <c r="L182" i="16"/>
  <c r="T168" i="16"/>
  <c r="U168" i="16" s="1"/>
  <c r="V168" i="16" s="1"/>
  <c r="K168" i="16"/>
  <c r="X168" i="16" s="1"/>
  <c r="L168" i="16"/>
  <c r="Q169" i="16"/>
  <c r="R169" i="16"/>
  <c r="S169" i="16" s="1"/>
  <c r="I224" i="16"/>
  <c r="J224" i="16" s="1"/>
  <c r="P224" i="16" s="1"/>
  <c r="Q200" i="16"/>
  <c r="R200" i="16"/>
  <c r="S200" i="16" s="1"/>
  <c r="T56" i="16"/>
  <c r="U56" i="16" s="1"/>
  <c r="T72" i="16"/>
  <c r="U72" i="16" s="1"/>
  <c r="Q23" i="16"/>
  <c r="R23" i="16"/>
  <c r="Q182" i="16"/>
  <c r="R182" i="16"/>
  <c r="S182" i="16" s="1"/>
  <c r="Q174" i="16"/>
  <c r="R174" i="16"/>
  <c r="L155" i="16"/>
  <c r="T155" i="16"/>
  <c r="U155" i="16" s="1"/>
  <c r="V155" i="16" s="1"/>
  <c r="K155" i="16"/>
  <c r="X155" i="16" s="1"/>
  <c r="G227" i="16"/>
  <c r="T145" i="16"/>
  <c r="U145" i="16" s="1"/>
  <c r="V145" i="16" s="1"/>
  <c r="K145" i="16"/>
  <c r="X145" i="16" s="1"/>
  <c r="L145" i="16"/>
  <c r="Q191" i="16"/>
  <c r="R191" i="16"/>
  <c r="Q183" i="16"/>
  <c r="R183" i="16"/>
  <c r="S183" i="16" s="1"/>
  <c r="Q16" i="16"/>
  <c r="R16" i="16"/>
  <c r="S16" i="16" s="1"/>
  <c r="K27" i="16"/>
  <c r="X27" i="16" s="1"/>
  <c r="T27" i="16"/>
  <c r="U27" i="16" s="1"/>
  <c r="V27" i="16" s="1"/>
  <c r="L27" i="16"/>
  <c r="T81" i="16"/>
  <c r="U81" i="16" s="1"/>
  <c r="V81" i="16" s="1"/>
  <c r="T33" i="16"/>
  <c r="U33" i="16" s="1"/>
  <c r="R11" i="16"/>
  <c r="Q11" i="16"/>
  <c r="I228" i="16"/>
  <c r="J228" i="16" s="1"/>
  <c r="P228" i="16" s="1"/>
  <c r="T218" i="16"/>
  <c r="U218" i="16" s="1"/>
  <c r="K218" i="16"/>
  <c r="X218" i="16" s="1"/>
  <c r="L218" i="16"/>
  <c r="T170" i="16"/>
  <c r="U170" i="16" s="1"/>
  <c r="V170" i="16" s="1"/>
  <c r="K170" i="16"/>
  <c r="X170" i="16" s="1"/>
  <c r="L170" i="16"/>
  <c r="Q155" i="16"/>
  <c r="R155" i="16"/>
  <c r="S155" i="16" s="1"/>
  <c r="Q194" i="16"/>
  <c r="R194" i="16"/>
  <c r="S141" i="16"/>
  <c r="T167" i="16"/>
  <c r="U167" i="16" s="1"/>
  <c r="V167" i="16" s="1"/>
  <c r="L167" i="16"/>
  <c r="K167" i="16"/>
  <c r="X167" i="16" s="1"/>
  <c r="T18" i="16"/>
  <c r="U18" i="16" s="1"/>
  <c r="L18" i="16"/>
  <c r="K18" i="16"/>
  <c r="X18" i="16" s="1"/>
  <c r="Q18" i="16"/>
  <c r="R18" i="16"/>
  <c r="S18" i="16" s="1"/>
  <c r="T22" i="16"/>
  <c r="U22" i="16" s="1"/>
  <c r="V22" i="16" s="1"/>
  <c r="L22" i="16"/>
  <c r="K22" i="16"/>
  <c r="X22" i="16" s="1"/>
  <c r="Q25" i="16"/>
  <c r="R25" i="16"/>
  <c r="S25" i="16" s="1"/>
  <c r="R19" i="6"/>
  <c r="T54" i="16"/>
  <c r="U54" i="16" s="1"/>
  <c r="V54" i="16" s="1"/>
  <c r="Q9" i="16"/>
  <c r="R9" i="16"/>
  <c r="K134" i="16"/>
  <c r="X134" i="16" s="1"/>
  <c r="L134" i="16"/>
  <c r="T134" i="16"/>
  <c r="U134" i="16" s="1"/>
  <c r="V134" i="16" s="1"/>
  <c r="L150" i="16"/>
  <c r="K150" i="16"/>
  <c r="X150" i="16" s="1"/>
  <c r="T150" i="16"/>
  <c r="U150" i="16" s="1"/>
  <c r="V150" i="16" s="1"/>
  <c r="Q145" i="16"/>
  <c r="R145" i="16"/>
  <c r="Q184" i="16"/>
  <c r="Y184" i="16" s="1"/>
  <c r="AG184" i="16" s="1"/>
  <c r="R184" i="16"/>
  <c r="S184" i="16" s="1"/>
  <c r="T16" i="16"/>
  <c r="U16" i="16" s="1"/>
  <c r="L16" i="16"/>
  <c r="K16" i="16"/>
  <c r="X16" i="16" s="1"/>
  <c r="T32" i="16"/>
  <c r="U32" i="16" s="1"/>
  <c r="V32" i="16" s="1"/>
  <c r="Q7" i="16"/>
  <c r="R7" i="16"/>
  <c r="I222" i="16"/>
  <c r="J222" i="16" s="1"/>
  <c r="P222" i="16" s="1"/>
  <c r="Q150" i="16"/>
  <c r="R150" i="16"/>
  <c r="S150" i="16" s="1"/>
  <c r="L139" i="16"/>
  <c r="T139" i="16"/>
  <c r="U139" i="16" s="1"/>
  <c r="K139" i="16"/>
  <c r="X139" i="16" s="1"/>
  <c r="K147" i="16"/>
  <c r="X147" i="16" s="1"/>
  <c r="L147" i="16"/>
  <c r="T147" i="16"/>
  <c r="U147" i="16" s="1"/>
  <c r="K137" i="16"/>
  <c r="X137" i="16" s="1"/>
  <c r="T137" i="16"/>
  <c r="U137" i="16" s="1"/>
  <c r="L137" i="16"/>
  <c r="Q207" i="16"/>
  <c r="R207" i="16"/>
  <c r="Q215" i="16"/>
  <c r="R215" i="16"/>
  <c r="S215" i="16" s="1"/>
  <c r="S157" i="16"/>
  <c r="G99" i="16"/>
  <c r="T73" i="16"/>
  <c r="U73" i="16" s="1"/>
  <c r="I30" i="16"/>
  <c r="J30" i="16" s="1"/>
  <c r="P30" i="16" s="1"/>
  <c r="K146" i="16"/>
  <c r="X146" i="16" s="1"/>
  <c r="T146" i="16"/>
  <c r="U146" i="16" s="1"/>
  <c r="V146" i="16" s="1"/>
  <c r="Z146" i="16" s="1"/>
  <c r="L146" i="16"/>
  <c r="Q165" i="16"/>
  <c r="R165" i="16"/>
  <c r="G95" i="16"/>
  <c r="T15" i="16"/>
  <c r="U15" i="16" s="1"/>
  <c r="V15" i="16" s="1"/>
  <c r="L15" i="16"/>
  <c r="K15" i="16"/>
  <c r="X15" i="16" s="1"/>
  <c r="Q179" i="16"/>
  <c r="R179" i="16"/>
  <c r="S179" i="16" s="1"/>
  <c r="Q147" i="16"/>
  <c r="R147" i="16"/>
  <c r="Q178" i="16"/>
  <c r="Y178" i="16" s="1"/>
  <c r="AG178" i="16" s="1"/>
  <c r="R178" i="16"/>
  <c r="S178" i="16" s="1"/>
  <c r="Q186" i="16"/>
  <c r="R186" i="16"/>
  <c r="S186" i="16" s="1"/>
  <c r="L135" i="16"/>
  <c r="K135" i="16"/>
  <c r="X135" i="16" s="1"/>
  <c r="T135" i="16"/>
  <c r="U135" i="16" s="1"/>
  <c r="V135" i="16" s="1"/>
  <c r="K207" i="16"/>
  <c r="X207" i="16" s="1"/>
  <c r="T207" i="16"/>
  <c r="U207" i="16" s="1"/>
  <c r="L207" i="16"/>
  <c r="K26" i="16"/>
  <c r="X26" i="16" s="1"/>
  <c r="T26" i="16"/>
  <c r="U26" i="16" s="1"/>
  <c r="L26" i="16"/>
  <c r="T10" i="16"/>
  <c r="U10" i="16" s="1"/>
  <c r="V10" i="16" s="1"/>
  <c r="K10" i="16"/>
  <c r="X10" i="16" s="1"/>
  <c r="L10" i="16"/>
  <c r="Q10" i="16"/>
  <c r="Y10" i="16" s="1"/>
  <c r="AG10" i="16" s="1"/>
  <c r="R10" i="16"/>
  <c r="S10" i="16" s="1"/>
  <c r="Q189" i="16"/>
  <c r="R189" i="16"/>
  <c r="S189" i="16" s="1"/>
  <c r="T206" i="16"/>
  <c r="U206" i="16" s="1"/>
  <c r="K206" i="16"/>
  <c r="X206" i="16" s="1"/>
  <c r="L206" i="16"/>
  <c r="T214" i="16"/>
  <c r="U214" i="16" s="1"/>
  <c r="V214" i="16" s="1"/>
  <c r="K214" i="16"/>
  <c r="X214" i="16" s="1"/>
  <c r="L214" i="16"/>
  <c r="T208" i="16"/>
  <c r="U208" i="16" s="1"/>
  <c r="L208" i="16"/>
  <c r="K208" i="16"/>
  <c r="X208" i="16" s="1"/>
  <c r="K200" i="16"/>
  <c r="X200" i="16" s="1"/>
  <c r="T200" i="16"/>
  <c r="U200" i="16" s="1"/>
  <c r="V200" i="16" s="1"/>
  <c r="Z200" i="16" s="1"/>
  <c r="L200" i="16"/>
  <c r="Q209" i="16"/>
  <c r="R209" i="16"/>
  <c r="Q137" i="16"/>
  <c r="R137" i="16"/>
  <c r="S137" i="16" s="1"/>
  <c r="Q168" i="16"/>
  <c r="Y168" i="16" s="1"/>
  <c r="AG168" i="16" s="1"/>
  <c r="R168" i="16"/>
  <c r="Q216" i="16"/>
  <c r="R216" i="16"/>
  <c r="S149" i="16"/>
  <c r="T8" i="16"/>
  <c r="U8" i="16" s="1"/>
  <c r="V8" i="16" s="1"/>
  <c r="K8" i="16"/>
  <c r="X8" i="16" s="1"/>
  <c r="L8" i="16"/>
  <c r="K24" i="16"/>
  <c r="X24" i="16" s="1"/>
  <c r="L24" i="16"/>
  <c r="T24" i="16"/>
  <c r="U24" i="16" s="1"/>
  <c r="V24" i="16" s="1"/>
  <c r="Z24" i="16" s="1"/>
  <c r="Q134" i="16"/>
  <c r="R134" i="16"/>
  <c r="S134" i="16" s="1"/>
  <c r="I230" i="16"/>
  <c r="J230" i="16" s="1"/>
  <c r="P230" i="16" s="1"/>
  <c r="L211" i="16"/>
  <c r="K211" i="16"/>
  <c r="X211" i="16" s="1"/>
  <c r="T211" i="16"/>
  <c r="U211" i="16" s="1"/>
  <c r="V211" i="16" s="1"/>
  <c r="L171" i="16"/>
  <c r="K171" i="16"/>
  <c r="X171" i="16" s="1"/>
  <c r="T171" i="16"/>
  <c r="U171" i="16" s="1"/>
  <c r="V171" i="16" s="1"/>
  <c r="L185" i="16"/>
  <c r="K185" i="16"/>
  <c r="X185" i="16" s="1"/>
  <c r="T185" i="16"/>
  <c r="U185" i="16" s="1"/>
  <c r="T177" i="16"/>
  <c r="U177" i="16" s="1"/>
  <c r="K177" i="16"/>
  <c r="X177" i="16" s="1"/>
  <c r="L177" i="16"/>
  <c r="Q143" i="16"/>
  <c r="R143" i="16"/>
  <c r="T91" i="16"/>
  <c r="U91" i="16" s="1"/>
  <c r="V91" i="16" s="1"/>
  <c r="T35" i="16"/>
  <c r="U35" i="16" s="1"/>
  <c r="V35" i="16" s="1"/>
  <c r="K17" i="16"/>
  <c r="X17" i="16" s="1"/>
  <c r="L17" i="16"/>
  <c r="T17" i="16"/>
  <c r="U17" i="16" s="1"/>
  <c r="V17" i="16" s="1"/>
  <c r="Z17" i="16" s="1"/>
  <c r="Q14" i="16"/>
  <c r="R14" i="16"/>
  <c r="Q204" i="16"/>
  <c r="R204" i="16"/>
  <c r="S204" i="16" s="1"/>
  <c r="K202" i="16"/>
  <c r="X202" i="16" s="1"/>
  <c r="T202" i="16"/>
  <c r="U202" i="16" s="1"/>
  <c r="L202" i="16"/>
  <c r="K138" i="16"/>
  <c r="X138" i="16" s="1"/>
  <c r="T138" i="16"/>
  <c r="U138" i="16" s="1"/>
  <c r="L138" i="16"/>
  <c r="Q173" i="16"/>
  <c r="R173" i="16"/>
  <c r="T79" i="16"/>
  <c r="U79" i="16" s="1"/>
  <c r="T7" i="16"/>
  <c r="U7" i="16" s="1"/>
  <c r="V7" i="16" s="1"/>
  <c r="K7" i="16"/>
  <c r="X7" i="16" s="1"/>
  <c r="L7" i="16"/>
  <c r="Q211" i="16"/>
  <c r="R211" i="16"/>
  <c r="Q219" i="16"/>
  <c r="R219" i="16"/>
  <c r="Q162" i="16"/>
  <c r="R162" i="16"/>
  <c r="S162" i="16" s="1"/>
  <c r="Q138" i="16"/>
  <c r="R138" i="16"/>
  <c r="S138" i="16" s="1"/>
  <c r="Q12" i="16"/>
  <c r="R12" i="16"/>
  <c r="T199" i="16"/>
  <c r="U199" i="16" s="1"/>
  <c r="K199" i="16"/>
  <c r="X199" i="16" s="1"/>
  <c r="L199" i="16"/>
  <c r="G223" i="16"/>
  <c r="T82" i="16"/>
  <c r="U82" i="16" s="1"/>
  <c r="L144" i="16"/>
  <c r="K144" i="16"/>
  <c r="X144" i="16" s="1"/>
  <c r="T144" i="16"/>
  <c r="U144" i="16" s="1"/>
  <c r="G133" i="16"/>
  <c r="G213" i="16"/>
  <c r="G141" i="16"/>
  <c r="G221" i="16"/>
  <c r="G165" i="16"/>
  <c r="G205" i="16"/>
  <c r="G149" i="16"/>
  <c r="G189" i="16"/>
  <c r="G181" i="16"/>
  <c r="G173" i="16"/>
  <c r="G157" i="16"/>
  <c r="G197" i="16"/>
  <c r="T78" i="16"/>
  <c r="U78" i="16" s="1"/>
  <c r="V78" i="16" s="1"/>
  <c r="T38" i="16"/>
  <c r="U38" i="16" s="1"/>
  <c r="T152" i="16"/>
  <c r="U152" i="16" s="1"/>
  <c r="V152" i="16" s="1"/>
  <c r="L152" i="16"/>
  <c r="K152" i="16"/>
  <c r="X152" i="16" s="1"/>
  <c r="K136" i="16"/>
  <c r="X136" i="16" s="1"/>
  <c r="T136" i="16"/>
  <c r="U136" i="16" s="1"/>
  <c r="L136" i="16"/>
  <c r="Q193" i="16"/>
  <c r="Y193" i="16" s="1"/>
  <c r="AG193" i="16" s="1"/>
  <c r="R193" i="16"/>
  <c r="S193" i="16" s="1"/>
  <c r="Q208" i="16"/>
  <c r="R208" i="16"/>
  <c r="T48" i="16"/>
  <c r="U48" i="16" s="1"/>
  <c r="Q214" i="16"/>
  <c r="R214" i="16"/>
  <c r="S214" i="16" s="1"/>
  <c r="Q142" i="16"/>
  <c r="Y142" i="16" s="1"/>
  <c r="AG142" i="16" s="1"/>
  <c r="R142" i="16"/>
  <c r="S142" i="16" s="1"/>
  <c r="L179" i="16"/>
  <c r="T179" i="16"/>
  <c r="U179" i="16" s="1"/>
  <c r="V179" i="16" s="1"/>
  <c r="Z179" i="16" s="1"/>
  <c r="K179" i="16"/>
  <c r="X179" i="16" s="1"/>
  <c r="T209" i="16"/>
  <c r="U209" i="16" s="1"/>
  <c r="V209" i="16" s="1"/>
  <c r="L209" i="16"/>
  <c r="K209" i="16"/>
  <c r="X209" i="16" s="1"/>
  <c r="K169" i="16"/>
  <c r="X169" i="16" s="1"/>
  <c r="T169" i="16"/>
  <c r="U169" i="16" s="1"/>
  <c r="L169" i="16"/>
  <c r="Q151" i="16"/>
  <c r="R151" i="16"/>
  <c r="Q135" i="16"/>
  <c r="Y135" i="16" s="1"/>
  <c r="AG135" i="16" s="1"/>
  <c r="R135" i="16"/>
  <c r="S135" i="16" s="1"/>
  <c r="R8" i="16"/>
  <c r="S8" i="16" s="1"/>
  <c r="Q8" i="16"/>
  <c r="Q29" i="16"/>
  <c r="R29" i="16"/>
  <c r="S29" i="16" s="1"/>
  <c r="T51" i="16"/>
  <c r="U51" i="16" s="1"/>
  <c r="T65" i="16"/>
  <c r="U65" i="16" s="1"/>
  <c r="L25" i="16"/>
  <c r="T25" i="16"/>
  <c r="U25" i="16" s="1"/>
  <c r="K25" i="16"/>
  <c r="X25" i="16" s="1"/>
  <c r="Q196" i="16"/>
  <c r="R196" i="16"/>
  <c r="Q156" i="16"/>
  <c r="R156" i="16"/>
  <c r="S156" i="16" s="1"/>
  <c r="K162" i="16"/>
  <c r="X162" i="16" s="1"/>
  <c r="T162" i="16"/>
  <c r="U162" i="16" s="1"/>
  <c r="V162" i="16" s="1"/>
  <c r="Z162" i="16" s="1"/>
  <c r="L162" i="16"/>
  <c r="L194" i="16"/>
  <c r="K194" i="16"/>
  <c r="X194" i="16" s="1"/>
  <c r="T194" i="16"/>
  <c r="U194" i="16" s="1"/>
  <c r="V194" i="16" s="1"/>
  <c r="T39" i="16"/>
  <c r="U39" i="16" s="1"/>
  <c r="V39" i="16" s="1"/>
  <c r="Q187" i="16"/>
  <c r="R187" i="16"/>
  <c r="S187" i="16" s="1"/>
  <c r="Q163" i="16"/>
  <c r="Y163" i="16" s="1"/>
  <c r="AG163" i="16" s="1"/>
  <c r="R163" i="16"/>
  <c r="S163" i="16" s="1"/>
  <c r="Q210" i="16"/>
  <c r="R210" i="16"/>
  <c r="S210" i="16" s="1"/>
  <c r="L159" i="16"/>
  <c r="T159" i="16"/>
  <c r="U159" i="16" s="1"/>
  <c r="K159" i="16"/>
  <c r="X159" i="16" s="1"/>
  <c r="T90" i="16"/>
  <c r="U90" i="16" s="1"/>
  <c r="V90" i="16" s="1"/>
  <c r="K216" i="16"/>
  <c r="X216" i="16" s="1"/>
  <c r="L216" i="16"/>
  <c r="T216" i="16"/>
  <c r="U216" i="16" s="1"/>
  <c r="V216" i="16" s="1"/>
  <c r="T64" i="16"/>
  <c r="U64" i="16" s="1"/>
  <c r="Q158" i="16"/>
  <c r="Y158" i="16" s="1"/>
  <c r="AG158" i="16" s="1"/>
  <c r="R158" i="16"/>
  <c r="S158" i="16" s="1"/>
  <c r="T219" i="16"/>
  <c r="U219" i="16" s="1"/>
  <c r="V219" i="16" s="1"/>
  <c r="K219" i="16"/>
  <c r="X219" i="16" s="1"/>
  <c r="L219" i="16"/>
  <c r="K203" i="16"/>
  <c r="X203" i="16" s="1"/>
  <c r="T203" i="16"/>
  <c r="U203" i="16" s="1"/>
  <c r="L203" i="16"/>
  <c r="K217" i="16"/>
  <c r="X217" i="16" s="1"/>
  <c r="L217" i="16"/>
  <c r="T217" i="16"/>
  <c r="U217" i="16" s="1"/>
  <c r="Q199" i="16"/>
  <c r="R199" i="16"/>
  <c r="T67" i="16"/>
  <c r="U67" i="16" s="1"/>
  <c r="V67" i="16" s="1"/>
  <c r="T75" i="16"/>
  <c r="U75" i="16" s="1"/>
  <c r="V75" i="16" s="1"/>
  <c r="T41" i="16"/>
  <c r="U41" i="16" s="1"/>
  <c r="Q19" i="16"/>
  <c r="Y19" i="16" s="1"/>
  <c r="AG19" i="16" s="1"/>
  <c r="R19" i="16"/>
  <c r="S19" i="16" s="1"/>
  <c r="Q212" i="16"/>
  <c r="R212" i="16"/>
  <c r="Q180" i="16"/>
  <c r="R180" i="16"/>
  <c r="S180" i="16" s="1"/>
  <c r="K210" i="16"/>
  <c r="X210" i="16" s="1"/>
  <c r="T210" i="16"/>
  <c r="U210" i="16" s="1"/>
  <c r="L210" i="16"/>
  <c r="T154" i="16"/>
  <c r="U154" i="16" s="1"/>
  <c r="V154" i="16" s="1"/>
  <c r="Z154" i="16" s="1"/>
  <c r="L154" i="16"/>
  <c r="K154" i="16"/>
  <c r="X154" i="16" s="1"/>
  <c r="T23" i="16"/>
  <c r="U23" i="16" s="1"/>
  <c r="L23" i="16"/>
  <c r="K23" i="16"/>
  <c r="X23" i="16" s="1"/>
  <c r="Q195" i="16"/>
  <c r="Y195" i="16" s="1"/>
  <c r="AG195" i="16" s="1"/>
  <c r="R195" i="16"/>
  <c r="S195" i="16" s="1"/>
  <c r="Q146" i="16"/>
  <c r="Y146" i="16" s="1"/>
  <c r="AG146" i="16" s="1"/>
  <c r="R146" i="16"/>
  <c r="S146" i="16" s="1"/>
  <c r="T183" i="16"/>
  <c r="U183" i="16" s="1"/>
  <c r="V183" i="16" s="1"/>
  <c r="Z183" i="16" s="1"/>
  <c r="L183" i="16"/>
  <c r="K183" i="16"/>
  <c r="X183" i="16" s="1"/>
  <c r="T58" i="16"/>
  <c r="U58" i="16" s="1"/>
  <c r="T42" i="16"/>
  <c r="U42" i="16" s="1"/>
  <c r="Q35" i="12"/>
  <c r="G233" i="9" a="1"/>
  <c r="G233" i="9" s="1"/>
  <c r="AL233" i="16" s="1"/>
  <c r="G105" i="9" a="1"/>
  <c r="G105" i="9" s="1"/>
  <c r="AL105" i="16" s="1"/>
  <c r="G105" i="16" s="1"/>
  <c r="G235" i="9" a="1"/>
  <c r="G235" i="9" s="1"/>
  <c r="AL235" i="16" s="1"/>
  <c r="G107" i="9" a="1"/>
  <c r="G107" i="9" s="1"/>
  <c r="AL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103" i="9" a="1"/>
  <c r="G103" i="9" s="1"/>
  <c r="AL103" i="16" s="1"/>
  <c r="G234" i="9" a="1"/>
  <c r="G234" i="9" s="1"/>
  <c r="AL234" i="16" s="1"/>
  <c r="G234" i="16" s="1"/>
  <c r="G106" i="9" a="1"/>
  <c r="G106" i="9" s="1"/>
  <c r="AL106" i="16" s="1"/>
  <c r="G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104" i="9" a="1"/>
  <c r="G104" i="9" s="1"/>
  <c r="AL104" i="16" s="1"/>
  <c r="G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230" i="16" s="1"/>
  <c r="G102" i="9" a="1"/>
  <c r="G102" i="9" s="1"/>
  <c r="AL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Q35" i="13"/>
  <c r="G101" i="9" a="1"/>
  <c r="G101" i="9" s="1"/>
  <c r="AL101" i="16" s="1"/>
  <c r="G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I235" i="16" s="1"/>
  <c r="J235" i="16" s="1"/>
  <c r="P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I233" i="16" s="1"/>
  <c r="J233" i="16" s="1"/>
  <c r="P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I234" i="16" s="1"/>
  <c r="J234" i="16" s="1"/>
  <c r="P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Y155" i="16" l="1"/>
  <c r="AG155" i="16" s="1"/>
  <c r="Y151" i="16"/>
  <c r="AG151" i="16" s="1"/>
  <c r="Y11" i="16"/>
  <c r="AG11" i="16" s="1"/>
  <c r="Y14" i="16"/>
  <c r="AG14" i="16" s="1"/>
  <c r="Y150" i="16"/>
  <c r="AG150" i="16" s="1"/>
  <c r="Y134" i="16"/>
  <c r="AG134" i="16" s="1"/>
  <c r="Y211" i="16"/>
  <c r="AG211" i="16" s="1"/>
  <c r="Y7" i="16"/>
  <c r="AG7" i="16" s="1"/>
  <c r="Y191" i="16"/>
  <c r="AG191" i="16" s="1"/>
  <c r="Y161" i="16"/>
  <c r="AG161" i="16" s="1"/>
  <c r="Y174" i="16"/>
  <c r="AG174" i="16" s="1"/>
  <c r="Y8" i="16"/>
  <c r="AG8" i="16" s="1"/>
  <c r="Y167" i="16"/>
  <c r="AG167" i="16" s="1"/>
  <c r="L230" i="16"/>
  <c r="K230" i="16"/>
  <c r="X230" i="16" s="1"/>
  <c r="T230" i="16"/>
  <c r="U230" i="16" s="1"/>
  <c r="T106" i="16"/>
  <c r="U106" i="16" s="1"/>
  <c r="V106" i="16" s="1"/>
  <c r="T104" i="16"/>
  <c r="U104" i="16" s="1"/>
  <c r="V104" i="16" s="1"/>
  <c r="T234" i="16"/>
  <c r="U234" i="16" s="1"/>
  <c r="V234" i="16" s="1"/>
  <c r="L234" i="16"/>
  <c r="K234" i="16"/>
  <c r="X234" i="16" s="1"/>
  <c r="T105" i="16"/>
  <c r="U105" i="16" s="1"/>
  <c r="Q234" i="16"/>
  <c r="R234" i="16"/>
  <c r="Q235" i="16"/>
  <c r="R235" i="16"/>
  <c r="S235" i="16" s="1"/>
  <c r="T101" i="16"/>
  <c r="U101" i="16" s="1"/>
  <c r="V101" i="16" s="1"/>
  <c r="T197" i="16"/>
  <c r="U197" i="16" s="1"/>
  <c r="L197" i="16"/>
  <c r="K197" i="16"/>
  <c r="X197" i="16" s="1"/>
  <c r="Q230" i="16"/>
  <c r="R230" i="16"/>
  <c r="Y26" i="16"/>
  <c r="AG26" i="16" s="1"/>
  <c r="V26" i="16"/>
  <c r="Z26" i="16" s="1"/>
  <c r="AA146" i="16"/>
  <c r="AH146" i="16"/>
  <c r="AI146" i="16" s="1"/>
  <c r="V33" i="16"/>
  <c r="Y210" i="16"/>
  <c r="AG210" i="16" s="1"/>
  <c r="V210" i="16"/>
  <c r="Z210" i="16" s="1"/>
  <c r="Y203" i="16"/>
  <c r="AG203" i="16" s="1"/>
  <c r="V203" i="16"/>
  <c r="Z203" i="16" s="1"/>
  <c r="V64" i="16"/>
  <c r="Y214" i="16"/>
  <c r="AG214" i="16" s="1"/>
  <c r="K157" i="16"/>
  <c r="X157" i="16" s="1"/>
  <c r="L157" i="16"/>
  <c r="T157" i="16"/>
  <c r="U157" i="16" s="1"/>
  <c r="T165" i="16"/>
  <c r="U165" i="16" s="1"/>
  <c r="L165" i="16"/>
  <c r="K165" i="16"/>
  <c r="X165" i="16" s="1"/>
  <c r="Y199" i="16"/>
  <c r="AG199" i="16" s="1"/>
  <c r="V199" i="16"/>
  <c r="Z199" i="16" s="1"/>
  <c r="Y219" i="16"/>
  <c r="AG219" i="16" s="1"/>
  <c r="V79" i="16"/>
  <c r="S143" i="16"/>
  <c r="Z209" i="16"/>
  <c r="S209" i="16"/>
  <c r="Z134" i="16"/>
  <c r="Y218" i="16"/>
  <c r="AG218" i="16" s="1"/>
  <c r="V218" i="16"/>
  <c r="Z218" i="16" s="1"/>
  <c r="S174" i="16"/>
  <c r="Z174" i="16"/>
  <c r="T98" i="16"/>
  <c r="U98" i="16" s="1"/>
  <c r="V98" i="16" s="1"/>
  <c r="S190" i="16"/>
  <c r="S217" i="16"/>
  <c r="AH175" i="16"/>
  <c r="AI175" i="16" s="1"/>
  <c r="AA175" i="16"/>
  <c r="Y170" i="16"/>
  <c r="AG170" i="16" s="1"/>
  <c r="Z167" i="16"/>
  <c r="S167" i="16"/>
  <c r="S206" i="16"/>
  <c r="G232" i="16"/>
  <c r="Y17" i="16"/>
  <c r="AG17" i="16" s="1"/>
  <c r="V30" i="16"/>
  <c r="S213" i="16"/>
  <c r="S15" i="16"/>
  <c r="Z15" i="16"/>
  <c r="Y201" i="16"/>
  <c r="AG201" i="16" s="1"/>
  <c r="Y190" i="16"/>
  <c r="AG190" i="16" s="1"/>
  <c r="V190" i="16"/>
  <c r="Z190" i="16" s="1"/>
  <c r="T77" i="16"/>
  <c r="U77" i="16" s="1"/>
  <c r="V77" i="16" s="1"/>
  <c r="T173" i="16"/>
  <c r="U173" i="16" s="1"/>
  <c r="V173" i="16" s="1"/>
  <c r="Z173" i="16" s="1"/>
  <c r="L173" i="16"/>
  <c r="K173" i="16"/>
  <c r="X173" i="16" s="1"/>
  <c r="K222" i="16"/>
  <c r="X222" i="16" s="1"/>
  <c r="T222" i="16"/>
  <c r="U222" i="16" s="1"/>
  <c r="L222" i="16"/>
  <c r="T226" i="16"/>
  <c r="U226" i="16" s="1"/>
  <c r="V226" i="16" s="1"/>
  <c r="K226" i="16"/>
  <c r="X226" i="16" s="1"/>
  <c r="L226" i="16"/>
  <c r="Y9" i="16"/>
  <c r="AG9" i="16" s="1"/>
  <c r="V9" i="16"/>
  <c r="Z9" i="16" s="1"/>
  <c r="V80" i="16"/>
  <c r="Y166" i="16"/>
  <c r="AG166" i="16" s="1"/>
  <c r="V166" i="16"/>
  <c r="Q226" i="16"/>
  <c r="R226" i="16"/>
  <c r="L30" i="16"/>
  <c r="S172" i="16"/>
  <c r="Y15" i="16"/>
  <c r="AG15" i="16" s="1"/>
  <c r="L21" i="16"/>
  <c r="K21" i="16"/>
  <c r="X21" i="16" s="1"/>
  <c r="T21" i="16"/>
  <c r="U21" i="16" s="1"/>
  <c r="T221" i="16"/>
  <c r="U221" i="16" s="1"/>
  <c r="V221" i="16" s="1"/>
  <c r="Z221" i="16" s="1"/>
  <c r="L221" i="16"/>
  <c r="K221" i="16"/>
  <c r="X221" i="16" s="1"/>
  <c r="T99" i="16"/>
  <c r="U99" i="16" s="1"/>
  <c r="V41" i="16"/>
  <c r="S199" i="16"/>
  <c r="Y159" i="16"/>
  <c r="AG159" i="16" s="1"/>
  <c r="V159" i="16"/>
  <c r="Z159" i="16" s="1"/>
  <c r="V38" i="16"/>
  <c r="I231" i="16"/>
  <c r="J231" i="16" s="1"/>
  <c r="P231" i="16" s="1"/>
  <c r="AH24" i="16"/>
  <c r="AI24" i="16" s="1"/>
  <c r="AA24" i="16"/>
  <c r="S216" i="16"/>
  <c r="Z216" i="16"/>
  <c r="Z214" i="16"/>
  <c r="Y207" i="16"/>
  <c r="AG207" i="16" s="1"/>
  <c r="V207" i="16"/>
  <c r="Z207" i="16" s="1"/>
  <c r="I236" i="16"/>
  <c r="J236" i="16" s="1"/>
  <c r="P236" i="16" s="1"/>
  <c r="Y137" i="16"/>
  <c r="AG137" i="16" s="1"/>
  <c r="V137" i="16"/>
  <c r="Z137" i="16" s="1"/>
  <c r="Z145" i="16"/>
  <c r="S145" i="16"/>
  <c r="Q228" i="16"/>
  <c r="R228" i="16"/>
  <c r="S228" i="16" s="1"/>
  <c r="G233" i="16"/>
  <c r="V56" i="16"/>
  <c r="V70" i="16"/>
  <c r="V55" i="16"/>
  <c r="Z158" i="16"/>
  <c r="Z171" i="16"/>
  <c r="S171" i="16"/>
  <c r="V89" i="16"/>
  <c r="S159" i="16"/>
  <c r="Z195" i="16"/>
  <c r="K30" i="16"/>
  <c r="X30" i="16" s="1"/>
  <c r="T215" i="16"/>
  <c r="U215" i="16" s="1"/>
  <c r="K215" i="16"/>
  <c r="X215" i="16" s="1"/>
  <c r="L215" i="16"/>
  <c r="Y154" i="16"/>
  <c r="AG154" i="16" s="1"/>
  <c r="V43" i="16"/>
  <c r="G235" i="16"/>
  <c r="T96" i="16"/>
  <c r="U96" i="16" s="1"/>
  <c r="V96" i="16" s="1"/>
  <c r="T13" i="16"/>
  <c r="U13" i="16" s="1"/>
  <c r="L13" i="16"/>
  <c r="K13" i="16"/>
  <c r="X13" i="16" s="1"/>
  <c r="T37" i="16"/>
  <c r="U37" i="16" s="1"/>
  <c r="V37" i="16" s="1"/>
  <c r="Y198" i="16"/>
  <c r="AG198" i="16" s="1"/>
  <c r="V198" i="16"/>
  <c r="Z198" i="16" s="1"/>
  <c r="AH179" i="16"/>
  <c r="AI179" i="16" s="1"/>
  <c r="AA179" i="16"/>
  <c r="V48" i="16"/>
  <c r="T181" i="16"/>
  <c r="U181" i="16" s="1"/>
  <c r="K181" i="16"/>
  <c r="X181" i="16" s="1"/>
  <c r="L181" i="16"/>
  <c r="K213" i="16"/>
  <c r="X213" i="16" s="1"/>
  <c r="T213" i="16"/>
  <c r="U213" i="16" s="1"/>
  <c r="L213" i="16"/>
  <c r="Z14" i="16"/>
  <c r="S14" i="16"/>
  <c r="Y216" i="16"/>
  <c r="AG216" i="16" s="1"/>
  <c r="AA200" i="16"/>
  <c r="AH200" i="16"/>
  <c r="AI200" i="16" s="1"/>
  <c r="T95" i="16"/>
  <c r="U95" i="16" s="1"/>
  <c r="Y145" i="16"/>
  <c r="AG145" i="16" s="1"/>
  <c r="S9" i="16"/>
  <c r="Y18" i="16"/>
  <c r="AG18" i="16" s="1"/>
  <c r="V18" i="16"/>
  <c r="Z18" i="16" s="1"/>
  <c r="T227" i="16"/>
  <c r="U227" i="16" s="1"/>
  <c r="K227" i="16"/>
  <c r="X227" i="16" s="1"/>
  <c r="L227" i="16"/>
  <c r="Y182" i="16"/>
  <c r="AG182" i="16" s="1"/>
  <c r="Z152" i="16"/>
  <c r="S152" i="16"/>
  <c r="Z193" i="16"/>
  <c r="Y171" i="16"/>
  <c r="AG171" i="16" s="1"/>
  <c r="Z27" i="16"/>
  <c r="S27" i="16"/>
  <c r="Y187" i="16"/>
  <c r="AG187" i="16" s="1"/>
  <c r="V187" i="16"/>
  <c r="Z187" i="16" s="1"/>
  <c r="S139" i="16"/>
  <c r="Q223" i="16"/>
  <c r="R223" i="16"/>
  <c r="S223" i="16" s="1"/>
  <c r="T224" i="16"/>
  <c r="U224" i="16" s="1"/>
  <c r="L224" i="16"/>
  <c r="K224" i="16"/>
  <c r="X224" i="16" s="1"/>
  <c r="T61" i="16"/>
  <c r="U61" i="16" s="1"/>
  <c r="T69" i="16"/>
  <c r="U69" i="16" s="1"/>
  <c r="S12" i="16"/>
  <c r="S211" i="16"/>
  <c r="Z211" i="16"/>
  <c r="S173" i="16"/>
  <c r="Y209" i="16"/>
  <c r="AG209" i="16" s="1"/>
  <c r="Y139" i="16"/>
  <c r="AG139" i="16" s="1"/>
  <c r="V139" i="16"/>
  <c r="Z139" i="16" s="1"/>
  <c r="Z151" i="16"/>
  <c r="S151" i="16"/>
  <c r="Y23" i="16"/>
  <c r="AG23" i="16" s="1"/>
  <c r="V23" i="16"/>
  <c r="Z23" i="16" s="1"/>
  <c r="S19" i="6"/>
  <c r="V42" i="16"/>
  <c r="AA183" i="16"/>
  <c r="AH183" i="16"/>
  <c r="AI183" i="16" s="1"/>
  <c r="S212" i="16"/>
  <c r="Y217" i="16"/>
  <c r="AG217" i="16" s="1"/>
  <c r="V217" i="16"/>
  <c r="Z217" i="16" s="1"/>
  <c r="Y25" i="16"/>
  <c r="AG25" i="16" s="1"/>
  <c r="V25" i="16"/>
  <c r="Z25" i="16" s="1"/>
  <c r="S208" i="16"/>
  <c r="G237" i="16"/>
  <c r="G229" i="16"/>
  <c r="V82" i="16"/>
  <c r="Y138" i="16"/>
  <c r="AG138" i="16" s="1"/>
  <c r="V138" i="16"/>
  <c r="Z138" i="16" s="1"/>
  <c r="S168" i="16"/>
  <c r="Z168" i="16"/>
  <c r="Z135" i="16"/>
  <c r="S147" i="16"/>
  <c r="S165" i="16"/>
  <c r="Q30" i="16"/>
  <c r="Y30" i="16" s="1"/>
  <c r="AG30" i="16" s="1"/>
  <c r="R30" i="16"/>
  <c r="S30" i="16" s="1"/>
  <c r="S194" i="16"/>
  <c r="Z194" i="16"/>
  <c r="Y183" i="16"/>
  <c r="AG183" i="16" s="1"/>
  <c r="S23" i="16"/>
  <c r="V62" i="16"/>
  <c r="Y152" i="16"/>
  <c r="AG152" i="16" s="1"/>
  <c r="S220" i="16"/>
  <c r="Y24" i="16"/>
  <c r="AG24" i="16" s="1"/>
  <c r="Z192" i="16"/>
  <c r="Y27" i="16"/>
  <c r="AG27" i="16" s="1"/>
  <c r="Z19" i="16"/>
  <c r="Z142" i="16"/>
  <c r="G102" i="16"/>
  <c r="S22" i="16"/>
  <c r="Z22" i="16"/>
  <c r="S144" i="16"/>
  <c r="T29" i="16"/>
  <c r="U29" i="16" s="1"/>
  <c r="L29" i="16"/>
  <c r="K29" i="16"/>
  <c r="X29" i="16" s="1"/>
  <c r="T45" i="16"/>
  <c r="U45" i="16" s="1"/>
  <c r="V45" i="16" s="1"/>
  <c r="V97" i="16"/>
  <c r="S221" i="16"/>
  <c r="V51" i="16"/>
  <c r="Y136" i="16"/>
  <c r="AG136" i="16" s="1"/>
  <c r="V136" i="16"/>
  <c r="Z136" i="16" s="1"/>
  <c r="L141" i="16"/>
  <c r="T141" i="16"/>
  <c r="U141" i="16" s="1"/>
  <c r="K141" i="16"/>
  <c r="X141" i="16" s="1"/>
  <c r="AA162" i="16"/>
  <c r="AH162" i="16"/>
  <c r="AI162" i="16" s="1"/>
  <c r="I31" i="16"/>
  <c r="Q233" i="16"/>
  <c r="R233" i="16"/>
  <c r="S233" i="16" s="1"/>
  <c r="G12" i="16"/>
  <c r="G60" i="16"/>
  <c r="G76" i="16"/>
  <c r="G28" i="16"/>
  <c r="G20" i="16"/>
  <c r="G52" i="16"/>
  <c r="G100" i="16"/>
  <c r="G92" i="16"/>
  <c r="G68" i="16"/>
  <c r="G36" i="16"/>
  <c r="G44" i="16"/>
  <c r="G84" i="16"/>
  <c r="Y169" i="16"/>
  <c r="AG169" i="16" s="1"/>
  <c r="V169" i="16"/>
  <c r="Z169" i="16" s="1"/>
  <c r="K189" i="16"/>
  <c r="X189" i="16" s="1"/>
  <c r="L189" i="16"/>
  <c r="T189" i="16"/>
  <c r="U189" i="16" s="1"/>
  <c r="V189" i="16" s="1"/>
  <c r="Z189" i="16" s="1"/>
  <c r="K133" i="16"/>
  <c r="X133" i="16" s="1"/>
  <c r="L133" i="16"/>
  <c r="T133" i="16"/>
  <c r="U133" i="16" s="1"/>
  <c r="T223" i="16"/>
  <c r="U223" i="16" s="1"/>
  <c r="V223" i="16" s="1"/>
  <c r="L223" i="16"/>
  <c r="K223" i="16"/>
  <c r="X223" i="16" s="1"/>
  <c r="Y177" i="16"/>
  <c r="AG177" i="16" s="1"/>
  <c r="V177" i="16"/>
  <c r="Z177" i="16" s="1"/>
  <c r="Y206" i="16"/>
  <c r="AG206" i="16" s="1"/>
  <c r="V206" i="16"/>
  <c r="Z206" i="16" s="1"/>
  <c r="Z10" i="16"/>
  <c r="Y147" i="16"/>
  <c r="AG147" i="16" s="1"/>
  <c r="V147" i="16"/>
  <c r="Z147" i="16" s="1"/>
  <c r="Q222" i="16"/>
  <c r="R222" i="16"/>
  <c r="Y16" i="16"/>
  <c r="AG16" i="16" s="1"/>
  <c r="V16" i="16"/>
  <c r="Z16" i="16" s="1"/>
  <c r="Z150" i="16"/>
  <c r="G231" i="16"/>
  <c r="Y194" i="16"/>
  <c r="AG194" i="16" s="1"/>
  <c r="Z170" i="16"/>
  <c r="G107" i="16"/>
  <c r="Z191" i="16"/>
  <c r="S191" i="16"/>
  <c r="Z155" i="16"/>
  <c r="Y200" i="16"/>
  <c r="AG200" i="16" s="1"/>
  <c r="V74" i="16"/>
  <c r="V31" i="16"/>
  <c r="Z184" i="16"/>
  <c r="Y143" i="16"/>
  <c r="AG143" i="16" s="1"/>
  <c r="V143" i="16"/>
  <c r="Z143" i="16" s="1"/>
  <c r="V63" i="16"/>
  <c r="S148" i="16"/>
  <c r="Z161" i="16"/>
  <c r="V40" i="16"/>
  <c r="S203" i="16"/>
  <c r="Y22" i="16"/>
  <c r="AG22" i="16" s="1"/>
  <c r="Y153" i="16"/>
  <c r="AG153" i="16" s="1"/>
  <c r="V153" i="16"/>
  <c r="Z153" i="16" s="1"/>
  <c r="Z163" i="16"/>
  <c r="Y176" i="16"/>
  <c r="AG176" i="16" s="1"/>
  <c r="V176" i="16"/>
  <c r="Z176" i="16" s="1"/>
  <c r="T93" i="16"/>
  <c r="U93" i="16" s="1"/>
  <c r="V93" i="16" s="1"/>
  <c r="T53" i="16"/>
  <c r="U53" i="16" s="1"/>
  <c r="V53" i="16" s="1"/>
  <c r="G156" i="16"/>
  <c r="G212" i="16"/>
  <c r="G220" i="16"/>
  <c r="G140" i="16"/>
  <c r="G180" i="16"/>
  <c r="G204" i="16"/>
  <c r="G196" i="16"/>
  <c r="G228" i="16"/>
  <c r="G148" i="16"/>
  <c r="G188" i="16"/>
  <c r="G172" i="16"/>
  <c r="G164" i="16"/>
  <c r="AA154" i="16"/>
  <c r="AH154" i="16"/>
  <c r="AI154" i="16" s="1"/>
  <c r="G103" i="16"/>
  <c r="T149" i="16"/>
  <c r="U149" i="16" s="1"/>
  <c r="L149" i="16"/>
  <c r="K149" i="16"/>
  <c r="X149" i="16" s="1"/>
  <c r="Y144" i="16"/>
  <c r="AG144" i="16" s="1"/>
  <c r="V144" i="16"/>
  <c r="Z144" i="16" s="1"/>
  <c r="Y162" i="16"/>
  <c r="AG162" i="16" s="1"/>
  <c r="AA17" i="16"/>
  <c r="AH17" i="16"/>
  <c r="AI17" i="16" s="1"/>
  <c r="Y185" i="16"/>
  <c r="AG185" i="16" s="1"/>
  <c r="V185" i="16"/>
  <c r="Z185" i="16" s="1"/>
  <c r="Z7" i="16"/>
  <c r="S7" i="16"/>
  <c r="S11" i="16"/>
  <c r="Z11" i="16"/>
  <c r="Q224" i="16"/>
  <c r="R224" i="16"/>
  <c r="S224" i="16" s="1"/>
  <c r="Q227" i="16"/>
  <c r="R227" i="16"/>
  <c r="V83" i="16"/>
  <c r="V88" i="16"/>
  <c r="S177" i="16"/>
  <c r="Z6" i="16"/>
  <c r="V49" i="16"/>
  <c r="Z166" i="16"/>
  <c r="S166" i="16"/>
  <c r="Y160" i="16"/>
  <c r="AG160" i="16" s="1"/>
  <c r="V160" i="16"/>
  <c r="Z160" i="16" s="1"/>
  <c r="Z178" i="16"/>
  <c r="I232" i="16"/>
  <c r="J232" i="16" s="1"/>
  <c r="P232" i="16" s="1"/>
  <c r="G109" i="16"/>
  <c r="V58" i="16"/>
  <c r="S196" i="16"/>
  <c r="V65" i="16"/>
  <c r="L205" i="16"/>
  <c r="K205" i="16"/>
  <c r="X205" i="16" s="1"/>
  <c r="T205" i="16"/>
  <c r="U205" i="16" s="1"/>
  <c r="Z219" i="16"/>
  <c r="S219" i="16"/>
  <c r="Y202" i="16"/>
  <c r="AG202" i="16" s="1"/>
  <c r="V202" i="16"/>
  <c r="Z202" i="16" s="1"/>
  <c r="Z8" i="16"/>
  <c r="Y208" i="16"/>
  <c r="AG208" i="16" s="1"/>
  <c r="V208" i="16"/>
  <c r="Z208" i="16" s="1"/>
  <c r="Y179" i="16"/>
  <c r="AG179" i="16" s="1"/>
  <c r="V73" i="16"/>
  <c r="S207" i="16"/>
  <c r="I229" i="16"/>
  <c r="J229" i="16" s="1"/>
  <c r="P229" i="16" s="1"/>
  <c r="V72" i="16"/>
  <c r="AA182" i="16"/>
  <c r="AH182" i="16"/>
  <c r="AI182" i="16" s="1"/>
  <c r="V86" i="16"/>
  <c r="Y186" i="16"/>
  <c r="AG186" i="16" s="1"/>
  <c r="V186" i="16"/>
  <c r="Z186" i="16" s="1"/>
  <c r="K225" i="16"/>
  <c r="X225" i="16" s="1"/>
  <c r="T225" i="16"/>
  <c r="U225" i="16" s="1"/>
  <c r="L225" i="16"/>
  <c r="S201" i="16"/>
  <c r="Z201" i="16"/>
  <c r="L5" i="16"/>
  <c r="T5" i="16"/>
  <c r="U5" i="16" s="1"/>
  <c r="K5" i="16"/>
  <c r="X5" i="16" s="1"/>
  <c r="T85" i="16"/>
  <c r="U85" i="16" s="1"/>
  <c r="V85" i="16" s="1"/>
  <c r="S24" i="2"/>
  <c r="S22" i="2"/>
  <c r="G114" i="9" a="1"/>
  <c r="G114" i="9" s="1"/>
  <c r="AL114" i="16" s="1"/>
  <c r="G114" i="16" s="1"/>
  <c r="G242" i="9" a="1"/>
  <c r="G242" i="9" s="1"/>
  <c r="AL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241" i="9" a="1"/>
  <c r="G241" i="9" s="1"/>
  <c r="AL241" i="16" s="1"/>
  <c r="R35" i="12"/>
  <c r="R7" i="13"/>
  <c r="R29" i="13" s="1"/>
  <c r="R35" i="13" s="1"/>
  <c r="G244" i="9" s="1" a="1"/>
  <c r="G244" i="9" s="1"/>
  <c r="AL244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245" i="9" a="1"/>
  <c r="G245" i="9" s="1"/>
  <c r="AL245" i="16" s="1"/>
  <c r="G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240" i="9" a="1"/>
  <c r="G240" i="9" s="1"/>
  <c r="AL240" i="16" s="1"/>
  <c r="G240" i="16" s="1"/>
  <c r="S19" i="11"/>
  <c r="T6" i="13"/>
  <c r="T28" i="13" s="1"/>
  <c r="G115" i="9" a="1"/>
  <c r="G115" i="9" s="1"/>
  <c r="AL115" i="16" s="1"/>
  <c r="G115" i="16" s="1"/>
  <c r="G243" i="9" a="1"/>
  <c r="G243" i="9" s="1"/>
  <c r="AL243" i="16" s="1"/>
  <c r="G243" i="16" s="1"/>
  <c r="G108" i="9" a="1"/>
  <c r="G108" i="9" s="1"/>
  <c r="AL108" i="16" s="1"/>
  <c r="G236" i="9" a="1"/>
  <c r="G236" i="9" s="1"/>
  <c r="AL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239" i="9" a="1"/>
  <c r="G239" i="9" s="1"/>
  <c r="AL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6" s="1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I244" i="16" s="1"/>
  <c r="J244" i="16" s="1"/>
  <c r="P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I241" i="16" s="1"/>
  <c r="J241" i="16" s="1"/>
  <c r="P241" i="16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Y221" i="16" l="1"/>
  <c r="AG221" i="16" s="1"/>
  <c r="Y173" i="16"/>
  <c r="AG173" i="16" s="1"/>
  <c r="Y234" i="16"/>
  <c r="AG234" i="16" s="1"/>
  <c r="Y223" i="16"/>
  <c r="AG223" i="16" s="1"/>
  <c r="AH143" i="16"/>
  <c r="AI143" i="16" s="1"/>
  <c r="AA143" i="16"/>
  <c r="T243" i="16"/>
  <c r="U243" i="16" s="1"/>
  <c r="T115" i="16"/>
  <c r="U115" i="16" s="1"/>
  <c r="V115" i="16" s="1"/>
  <c r="AH147" i="16"/>
  <c r="AI147" i="16" s="1"/>
  <c r="AA147" i="16"/>
  <c r="AA217" i="16"/>
  <c r="AH217" i="16"/>
  <c r="AI217" i="16" s="1"/>
  <c r="AH9" i="16"/>
  <c r="AI9" i="16" s="1"/>
  <c r="AA9" i="16"/>
  <c r="T245" i="16"/>
  <c r="U245" i="16" s="1"/>
  <c r="Q244" i="16"/>
  <c r="R244" i="16"/>
  <c r="S244" i="16" s="1"/>
  <c r="Q241" i="16"/>
  <c r="R241" i="16"/>
  <c r="S241" i="16" s="1"/>
  <c r="T240" i="16"/>
  <c r="U240" i="16" s="1"/>
  <c r="V240" i="16" s="1"/>
  <c r="AH144" i="16"/>
  <c r="AI144" i="16" s="1"/>
  <c r="AA144" i="16"/>
  <c r="AA206" i="16"/>
  <c r="AH206" i="16"/>
  <c r="AI206" i="16" s="1"/>
  <c r="AH139" i="16"/>
  <c r="AI139" i="16" s="1"/>
  <c r="AA139" i="16"/>
  <c r="AA208" i="16"/>
  <c r="AH208" i="16"/>
  <c r="AI208" i="16" s="1"/>
  <c r="AH190" i="16"/>
  <c r="AI190" i="16" s="1"/>
  <c r="AA190" i="16"/>
  <c r="T114" i="16"/>
  <c r="U114" i="16" s="1"/>
  <c r="V114" i="16" s="1"/>
  <c r="AH176" i="16"/>
  <c r="AI176" i="16" s="1"/>
  <c r="AA176" i="16"/>
  <c r="AH155" i="16"/>
  <c r="AI155" i="16" s="1"/>
  <c r="AA155" i="16"/>
  <c r="AH16" i="16"/>
  <c r="AI16" i="16" s="1"/>
  <c r="AA16" i="16"/>
  <c r="G108" i="16"/>
  <c r="T92" i="16"/>
  <c r="U92" i="16" s="1"/>
  <c r="V92" i="16" s="1"/>
  <c r="AH192" i="16"/>
  <c r="AI192" i="16" s="1"/>
  <c r="AA192" i="16"/>
  <c r="AH23" i="16"/>
  <c r="AI23" i="16" s="1"/>
  <c r="AA23" i="16"/>
  <c r="AA211" i="16"/>
  <c r="AH211" i="16"/>
  <c r="AI211" i="16" s="1"/>
  <c r="V69" i="16"/>
  <c r="AA198" i="16"/>
  <c r="AH198" i="16"/>
  <c r="AI198" i="16" s="1"/>
  <c r="Q236" i="16"/>
  <c r="R236" i="16"/>
  <c r="Q231" i="16"/>
  <c r="R231" i="16"/>
  <c r="I239" i="16"/>
  <c r="J239" i="16" s="1"/>
  <c r="P239" i="16" s="1"/>
  <c r="AA210" i="16"/>
  <c r="AH210" i="16"/>
  <c r="AI210" i="16" s="1"/>
  <c r="T180" i="16"/>
  <c r="U180" i="16" s="1"/>
  <c r="L180" i="16"/>
  <c r="K180" i="16"/>
  <c r="X180" i="16" s="1"/>
  <c r="AA189" i="16"/>
  <c r="AH189" i="16"/>
  <c r="AI189" i="16" s="1"/>
  <c r="T84" i="16"/>
  <c r="U84" i="16" s="1"/>
  <c r="I237" i="16"/>
  <c r="J237" i="16" s="1"/>
  <c r="P237" i="16" s="1"/>
  <c r="T102" i="16"/>
  <c r="U102" i="16" s="1"/>
  <c r="AA138" i="16"/>
  <c r="AH138" i="16"/>
  <c r="AI138" i="16" s="1"/>
  <c r="AH25" i="16"/>
  <c r="AI25" i="16" s="1"/>
  <c r="AA25" i="16"/>
  <c r="G242" i="16"/>
  <c r="Y227" i="16"/>
  <c r="AG227" i="16" s="1"/>
  <c r="V227" i="16"/>
  <c r="V95" i="16"/>
  <c r="Y213" i="16"/>
  <c r="AG213" i="16" s="1"/>
  <c r="V213" i="16"/>
  <c r="Z213" i="16" s="1"/>
  <c r="Y222" i="16"/>
  <c r="AG222" i="16" s="1"/>
  <c r="V222" i="16"/>
  <c r="Z222" i="16" s="1"/>
  <c r="AA15" i="16"/>
  <c r="AH15" i="16"/>
  <c r="AI15" i="16" s="1"/>
  <c r="L232" i="16"/>
  <c r="K232" i="16"/>
  <c r="X232" i="16" s="1"/>
  <c r="T232" i="16"/>
  <c r="U232" i="16" s="1"/>
  <c r="Y189" i="16"/>
  <c r="AG189" i="16" s="1"/>
  <c r="S230" i="16"/>
  <c r="I32" i="16"/>
  <c r="K164" i="16"/>
  <c r="X164" i="16" s="1"/>
  <c r="L164" i="16"/>
  <c r="T164" i="16"/>
  <c r="U164" i="16" s="1"/>
  <c r="T100" i="16"/>
  <c r="U100" i="16" s="1"/>
  <c r="V5" i="16"/>
  <c r="Z5" i="16" s="1"/>
  <c r="Y5" i="16"/>
  <c r="AG5" i="16" s="1"/>
  <c r="AH186" i="16"/>
  <c r="AI186" i="16" s="1"/>
  <c r="AA186" i="16"/>
  <c r="Q229" i="16"/>
  <c r="R229" i="16"/>
  <c r="AA8" i="16"/>
  <c r="AH8" i="16"/>
  <c r="AI8" i="16" s="1"/>
  <c r="AA11" i="16"/>
  <c r="AH11" i="16"/>
  <c r="AI11" i="16" s="1"/>
  <c r="Y149" i="16"/>
  <c r="AG149" i="16" s="1"/>
  <c r="V149" i="16"/>
  <c r="Z149" i="16" s="1"/>
  <c r="T172" i="16"/>
  <c r="U172" i="16" s="1"/>
  <c r="K172" i="16"/>
  <c r="X172" i="16" s="1"/>
  <c r="L172" i="16"/>
  <c r="T140" i="16"/>
  <c r="U140" i="16" s="1"/>
  <c r="K140" i="16"/>
  <c r="X140" i="16" s="1"/>
  <c r="L140" i="16"/>
  <c r="AA163" i="16"/>
  <c r="AH163" i="16"/>
  <c r="AI163" i="16" s="1"/>
  <c r="AH184" i="16"/>
  <c r="AI184" i="16" s="1"/>
  <c r="AA184" i="16"/>
  <c r="AA191" i="16"/>
  <c r="AH191" i="16"/>
  <c r="AI191" i="16" s="1"/>
  <c r="S222" i="16"/>
  <c r="T52" i="16"/>
  <c r="U52" i="16" s="1"/>
  <c r="V52" i="16" s="1"/>
  <c r="V141" i="16"/>
  <c r="Z141" i="16" s="1"/>
  <c r="Y141" i="16"/>
  <c r="AG141" i="16" s="1"/>
  <c r="AH142" i="16"/>
  <c r="AI142" i="16" s="1"/>
  <c r="AA142" i="16"/>
  <c r="AA151" i="16"/>
  <c r="AH151" i="16"/>
  <c r="AI151" i="16" s="1"/>
  <c r="AH193" i="16"/>
  <c r="AI193" i="16" s="1"/>
  <c r="AA193" i="16"/>
  <c r="G117" i="16"/>
  <c r="G239" i="16"/>
  <c r="AA174" i="16"/>
  <c r="AH174" i="16"/>
  <c r="AI174" i="16" s="1"/>
  <c r="I240" i="16"/>
  <c r="J240" i="16" s="1"/>
  <c r="P240" i="16" s="1"/>
  <c r="AA177" i="16"/>
  <c r="AH177" i="16"/>
  <c r="AI177" i="16" s="1"/>
  <c r="T220" i="16"/>
  <c r="U220" i="16" s="1"/>
  <c r="K220" i="16"/>
  <c r="X220" i="16" s="1"/>
  <c r="L220" i="16"/>
  <c r="AA153" i="16"/>
  <c r="AH153" i="16"/>
  <c r="AI153" i="16" s="1"/>
  <c r="AH161" i="16"/>
  <c r="AI161" i="16" s="1"/>
  <c r="AA161" i="16"/>
  <c r="T107" i="16"/>
  <c r="U107" i="16" s="1"/>
  <c r="T44" i="16"/>
  <c r="U44" i="16" s="1"/>
  <c r="V44" i="16" s="1"/>
  <c r="L20" i="16"/>
  <c r="K20" i="16"/>
  <c r="X20" i="16" s="1"/>
  <c r="T20" i="16"/>
  <c r="U20" i="16" s="1"/>
  <c r="J31" i="16"/>
  <c r="P31" i="16" s="1"/>
  <c r="K31" i="16"/>
  <c r="X31" i="16" s="1"/>
  <c r="L31" i="16"/>
  <c r="AH221" i="16"/>
  <c r="AI221" i="16" s="1"/>
  <c r="AA221" i="16"/>
  <c r="AH194" i="16"/>
  <c r="AI194" i="16" s="1"/>
  <c r="AA194" i="16"/>
  <c r="I242" i="16"/>
  <c r="J242" i="16" s="1"/>
  <c r="P242" i="16" s="1"/>
  <c r="V61" i="16"/>
  <c r="AA18" i="16"/>
  <c r="AH18" i="16"/>
  <c r="AI18" i="16" s="1"/>
  <c r="T235" i="16"/>
  <c r="U235" i="16" s="1"/>
  <c r="K235" i="16"/>
  <c r="X235" i="16" s="1"/>
  <c r="L235" i="16"/>
  <c r="Y215" i="16"/>
  <c r="AG215" i="16" s="1"/>
  <c r="V215" i="16"/>
  <c r="Z215" i="16" s="1"/>
  <c r="AA145" i="16"/>
  <c r="AH145" i="16"/>
  <c r="AI145" i="16" s="1"/>
  <c r="AA214" i="16"/>
  <c r="AH214" i="16"/>
  <c r="AI214" i="16" s="1"/>
  <c r="V99" i="16"/>
  <c r="Y21" i="16"/>
  <c r="AG21" i="16" s="1"/>
  <c r="V21" i="16"/>
  <c r="Z21" i="16" s="1"/>
  <c r="AA209" i="16"/>
  <c r="AH209" i="16"/>
  <c r="AI209" i="16" s="1"/>
  <c r="G241" i="16"/>
  <c r="V105" i="16"/>
  <c r="G111" i="16"/>
  <c r="K188" i="16"/>
  <c r="X188" i="16" s="1"/>
  <c r="L188" i="16"/>
  <c r="T188" i="16"/>
  <c r="U188" i="16" s="1"/>
  <c r="AH201" i="16"/>
  <c r="AI201" i="16" s="1"/>
  <c r="AA201" i="16"/>
  <c r="K148" i="16"/>
  <c r="X148" i="16" s="1"/>
  <c r="T148" i="16"/>
  <c r="U148" i="16" s="1"/>
  <c r="L148" i="16"/>
  <c r="G236" i="16"/>
  <c r="AA170" i="16"/>
  <c r="AH170" i="16"/>
  <c r="AI170" i="16" s="1"/>
  <c r="AA169" i="16"/>
  <c r="AH169" i="16"/>
  <c r="AI169" i="16" s="1"/>
  <c r="K28" i="16"/>
  <c r="X28" i="16" s="1"/>
  <c r="L28" i="16"/>
  <c r="T28" i="16"/>
  <c r="U28" i="16" s="1"/>
  <c r="AH136" i="16"/>
  <c r="AI136" i="16" s="1"/>
  <c r="AA136" i="16"/>
  <c r="Y29" i="16"/>
  <c r="AG29" i="16" s="1"/>
  <c r="V29" i="16"/>
  <c r="Z29" i="16" s="1"/>
  <c r="AH19" i="16"/>
  <c r="AI19" i="16" s="1"/>
  <c r="AA19" i="16"/>
  <c r="AA187" i="16"/>
  <c r="AH187" i="16"/>
  <c r="AI187" i="16" s="1"/>
  <c r="AA171" i="16"/>
  <c r="AH171" i="16"/>
  <c r="AI171" i="16" s="1"/>
  <c r="AA216" i="16"/>
  <c r="AH216" i="16"/>
  <c r="AI216" i="16" s="1"/>
  <c r="AA218" i="16"/>
  <c r="AH218" i="16"/>
  <c r="AI218" i="16" s="1"/>
  <c r="Y230" i="16"/>
  <c r="AG230" i="16" s="1"/>
  <c r="V230" i="16"/>
  <c r="Z230" i="16" s="1"/>
  <c r="T109" i="16"/>
  <c r="U109" i="16" s="1"/>
  <c r="Q232" i="16"/>
  <c r="R232" i="16"/>
  <c r="T103" i="16"/>
  <c r="U103" i="16" s="1"/>
  <c r="I238" i="16"/>
  <c r="J238" i="16" s="1"/>
  <c r="P238" i="16" s="1"/>
  <c r="T228" i="16"/>
  <c r="U228" i="16" s="1"/>
  <c r="V228" i="16" s="1"/>
  <c r="Z228" i="16" s="1"/>
  <c r="L228" i="16"/>
  <c r="K228" i="16"/>
  <c r="X228" i="16" s="1"/>
  <c r="T212" i="16"/>
  <c r="U212" i="16" s="1"/>
  <c r="K212" i="16"/>
  <c r="X212" i="16" s="1"/>
  <c r="L212" i="16"/>
  <c r="Z223" i="16"/>
  <c r="T36" i="16"/>
  <c r="U36" i="16" s="1"/>
  <c r="V36" i="16" s="1"/>
  <c r="T76" i="16"/>
  <c r="U76" i="16" s="1"/>
  <c r="AH135" i="16"/>
  <c r="AI135" i="16" s="1"/>
  <c r="AA135" i="16"/>
  <c r="K229" i="16"/>
  <c r="X229" i="16" s="1"/>
  <c r="L229" i="16"/>
  <c r="T229" i="16"/>
  <c r="U229" i="16" s="1"/>
  <c r="V229" i="16" s="1"/>
  <c r="AH152" i="16"/>
  <c r="AI152" i="16" s="1"/>
  <c r="AA152" i="16"/>
  <c r="Y181" i="16"/>
  <c r="AG181" i="16" s="1"/>
  <c r="V181" i="16"/>
  <c r="Z181" i="16" s="1"/>
  <c r="G113" i="16"/>
  <c r="G112" i="16"/>
  <c r="AA158" i="16"/>
  <c r="AH158" i="16"/>
  <c r="AI158" i="16" s="1"/>
  <c r="AA137" i="16"/>
  <c r="AH137" i="16"/>
  <c r="AI137" i="16" s="1"/>
  <c r="Z226" i="16"/>
  <c r="S226" i="16"/>
  <c r="AA167" i="16"/>
  <c r="AH167" i="16"/>
  <c r="AI167" i="16" s="1"/>
  <c r="Y165" i="16"/>
  <c r="AG165" i="16" s="1"/>
  <c r="V165" i="16"/>
  <c r="Z165" i="16" s="1"/>
  <c r="V197" i="16"/>
  <c r="Z197" i="16" s="1"/>
  <c r="Y197" i="16"/>
  <c r="AG197" i="16" s="1"/>
  <c r="K204" i="16"/>
  <c r="X204" i="16" s="1"/>
  <c r="L204" i="16"/>
  <c r="T204" i="16"/>
  <c r="U204" i="16" s="1"/>
  <c r="AH207" i="16"/>
  <c r="AI207" i="16" s="1"/>
  <c r="AA207" i="16"/>
  <c r="AA202" i="16"/>
  <c r="AH202" i="16"/>
  <c r="AI202" i="16" s="1"/>
  <c r="AA166" i="16"/>
  <c r="AH166" i="16"/>
  <c r="AI166" i="16" s="1"/>
  <c r="AA219" i="16"/>
  <c r="AH219" i="16"/>
  <c r="AI219" i="16" s="1"/>
  <c r="Z227" i="16"/>
  <c r="S227" i="16"/>
  <c r="K156" i="16"/>
  <c r="X156" i="16" s="1"/>
  <c r="T156" i="16"/>
  <c r="U156" i="16" s="1"/>
  <c r="L156" i="16"/>
  <c r="AA203" i="16"/>
  <c r="AH203" i="16"/>
  <c r="AI203" i="16" s="1"/>
  <c r="K231" i="16"/>
  <c r="X231" i="16" s="1"/>
  <c r="T231" i="16"/>
  <c r="U231" i="16" s="1"/>
  <c r="L231" i="16"/>
  <c r="AA10" i="16"/>
  <c r="AH10" i="16"/>
  <c r="AI10" i="16" s="1"/>
  <c r="V133" i="16"/>
  <c r="Z133" i="16" s="1"/>
  <c r="Y133" i="16"/>
  <c r="AG133" i="16" s="1"/>
  <c r="T60" i="16"/>
  <c r="U60" i="16" s="1"/>
  <c r="AH168" i="16"/>
  <c r="AI168" i="16" s="1"/>
  <c r="AA168" i="16"/>
  <c r="T237" i="16"/>
  <c r="U237" i="16" s="1"/>
  <c r="L237" i="16"/>
  <c r="K237" i="16"/>
  <c r="X237" i="16" s="1"/>
  <c r="AA173" i="16"/>
  <c r="AH173" i="16"/>
  <c r="AI173" i="16" s="1"/>
  <c r="Y224" i="16"/>
  <c r="AG224" i="16" s="1"/>
  <c r="V224" i="16"/>
  <c r="Z224" i="16" s="1"/>
  <c r="AH195" i="16"/>
  <c r="AI195" i="16" s="1"/>
  <c r="AA195" i="16"/>
  <c r="T233" i="16"/>
  <c r="U233" i="16" s="1"/>
  <c r="K233" i="16"/>
  <c r="X233" i="16" s="1"/>
  <c r="L233" i="16"/>
  <c r="AA199" i="16"/>
  <c r="AH199" i="16"/>
  <c r="AI199" i="16" s="1"/>
  <c r="Y226" i="16"/>
  <c r="AG226" i="16" s="1"/>
  <c r="Z30" i="16"/>
  <c r="Y157" i="16"/>
  <c r="AG157" i="16" s="1"/>
  <c r="V157" i="16"/>
  <c r="Z157" i="16" s="1"/>
  <c r="S234" i="16"/>
  <c r="Z234" i="16"/>
  <c r="AH160" i="16"/>
  <c r="AI160" i="16" s="1"/>
  <c r="AA160" i="16"/>
  <c r="AH185" i="16"/>
  <c r="AI185" i="16" s="1"/>
  <c r="AA185" i="16"/>
  <c r="G244" i="16"/>
  <c r="Y225" i="16"/>
  <c r="AG225" i="16" s="1"/>
  <c r="V225" i="16"/>
  <c r="Z225" i="16" s="1"/>
  <c r="Y205" i="16"/>
  <c r="AG205" i="16" s="1"/>
  <c r="V205" i="16"/>
  <c r="Z205" i="16" s="1"/>
  <c r="AA178" i="16"/>
  <c r="AH178" i="16"/>
  <c r="AI178" i="16" s="1"/>
  <c r="AH6" i="16"/>
  <c r="AI6" i="16" s="1"/>
  <c r="AA6" i="16"/>
  <c r="AH7" i="16"/>
  <c r="AI7" i="16" s="1"/>
  <c r="AA7" i="16"/>
  <c r="L196" i="16"/>
  <c r="K196" i="16"/>
  <c r="X196" i="16" s="1"/>
  <c r="T196" i="16"/>
  <c r="U196" i="16" s="1"/>
  <c r="AA150" i="16"/>
  <c r="AH150" i="16"/>
  <c r="AI150" i="16" s="1"/>
  <c r="T68" i="16"/>
  <c r="U68" i="16" s="1"/>
  <c r="V68" i="16" s="1"/>
  <c r="T12" i="16"/>
  <c r="U12" i="16" s="1"/>
  <c r="K12" i="16"/>
  <c r="X12" i="16" s="1"/>
  <c r="L12" i="16"/>
  <c r="AH22" i="16"/>
  <c r="AI22" i="16" s="1"/>
  <c r="AA22" i="16"/>
  <c r="I243" i="16"/>
  <c r="J243" i="16" s="1"/>
  <c r="P243" i="16" s="1"/>
  <c r="AA27" i="16"/>
  <c r="AH27" i="16"/>
  <c r="AI27" i="16" s="1"/>
  <c r="AH14" i="16"/>
  <c r="AI14" i="16" s="1"/>
  <c r="AA14" i="16"/>
  <c r="Y13" i="16"/>
  <c r="AG13" i="16" s="1"/>
  <c r="V13" i="16"/>
  <c r="Z13" i="16" s="1"/>
  <c r="AA159" i="16"/>
  <c r="AH159" i="16"/>
  <c r="AI159" i="16" s="1"/>
  <c r="AH134" i="16"/>
  <c r="AI134" i="16" s="1"/>
  <c r="AA134" i="16"/>
  <c r="AA26" i="16"/>
  <c r="AH26" i="16"/>
  <c r="AI26" i="16" s="1"/>
  <c r="G116" i="9" a="1"/>
  <c r="G116" i="9" s="1"/>
  <c r="AL116" i="16" s="1"/>
  <c r="G116" i="16" s="1"/>
  <c r="T35" i="12"/>
  <c r="G123" i="9" a="1"/>
  <c r="G123" i="9" s="1"/>
  <c r="AL123" i="16" s="1"/>
  <c r="G123" i="16" s="1"/>
  <c r="G251" i="9" a="1"/>
  <c r="G251" i="9" s="1"/>
  <c r="AL251" i="16" s="1"/>
  <c r="G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248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256" i="16" s="1"/>
  <c r="G121" i="9" a="1"/>
  <c r="G121" i="9" s="1"/>
  <c r="AL121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I247" i="16" s="1"/>
  <c r="J247" i="16" s="1"/>
  <c r="P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I246" i="16" s="1"/>
  <c r="J246" i="16" s="1"/>
  <c r="P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J251" i="16" s="1"/>
  <c r="P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J252" i="16" s="1"/>
  <c r="P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G130" i="16" l="1"/>
  <c r="T130" i="16" s="1"/>
  <c r="U130" i="16" s="1"/>
  <c r="G128" i="16"/>
  <c r="T128" i="16" s="1"/>
  <c r="U128" i="16" s="1"/>
  <c r="G129" i="16"/>
  <c r="T129" i="16" s="1"/>
  <c r="U129" i="16" s="1"/>
  <c r="G122" i="16"/>
  <c r="G257" i="16"/>
  <c r="T257" i="16" s="1"/>
  <c r="U257" i="16" s="1"/>
  <c r="T253" i="16"/>
  <c r="U253" i="16" s="1"/>
  <c r="Q250" i="16"/>
  <c r="R250" i="16"/>
  <c r="S250" i="16" s="1"/>
  <c r="T125" i="16"/>
  <c r="U125" i="16" s="1"/>
  <c r="T251" i="16"/>
  <c r="U251" i="16" s="1"/>
  <c r="K251" i="16"/>
  <c r="X251" i="16" s="1"/>
  <c r="L251" i="16"/>
  <c r="Q246" i="16"/>
  <c r="R246" i="16"/>
  <c r="S246" i="16" s="1"/>
  <c r="T248" i="16"/>
  <c r="U248" i="16" s="1"/>
  <c r="L248" i="16"/>
  <c r="T123" i="16"/>
  <c r="U123" i="16" s="1"/>
  <c r="V123" i="16" s="1"/>
  <c r="Q249" i="16"/>
  <c r="R249" i="16"/>
  <c r="S249" i="16" s="1"/>
  <c r="AH230" i="16"/>
  <c r="AI230" i="16" s="1"/>
  <c r="AA230" i="16"/>
  <c r="T116" i="16"/>
  <c r="U116" i="16" s="1"/>
  <c r="Q247" i="16"/>
  <c r="R247" i="16"/>
  <c r="S247" i="16" s="1"/>
  <c r="Q252" i="16"/>
  <c r="R252" i="16"/>
  <c r="S252" i="16" s="1"/>
  <c r="K249" i="16"/>
  <c r="X249" i="16" s="1"/>
  <c r="T249" i="16"/>
  <c r="U249" i="16" s="1"/>
  <c r="L249" i="16"/>
  <c r="K250" i="16"/>
  <c r="X250" i="16" s="1"/>
  <c r="T250" i="16"/>
  <c r="U250" i="16" s="1"/>
  <c r="L250" i="16"/>
  <c r="G126" i="16"/>
  <c r="G118" i="16"/>
  <c r="G110" i="16"/>
  <c r="V156" i="16"/>
  <c r="Z156" i="16" s="1"/>
  <c r="Y156" i="16"/>
  <c r="AG156" i="16" s="1"/>
  <c r="Y188" i="16"/>
  <c r="AG188" i="16" s="1"/>
  <c r="V188" i="16"/>
  <c r="Z188" i="16" s="1"/>
  <c r="AH149" i="16"/>
  <c r="AI149" i="16" s="1"/>
  <c r="AA149" i="16"/>
  <c r="Z229" i="16"/>
  <c r="S229" i="16"/>
  <c r="V100" i="16"/>
  <c r="Q237" i="16"/>
  <c r="R237" i="16"/>
  <c r="S237" i="16" s="1"/>
  <c r="Y180" i="16"/>
  <c r="AG180" i="16" s="1"/>
  <c r="V180" i="16"/>
  <c r="Z180" i="16" s="1"/>
  <c r="K240" i="16"/>
  <c r="X240" i="16" s="1"/>
  <c r="I248" i="16"/>
  <c r="J248" i="16" s="1"/>
  <c r="P248" i="16" s="1"/>
  <c r="K243" i="16"/>
  <c r="X243" i="16" s="1"/>
  <c r="G238" i="16"/>
  <c r="G246" i="16"/>
  <c r="G254" i="16"/>
  <c r="Q245" i="16"/>
  <c r="Y245" i="16" s="1"/>
  <c r="AG245" i="16" s="1"/>
  <c r="R245" i="16"/>
  <c r="S245" i="16" s="1"/>
  <c r="V196" i="16"/>
  <c r="Z196" i="16" s="1"/>
  <c r="Y196" i="16"/>
  <c r="AG196" i="16" s="1"/>
  <c r="AH234" i="16"/>
  <c r="AI234" i="16" s="1"/>
  <c r="AA234" i="16"/>
  <c r="Y231" i="16"/>
  <c r="AG231" i="16" s="1"/>
  <c r="V231" i="16"/>
  <c r="Z231" i="16" s="1"/>
  <c r="AA165" i="16"/>
  <c r="AH165" i="16"/>
  <c r="AI165" i="16" s="1"/>
  <c r="V212" i="16"/>
  <c r="Z212" i="16" s="1"/>
  <c r="Y212" i="16"/>
  <c r="AG212" i="16" s="1"/>
  <c r="S232" i="16"/>
  <c r="Y28" i="16"/>
  <c r="AG28" i="16" s="1"/>
  <c r="V28" i="16"/>
  <c r="Z28" i="16" s="1"/>
  <c r="K236" i="16"/>
  <c r="X236" i="16" s="1"/>
  <c r="T236" i="16"/>
  <c r="U236" i="16" s="1"/>
  <c r="V236" i="16" s="1"/>
  <c r="Z236" i="16" s="1"/>
  <c r="L236" i="16"/>
  <c r="AA21" i="16"/>
  <c r="AH21" i="16"/>
  <c r="AI21" i="16" s="1"/>
  <c r="Y229" i="16"/>
  <c r="AG229" i="16" s="1"/>
  <c r="Y164" i="16"/>
  <c r="AG164" i="16" s="1"/>
  <c r="V164" i="16"/>
  <c r="Z164" i="16" s="1"/>
  <c r="AH213" i="16"/>
  <c r="AI213" i="16" s="1"/>
  <c r="AA213" i="16"/>
  <c r="S231" i="16"/>
  <c r="G121" i="16"/>
  <c r="L243" i="16"/>
  <c r="T122" i="16"/>
  <c r="U122" i="16" s="1"/>
  <c r="T256" i="16"/>
  <c r="U256" i="16" s="1"/>
  <c r="T120" i="16"/>
  <c r="U120" i="16" s="1"/>
  <c r="V120" i="16" s="1"/>
  <c r="AH227" i="16"/>
  <c r="AI227" i="16" s="1"/>
  <c r="AA227" i="16"/>
  <c r="V76" i="16"/>
  <c r="AH215" i="16"/>
  <c r="AI215" i="16" s="1"/>
  <c r="AA215" i="16"/>
  <c r="Q31" i="16"/>
  <c r="Y31" i="16" s="1"/>
  <c r="AG31" i="16" s="1"/>
  <c r="R31" i="16"/>
  <c r="Y220" i="16"/>
  <c r="AG220" i="16" s="1"/>
  <c r="V220" i="16"/>
  <c r="Z220" i="16" s="1"/>
  <c r="K239" i="16"/>
  <c r="X239" i="16" s="1"/>
  <c r="T239" i="16"/>
  <c r="U239" i="16" s="1"/>
  <c r="L239" i="16"/>
  <c r="AA222" i="16"/>
  <c r="AH222" i="16"/>
  <c r="AI222" i="16" s="1"/>
  <c r="V84" i="16"/>
  <c r="L245" i="16"/>
  <c r="V243" i="16"/>
  <c r="AA13" i="16"/>
  <c r="AH13" i="16"/>
  <c r="AI13" i="16" s="1"/>
  <c r="AH224" i="16"/>
  <c r="AI224" i="16" s="1"/>
  <c r="AA224" i="16"/>
  <c r="AA226" i="16"/>
  <c r="AH226" i="16"/>
  <c r="AI226" i="16" s="1"/>
  <c r="V103" i="16"/>
  <c r="V148" i="16"/>
  <c r="Z148" i="16" s="1"/>
  <c r="Y148" i="16"/>
  <c r="AG148" i="16" s="1"/>
  <c r="T111" i="16"/>
  <c r="U111" i="16" s="1"/>
  <c r="Q242" i="16"/>
  <c r="R242" i="16"/>
  <c r="S242" i="16" s="1"/>
  <c r="Y20" i="16"/>
  <c r="AG20" i="16" s="1"/>
  <c r="V20" i="16"/>
  <c r="Z20" i="16" s="1"/>
  <c r="V107" i="16"/>
  <c r="T117" i="16"/>
  <c r="U117" i="16" s="1"/>
  <c r="V117" i="16" s="1"/>
  <c r="S236" i="16"/>
  <c r="V245" i="16"/>
  <c r="Z245" i="16" s="1"/>
  <c r="Q251" i="16"/>
  <c r="R251" i="16"/>
  <c r="V12" i="16"/>
  <c r="Z12" i="16" s="1"/>
  <c r="Y12" i="16"/>
  <c r="AG12" i="16" s="1"/>
  <c r="Y233" i="16"/>
  <c r="AG233" i="16" s="1"/>
  <c r="V233" i="16"/>
  <c r="Z233" i="16" s="1"/>
  <c r="T112" i="16"/>
  <c r="U112" i="16" s="1"/>
  <c r="V112" i="16" s="1"/>
  <c r="AA228" i="16"/>
  <c r="AH228" i="16"/>
  <c r="AI228" i="16" s="1"/>
  <c r="V109" i="16"/>
  <c r="Y140" i="16"/>
  <c r="AG140" i="16" s="1"/>
  <c r="V140" i="16"/>
  <c r="Z140" i="16" s="1"/>
  <c r="T108" i="16"/>
  <c r="U108" i="16" s="1"/>
  <c r="V108" i="16" s="1"/>
  <c r="K245" i="16"/>
  <c r="X245" i="16" s="1"/>
  <c r="K244" i="16"/>
  <c r="X244" i="16" s="1"/>
  <c r="T244" i="16"/>
  <c r="U244" i="16" s="1"/>
  <c r="V244" i="16" s="1"/>
  <c r="Z244" i="16" s="1"/>
  <c r="L244" i="16"/>
  <c r="AH197" i="16"/>
  <c r="AI197" i="16" s="1"/>
  <c r="AA197" i="16"/>
  <c r="I33" i="16"/>
  <c r="AA205" i="16"/>
  <c r="AH205" i="16"/>
  <c r="AI205" i="16" s="1"/>
  <c r="AA157" i="16"/>
  <c r="AH157" i="16"/>
  <c r="AI157" i="16" s="1"/>
  <c r="V60" i="16"/>
  <c r="V204" i="16"/>
  <c r="Z204" i="16" s="1"/>
  <c r="Y204" i="16"/>
  <c r="AG204" i="16" s="1"/>
  <c r="AL259" i="16"/>
  <c r="G259" i="16" s="1"/>
  <c r="AL258" i="16"/>
  <c r="G258" i="16" s="1"/>
  <c r="AH225" i="16"/>
  <c r="AI225" i="16" s="1"/>
  <c r="AA225" i="16"/>
  <c r="AA30" i="16"/>
  <c r="AH30" i="16"/>
  <c r="AI30" i="16" s="1"/>
  <c r="Y237" i="16"/>
  <c r="AG237" i="16" s="1"/>
  <c r="V237" i="16"/>
  <c r="Z237" i="16" s="1"/>
  <c r="AA133" i="16"/>
  <c r="AH133" i="16"/>
  <c r="AI133" i="16" s="1"/>
  <c r="T113" i="16"/>
  <c r="U113" i="16" s="1"/>
  <c r="V113" i="16" s="1"/>
  <c r="Q238" i="16"/>
  <c r="R238" i="16"/>
  <c r="S238" i="16" s="1"/>
  <c r="AA29" i="16"/>
  <c r="AH29" i="16"/>
  <c r="AI29" i="16" s="1"/>
  <c r="AA141" i="16"/>
  <c r="AH141" i="16"/>
  <c r="AI141" i="16" s="1"/>
  <c r="AA5" i="16"/>
  <c r="AH5" i="16"/>
  <c r="AI5" i="16" s="1"/>
  <c r="Y232" i="16"/>
  <c r="AG232" i="16" s="1"/>
  <c r="V232" i="16"/>
  <c r="Z232" i="16" s="1"/>
  <c r="Y228" i="16"/>
  <c r="AG228" i="16" s="1"/>
  <c r="Q243" i="16"/>
  <c r="Y243" i="16" s="1"/>
  <c r="AG243" i="16" s="1"/>
  <c r="R243" i="16"/>
  <c r="S243" i="16" s="1"/>
  <c r="T131" i="16"/>
  <c r="U131" i="16" s="1"/>
  <c r="AH181" i="16"/>
  <c r="AI181" i="16" s="1"/>
  <c r="AA181" i="16"/>
  <c r="AH223" i="16"/>
  <c r="AI223" i="16" s="1"/>
  <c r="AA223" i="16"/>
  <c r="T241" i="16"/>
  <c r="U241" i="16" s="1"/>
  <c r="L241" i="16"/>
  <c r="K241" i="16"/>
  <c r="X241" i="16" s="1"/>
  <c r="Y235" i="16"/>
  <c r="AG235" i="16" s="1"/>
  <c r="V235" i="16"/>
  <c r="Z235" i="16" s="1"/>
  <c r="V102" i="16"/>
  <c r="L240" i="16"/>
  <c r="Q240" i="16"/>
  <c r="Y240" i="16" s="1"/>
  <c r="AG240" i="16" s="1"/>
  <c r="R240" i="16"/>
  <c r="V172" i="16"/>
  <c r="Z172" i="16" s="1"/>
  <c r="Y172" i="16"/>
  <c r="AG172" i="16" s="1"/>
  <c r="J32" i="16"/>
  <c r="P32" i="16" s="1"/>
  <c r="K32" i="16"/>
  <c r="X32" i="16" s="1"/>
  <c r="L32" i="16"/>
  <c r="K242" i="16"/>
  <c r="X242" i="16" s="1"/>
  <c r="T242" i="16"/>
  <c r="U242" i="16" s="1"/>
  <c r="L242" i="16"/>
  <c r="Q239" i="16"/>
  <c r="R239" i="16"/>
  <c r="S239" i="16" s="1"/>
  <c r="G132" i="9" a="1"/>
  <c r="G132" i="9" s="1"/>
  <c r="AL132" i="16" s="1"/>
  <c r="G260" i="9" a="1"/>
  <c r="G260" i="9" s="1"/>
  <c r="AL260" i="16" s="1"/>
  <c r="T29" i="5"/>
  <c r="I254" i="9" s="1" a="1"/>
  <c r="I254" i="9" s="1"/>
  <c r="AN254" i="16" s="1"/>
  <c r="I254" i="16" s="1"/>
  <c r="J254" i="16" s="1"/>
  <c r="P254" i="16" s="1"/>
  <c r="G252" i="9" a="1"/>
  <c r="G252" i="9" s="1"/>
  <c r="AL252" i="16" s="1"/>
  <c r="G124" i="9" a="1"/>
  <c r="G124" i="9" s="1"/>
  <c r="AL124" i="16" s="1"/>
  <c r="T31" i="5"/>
  <c r="I256" i="9" s="1" a="1"/>
  <c r="I256" i="9" s="1"/>
  <c r="AN256" i="16" s="1"/>
  <c r="I256" i="16" s="1"/>
  <c r="G247" i="9" a="1"/>
  <c r="G247" i="9" s="1"/>
  <c r="AL247" i="16" s="1"/>
  <c r="G247" i="16" s="1"/>
  <c r="G119" i="9" a="1"/>
  <c r="G119" i="9" s="1"/>
  <c r="AL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G132" i="16" l="1"/>
  <c r="T132" i="16" s="1"/>
  <c r="U132" i="16" s="1"/>
  <c r="G124" i="16"/>
  <c r="Y244" i="16"/>
  <c r="AG244" i="16" s="1"/>
  <c r="Y236" i="16"/>
  <c r="AG236" i="16" s="1"/>
  <c r="J256" i="16"/>
  <c r="P256" i="16" s="1"/>
  <c r="L256" i="16"/>
  <c r="K256" i="16"/>
  <c r="X256" i="16" s="1"/>
  <c r="AH232" i="16"/>
  <c r="AI232" i="16" s="1"/>
  <c r="AA232" i="16"/>
  <c r="J257" i="16"/>
  <c r="P257" i="16" s="1"/>
  <c r="K257" i="16"/>
  <c r="X257" i="16" s="1"/>
  <c r="L257" i="16"/>
  <c r="T258" i="16"/>
  <c r="U258" i="16" s="1"/>
  <c r="Q254" i="16"/>
  <c r="R254" i="16"/>
  <c r="AA12" i="16"/>
  <c r="AH12" i="16"/>
  <c r="AI12" i="16" s="1"/>
  <c r="V256" i="16"/>
  <c r="H435" i="17" a="1"/>
  <c r="H435" i="17" s="1"/>
  <c r="H431" i="17" a="1"/>
  <c r="H431" i="17" s="1"/>
  <c r="H434" i="17" a="1"/>
  <c r="H434" i="17" s="1"/>
  <c r="H432" i="17" a="1"/>
  <c r="H432" i="17" s="1"/>
  <c r="H433" i="17" a="1"/>
  <c r="H433" i="17" s="1"/>
  <c r="Y249" i="16"/>
  <c r="AG249" i="16" s="1"/>
  <c r="V249" i="16"/>
  <c r="Z249" i="16" s="1"/>
  <c r="V128" i="16"/>
  <c r="H413" i="17" a="1"/>
  <c r="H413" i="17" s="1"/>
  <c r="H410" i="17" a="1"/>
  <c r="H410" i="17" s="1"/>
  <c r="H411" i="17" a="1"/>
  <c r="H411" i="17" s="1"/>
  <c r="H409" i="17" a="1"/>
  <c r="H409" i="17" s="1"/>
  <c r="H412" i="17" a="1"/>
  <c r="H412" i="17" s="1"/>
  <c r="V248" i="16"/>
  <c r="Q260" i="16"/>
  <c r="H48" i="17" s="1" a="1"/>
  <c r="H48" i="17" s="1"/>
  <c r="R260" i="16"/>
  <c r="I34" i="16"/>
  <c r="Z243" i="16"/>
  <c r="T259" i="16"/>
  <c r="U259" i="16" s="1"/>
  <c r="S251" i="16"/>
  <c r="AA220" i="16"/>
  <c r="AH220" i="16"/>
  <c r="AI220" i="16" s="1"/>
  <c r="AA212" i="16"/>
  <c r="AH212" i="16"/>
  <c r="AI212" i="16" s="1"/>
  <c r="Q248" i="16"/>
  <c r="Y248" i="16" s="1"/>
  <c r="AG248" i="16" s="1"/>
  <c r="R248" i="16"/>
  <c r="V116" i="16"/>
  <c r="K248" i="16"/>
  <c r="X248" i="16" s="1"/>
  <c r="AN259" i="16"/>
  <c r="I259" i="16" s="1"/>
  <c r="J259" i="16" s="1"/>
  <c r="P259" i="16" s="1"/>
  <c r="AN258" i="16"/>
  <c r="I258" i="16" s="1"/>
  <c r="J258" i="16" s="1"/>
  <c r="P258" i="16" s="1"/>
  <c r="S240" i="16"/>
  <c r="Z240" i="16"/>
  <c r="G260" i="16"/>
  <c r="G252" i="16"/>
  <c r="Y239" i="16"/>
  <c r="AG239" i="16" s="1"/>
  <c r="V239" i="16"/>
  <c r="Z239" i="16" s="1"/>
  <c r="AH231" i="16"/>
  <c r="AI231" i="16" s="1"/>
  <c r="AA231" i="16"/>
  <c r="Q255" i="16"/>
  <c r="R255" i="16"/>
  <c r="Q32" i="16"/>
  <c r="Y32" i="16" s="1"/>
  <c r="AG32" i="16" s="1"/>
  <c r="R32" i="16"/>
  <c r="AA235" i="16"/>
  <c r="AH235" i="16"/>
  <c r="AI235" i="16" s="1"/>
  <c r="AH237" i="16"/>
  <c r="AI237" i="16" s="1"/>
  <c r="AA237" i="16"/>
  <c r="AA244" i="16"/>
  <c r="AH244" i="16"/>
  <c r="AI244" i="16" s="1"/>
  <c r="AH140" i="16"/>
  <c r="AI140" i="16" s="1"/>
  <c r="AA140" i="16"/>
  <c r="V122" i="16"/>
  <c r="AA164" i="16"/>
  <c r="AH164" i="16"/>
  <c r="AI164" i="16" s="1"/>
  <c r="AH196" i="16"/>
  <c r="AI196" i="16" s="1"/>
  <c r="AA196" i="16"/>
  <c r="AH156" i="16"/>
  <c r="AI156" i="16" s="1"/>
  <c r="AA156" i="16"/>
  <c r="V130" i="16"/>
  <c r="H418" i="17" a="1"/>
  <c r="H418" i="17" s="1"/>
  <c r="H419" i="17" a="1"/>
  <c r="H419" i="17" s="1"/>
  <c r="H420" i="17" a="1"/>
  <c r="H420" i="17" s="1"/>
  <c r="V125" i="16"/>
  <c r="H401" i="17" a="1"/>
  <c r="H401" i="17" s="1"/>
  <c r="G119" i="16"/>
  <c r="G127" i="16"/>
  <c r="V131" i="16"/>
  <c r="H421" i="17" a="1"/>
  <c r="H421" i="17" s="1"/>
  <c r="AH204" i="16"/>
  <c r="AI204" i="16" s="1"/>
  <c r="AA204" i="16"/>
  <c r="AH245" i="16"/>
  <c r="AI245" i="16" s="1"/>
  <c r="AA245" i="16"/>
  <c r="S31" i="16"/>
  <c r="Z31" i="16"/>
  <c r="AA229" i="16"/>
  <c r="AH229" i="16"/>
  <c r="AI229" i="16" s="1"/>
  <c r="T110" i="16"/>
  <c r="U110" i="16" s="1"/>
  <c r="V129" i="16"/>
  <c r="H414" i="17" a="1"/>
  <c r="H414" i="17" s="1"/>
  <c r="H417" i="17" a="1"/>
  <c r="H417" i="17" s="1"/>
  <c r="H415" i="17" a="1"/>
  <c r="H415" i="17" s="1"/>
  <c r="H416" i="17" a="1"/>
  <c r="H416" i="17" s="1"/>
  <c r="J33" i="16"/>
  <c r="P33" i="16" s="1"/>
  <c r="K33" i="16"/>
  <c r="X33" i="16" s="1"/>
  <c r="L33" i="16"/>
  <c r="V111" i="16"/>
  <c r="AA28" i="16"/>
  <c r="AH28" i="16"/>
  <c r="AI28" i="16" s="1"/>
  <c r="AH180" i="16"/>
  <c r="AI180" i="16" s="1"/>
  <c r="AA180" i="16"/>
  <c r="T118" i="16"/>
  <c r="U118" i="16" s="1"/>
  <c r="G255" i="16"/>
  <c r="K247" i="16"/>
  <c r="X247" i="16" s="1"/>
  <c r="L247" i="16"/>
  <c r="T247" i="16"/>
  <c r="U247" i="16" s="1"/>
  <c r="V247" i="16" s="1"/>
  <c r="Z247" i="16" s="1"/>
  <c r="AA172" i="16"/>
  <c r="AH172" i="16"/>
  <c r="AI172" i="16" s="1"/>
  <c r="T124" i="16"/>
  <c r="U124" i="16" s="1"/>
  <c r="AA233" i="16"/>
  <c r="AH233" i="16"/>
  <c r="AI233" i="16" s="1"/>
  <c r="AH236" i="16"/>
  <c r="AI236" i="16" s="1"/>
  <c r="AA236" i="16"/>
  <c r="AA20" i="16"/>
  <c r="AH20" i="16"/>
  <c r="AI20" i="16" s="1"/>
  <c r="T121" i="16"/>
  <c r="U121" i="16" s="1"/>
  <c r="V121" i="16" s="1"/>
  <c r="T254" i="16"/>
  <c r="U254" i="16" s="1"/>
  <c r="L254" i="16"/>
  <c r="K254" i="16"/>
  <c r="X254" i="16" s="1"/>
  <c r="T126" i="16"/>
  <c r="U126" i="16" s="1"/>
  <c r="Y250" i="16"/>
  <c r="AG250" i="16" s="1"/>
  <c r="V250" i="16"/>
  <c r="Z250" i="16" s="1"/>
  <c r="L253" i="16"/>
  <c r="Q253" i="16"/>
  <c r="H27" i="17" s="1" a="1"/>
  <c r="H27" i="17" s="1"/>
  <c r="R253" i="16"/>
  <c r="Y242" i="16"/>
  <c r="AG242" i="16" s="1"/>
  <c r="V242" i="16"/>
  <c r="Z242" i="16" s="1"/>
  <c r="Y241" i="16"/>
  <c r="AG241" i="16" s="1"/>
  <c r="V241" i="16"/>
  <c r="Z241" i="16" s="1"/>
  <c r="AH148" i="16"/>
  <c r="AI148" i="16" s="1"/>
  <c r="AA148" i="16"/>
  <c r="L246" i="16"/>
  <c r="T246" i="16"/>
  <c r="U246" i="16" s="1"/>
  <c r="K246" i="16"/>
  <c r="X246" i="16" s="1"/>
  <c r="Y251" i="16"/>
  <c r="AG251" i="16" s="1"/>
  <c r="V251" i="16"/>
  <c r="Z251" i="16" s="1"/>
  <c r="K253" i="16"/>
  <c r="X253" i="16" s="1"/>
  <c r="K238" i="16"/>
  <c r="X238" i="16" s="1"/>
  <c r="T238" i="16"/>
  <c r="U238" i="16" s="1"/>
  <c r="L238" i="16"/>
  <c r="AH188" i="16"/>
  <c r="AI188" i="16" s="1"/>
  <c r="AA188" i="16"/>
  <c r="V257" i="16"/>
  <c r="H436" i="17" a="1"/>
  <c r="H436" i="17" s="1"/>
  <c r="H437" i="17" a="1"/>
  <c r="H437" i="17" s="1"/>
  <c r="H438" i="17" a="1"/>
  <c r="H438" i="17" s="1"/>
  <c r="H439" i="17" a="1"/>
  <c r="H439" i="17" s="1"/>
  <c r="V253" i="16"/>
  <c r="H467" i="17" s="1" a="1"/>
  <c r="H467" i="17" s="1"/>
  <c r="AC5" i="17" s="1"/>
  <c r="AC27" i="17" s="1"/>
  <c r="H625" i="17" s="1" a="1"/>
  <c r="H625" i="17" s="1"/>
  <c r="H423" i="17" a="1"/>
  <c r="H423" i="17" s="1"/>
  <c r="L87" i="9"/>
  <c r="I87" i="9" s="1" a="1"/>
  <c r="I87" i="9" s="1"/>
  <c r="AN87" i="16" s="1"/>
  <c r="E88" i="9"/>
  <c r="E36" i="9"/>
  <c r="L35" i="9"/>
  <c r="I35" i="9" s="1" a="1"/>
  <c r="I35" i="9" s="1"/>
  <c r="AN35" i="16" s="1"/>
  <c r="AA251" i="16" l="1"/>
  <c r="AH251" i="16"/>
  <c r="AI251" i="16" s="1"/>
  <c r="AH242" i="16"/>
  <c r="AI242" i="16" s="1"/>
  <c r="AA242" i="16"/>
  <c r="V126" i="16"/>
  <c r="H404" i="17" a="1"/>
  <c r="H404" i="17" s="1"/>
  <c r="H402" i="17" a="1"/>
  <c r="H402" i="17" s="1"/>
  <c r="H403" i="17" a="1"/>
  <c r="H403" i="17" s="1"/>
  <c r="H458" i="17" a="1"/>
  <c r="H458" i="17" s="1"/>
  <c r="H459" i="17" a="1"/>
  <c r="H459" i="17" s="1"/>
  <c r="H461" i="17" a="1"/>
  <c r="H461" i="17" s="1"/>
  <c r="H460" i="17" a="1"/>
  <c r="H460" i="17" s="1"/>
  <c r="T127" i="16"/>
  <c r="U127" i="16" s="1"/>
  <c r="Y247" i="16"/>
  <c r="AG247" i="16" s="1"/>
  <c r="H72" i="17" a="1"/>
  <c r="H72" i="17" s="1"/>
  <c r="H73" i="17" a="1"/>
  <c r="H73" i="17" s="1"/>
  <c r="H74" i="17" a="1"/>
  <c r="H74" i="17" s="1"/>
  <c r="S254" i="16"/>
  <c r="H480" i="17" a="1"/>
  <c r="H480" i="17" s="1"/>
  <c r="H483" i="17" a="1"/>
  <c r="H483" i="17" s="1"/>
  <c r="H481" i="17" a="1"/>
  <c r="H481" i="17" s="1"/>
  <c r="H482" i="17" a="1"/>
  <c r="H482" i="17" s="1"/>
  <c r="AH241" i="16"/>
  <c r="AI241" i="16" s="1"/>
  <c r="AA241" i="16"/>
  <c r="V124" i="16"/>
  <c r="V118" i="16"/>
  <c r="H464" i="17" a="1"/>
  <c r="H464" i="17" s="1"/>
  <c r="H463" i="17" a="1"/>
  <c r="H463" i="17" s="1"/>
  <c r="H462" i="17" a="1"/>
  <c r="H462" i="17" s="1"/>
  <c r="AH239" i="16"/>
  <c r="AI239" i="16" s="1"/>
  <c r="AA239" i="16"/>
  <c r="Y253" i="16"/>
  <c r="Y246" i="16"/>
  <c r="AG246" i="16" s="1"/>
  <c r="V246" i="16"/>
  <c r="Z246" i="16" s="1"/>
  <c r="T119" i="16"/>
  <c r="U119" i="16" s="1"/>
  <c r="V119" i="16" s="1"/>
  <c r="S32" i="16"/>
  <c r="Z32" i="16"/>
  <c r="J34" i="16"/>
  <c r="P34" i="16" s="1"/>
  <c r="K34" i="16"/>
  <c r="X34" i="16" s="1"/>
  <c r="L34" i="16"/>
  <c r="AA249" i="16"/>
  <c r="AH249" i="16"/>
  <c r="AI249" i="16" s="1"/>
  <c r="H478" i="17" a="1"/>
  <c r="H478" i="17" s="1"/>
  <c r="H477" i="17" a="1"/>
  <c r="H477" i="17" s="1"/>
  <c r="H476" i="17" a="1"/>
  <c r="H476" i="17" s="1"/>
  <c r="H479" i="17" a="1"/>
  <c r="H479" i="17" s="1"/>
  <c r="H475" i="17" a="1"/>
  <c r="H475" i="17" s="1"/>
  <c r="H30" i="17" a="1"/>
  <c r="H30" i="17" s="1"/>
  <c r="H28" i="17" a="1"/>
  <c r="H28" i="17" s="1"/>
  <c r="H29" i="17" a="1"/>
  <c r="H29" i="17" s="1"/>
  <c r="Y254" i="16"/>
  <c r="T252" i="16"/>
  <c r="U252" i="16" s="1"/>
  <c r="L252" i="16"/>
  <c r="K252" i="16"/>
  <c r="X252" i="16" s="1"/>
  <c r="L258" i="16"/>
  <c r="Y238" i="16"/>
  <c r="AG238" i="16" s="1"/>
  <c r="V238" i="16"/>
  <c r="Z238" i="16" s="1"/>
  <c r="H71" i="17" a="1"/>
  <c r="H71" i="17" s="1"/>
  <c r="AB5" i="17" s="1"/>
  <c r="AB27" i="17" s="1"/>
  <c r="H617" i="17" s="1" a="1"/>
  <c r="H617" i="17" s="1"/>
  <c r="S253" i="16"/>
  <c r="H115" i="17" s="1" a="1"/>
  <c r="H115" i="17" s="1"/>
  <c r="AB16" i="17" s="1"/>
  <c r="Z253" i="16"/>
  <c r="I35" i="16"/>
  <c r="AA247" i="16"/>
  <c r="AH247" i="16"/>
  <c r="AI247" i="16" s="1"/>
  <c r="Q33" i="16"/>
  <c r="Y33" i="16" s="1"/>
  <c r="AG33" i="16" s="1"/>
  <c r="R33" i="16"/>
  <c r="V258" i="16"/>
  <c r="H440" i="17" a="1"/>
  <c r="H440" i="17" s="1"/>
  <c r="H442" i="17" a="1"/>
  <c r="H442" i="17" s="1"/>
  <c r="H441" i="17" a="1"/>
  <c r="H441" i="17" s="1"/>
  <c r="T260" i="16"/>
  <c r="U260" i="16" s="1"/>
  <c r="L260" i="16"/>
  <c r="K260" i="16"/>
  <c r="X260" i="16" s="1"/>
  <c r="Z248" i="16"/>
  <c r="S248" i="16"/>
  <c r="L259" i="16"/>
  <c r="K259" i="16"/>
  <c r="X259" i="16" s="1"/>
  <c r="K258" i="16"/>
  <c r="X258" i="16" s="1"/>
  <c r="V132" i="16"/>
  <c r="H422" i="17" a="1"/>
  <c r="H422" i="17" s="1"/>
  <c r="T255" i="16"/>
  <c r="U255" i="16" s="1"/>
  <c r="Y255" i="16" s="1"/>
  <c r="K255" i="16"/>
  <c r="X255" i="16" s="1"/>
  <c r="L255" i="16"/>
  <c r="AH31" i="16"/>
  <c r="AI31" i="16" s="1"/>
  <c r="AA31" i="16"/>
  <c r="H465" i="17" a="1"/>
  <c r="H465" i="17" s="1"/>
  <c r="V11" i="17" s="1"/>
  <c r="V33" i="17" s="1"/>
  <c r="H591" i="17" s="1" a="1"/>
  <c r="H591" i="17" s="1"/>
  <c r="V110" i="16"/>
  <c r="H445" i="17" a="1"/>
  <c r="H445" i="17" s="1"/>
  <c r="V5" i="17" s="1"/>
  <c r="V27" i="17" s="1"/>
  <c r="H585" i="17" s="1" a="1"/>
  <c r="H585" i="17" s="1"/>
  <c r="H77" i="17" a="1"/>
  <c r="H77" i="17" s="1"/>
  <c r="H76" i="17" a="1"/>
  <c r="H76" i="17" s="1"/>
  <c r="H78" i="17" a="1"/>
  <c r="H78" i="17" s="1"/>
  <c r="S255" i="16"/>
  <c r="H75" i="17" a="1"/>
  <c r="H75" i="17" s="1"/>
  <c r="V254" i="16"/>
  <c r="H424" i="17" a="1"/>
  <c r="H424" i="17" s="1"/>
  <c r="H425" i="17" a="1"/>
  <c r="H425" i="17" s="1"/>
  <c r="H426" i="17" a="1"/>
  <c r="H426" i="17" s="1"/>
  <c r="H33" i="17" a="1"/>
  <c r="H33" i="17" s="1"/>
  <c r="H34" i="17" a="1"/>
  <c r="H34" i="17" s="1"/>
  <c r="H32" i="17" a="1"/>
  <c r="H32" i="17" s="1"/>
  <c r="H31" i="17" a="1"/>
  <c r="H31" i="17" s="1"/>
  <c r="AH240" i="16"/>
  <c r="AI240" i="16" s="1"/>
  <c r="AA240" i="16"/>
  <c r="AH250" i="16"/>
  <c r="AI250" i="16" s="1"/>
  <c r="AA250" i="16"/>
  <c r="V259" i="16"/>
  <c r="H487" i="17" s="1" a="1"/>
  <c r="H487" i="17" s="1"/>
  <c r="AC11" i="17" s="1"/>
  <c r="AC33" i="17" s="1"/>
  <c r="H631" i="17" s="1" a="1"/>
  <c r="H631" i="17" s="1"/>
  <c r="H443" i="17" a="1"/>
  <c r="H443" i="17" s="1"/>
  <c r="H92" i="17" a="1"/>
  <c r="H92" i="17" s="1"/>
  <c r="AB12" i="17" s="1"/>
  <c r="AB34" i="17" s="1"/>
  <c r="H624" i="17" s="1" a="1"/>
  <c r="H624" i="17" s="1"/>
  <c r="S260" i="16"/>
  <c r="H136" i="17" s="1" a="1"/>
  <c r="H136" i="17" s="1"/>
  <c r="Q258" i="16"/>
  <c r="R258" i="16"/>
  <c r="H454" i="17" a="1"/>
  <c r="H454" i="17" s="1"/>
  <c r="H456" i="17" a="1"/>
  <c r="H456" i="17" s="1"/>
  <c r="H455" i="17" a="1"/>
  <c r="H455" i="17" s="1"/>
  <c r="H457" i="17" a="1"/>
  <c r="H457" i="17" s="1"/>
  <c r="H453" i="17" a="1"/>
  <c r="H453" i="17" s="1"/>
  <c r="Q259" i="16"/>
  <c r="H47" i="17" s="1" a="1"/>
  <c r="H47" i="17" s="1"/>
  <c r="R259" i="16"/>
  <c r="AA243" i="16"/>
  <c r="AH243" i="16"/>
  <c r="AI243" i="16" s="1"/>
  <c r="Q257" i="16"/>
  <c r="R257" i="16"/>
  <c r="Q256" i="16"/>
  <c r="R256" i="16"/>
  <c r="Z256" i="16" s="1"/>
  <c r="E89" i="9"/>
  <c r="L88" i="9"/>
  <c r="I88" i="9" s="1" a="1"/>
  <c r="I88" i="9" s="1"/>
  <c r="AN88" i="16" s="1"/>
  <c r="L36" i="9"/>
  <c r="I36" i="9" s="1" a="1"/>
  <c r="I36" i="9" s="1"/>
  <c r="AN36" i="16" s="1"/>
  <c r="V9" i="17" l="1"/>
  <c r="V31" i="17" s="1"/>
  <c r="H589" i="17" s="1" a="1"/>
  <c r="H589" i="17" s="1"/>
  <c r="AC8" i="17"/>
  <c r="AC30" i="17" s="1"/>
  <c r="H628" i="17" s="1" a="1"/>
  <c r="H628" i="17" s="1"/>
  <c r="AB6" i="17"/>
  <c r="AB28" i="17" s="1"/>
  <c r="H618" i="17" s="1" a="1"/>
  <c r="H618" i="17" s="1"/>
  <c r="V8" i="17"/>
  <c r="V30" i="17" s="1"/>
  <c r="H588" i="17" s="1" a="1"/>
  <c r="H588" i="17" s="1"/>
  <c r="AA256" i="16"/>
  <c r="AH256" i="16"/>
  <c r="H211" i="17" a="1"/>
  <c r="H211" i="17" s="1"/>
  <c r="H213" i="17" a="1"/>
  <c r="H213" i="17" s="1"/>
  <c r="H214" i="17" a="1"/>
  <c r="H214" i="17" s="1"/>
  <c r="H215" i="17" a="1"/>
  <c r="H215" i="17" s="1"/>
  <c r="H212" i="17" a="1"/>
  <c r="H212" i="17" s="1"/>
  <c r="H35" i="17" a="1"/>
  <c r="H35" i="17" s="1"/>
  <c r="H36" i="17" a="1"/>
  <c r="H36" i="17" s="1"/>
  <c r="H37" i="17" a="1"/>
  <c r="H37" i="17" s="1"/>
  <c r="H39" i="17" a="1"/>
  <c r="H39" i="17" s="1"/>
  <c r="H38" i="17" a="1"/>
  <c r="H38" i="17" s="1"/>
  <c r="Y256" i="16"/>
  <c r="H86" i="17" a="1"/>
  <c r="H86" i="17" s="1"/>
  <c r="H85" i="17" a="1"/>
  <c r="H85" i="17" s="1"/>
  <c r="H84" i="17" a="1"/>
  <c r="H84" i="17" s="1"/>
  <c r="S257" i="16"/>
  <c r="H87" i="17" a="1"/>
  <c r="H87" i="17" s="1"/>
  <c r="H119" i="17" a="1"/>
  <c r="H119" i="17" s="1"/>
  <c r="H120" i="17" a="1"/>
  <c r="H120" i="17" s="1"/>
  <c r="H122" i="17" a="1"/>
  <c r="H122" i="17" s="1"/>
  <c r="H121" i="17" a="1"/>
  <c r="H121" i="17" s="1"/>
  <c r="J35" i="16"/>
  <c r="P35" i="16" s="1"/>
  <c r="K35" i="16"/>
  <c r="X35" i="16" s="1"/>
  <c r="L35" i="16"/>
  <c r="AH253" i="16"/>
  <c r="AA253" i="16"/>
  <c r="H247" i="17" s="1" a="1"/>
  <c r="H247" i="17" s="1"/>
  <c r="AD16" i="17" s="1"/>
  <c r="H203" i="17" a="1"/>
  <c r="H203" i="17" s="1"/>
  <c r="AD5" i="17" s="1"/>
  <c r="AD27" i="17" s="1"/>
  <c r="H633" i="17" s="1" a="1"/>
  <c r="H633" i="17" s="1"/>
  <c r="Y252" i="16"/>
  <c r="AG252" i="16" s="1"/>
  <c r="V252" i="16"/>
  <c r="Z252" i="16" s="1"/>
  <c r="Q34" i="16"/>
  <c r="Y34" i="16" s="1"/>
  <c r="AG34" i="16" s="1"/>
  <c r="R34" i="16"/>
  <c r="AG253" i="16"/>
  <c r="H291" i="17" s="1" a="1"/>
  <c r="H291" i="17" s="1"/>
  <c r="H159" i="17" a="1"/>
  <c r="H159" i="17" s="1"/>
  <c r="AC9" i="17"/>
  <c r="AC31" i="17" s="1"/>
  <c r="H629" i="17" s="1" a="1"/>
  <c r="H629" i="17" s="1"/>
  <c r="H466" i="17" a="1"/>
  <c r="H466" i="17" s="1"/>
  <c r="V12" i="17" s="1"/>
  <c r="V34" i="17" s="1"/>
  <c r="H592" i="17" s="1" a="1"/>
  <c r="H592" i="17" s="1"/>
  <c r="Y260" i="16"/>
  <c r="V260" i="16"/>
  <c r="H444" i="17" a="1"/>
  <c r="H444" i="17" s="1"/>
  <c r="AG254" i="16"/>
  <c r="H162" i="17" a="1"/>
  <c r="H162" i="17" s="1"/>
  <c r="H160" i="17" a="1"/>
  <c r="H160" i="17" s="1"/>
  <c r="H161" i="17" a="1"/>
  <c r="H161" i="17" s="1"/>
  <c r="AH32" i="16"/>
  <c r="AI32" i="16" s="1"/>
  <c r="AA32" i="16"/>
  <c r="Z257" i="16"/>
  <c r="V127" i="16"/>
  <c r="H406" i="17" a="1"/>
  <c r="H406" i="17" s="1"/>
  <c r="H407" i="17" a="1"/>
  <c r="H407" i="17" s="1"/>
  <c r="H405" i="17" a="1"/>
  <c r="H405" i="17" s="1"/>
  <c r="H408" i="17" a="1"/>
  <c r="H408" i="17" s="1"/>
  <c r="AG255" i="16"/>
  <c r="H165" i="17" a="1"/>
  <c r="H165" i="17" s="1"/>
  <c r="H166" i="17" a="1"/>
  <c r="H166" i="17" s="1"/>
  <c r="H164" i="17" a="1"/>
  <c r="H164" i="17" s="1"/>
  <c r="H163" i="17" a="1"/>
  <c r="H163" i="17" s="1"/>
  <c r="H485" i="17" a="1"/>
  <c r="H485" i="17" s="1"/>
  <c r="H486" i="17" a="1"/>
  <c r="H486" i="17" s="1"/>
  <c r="H484" i="17" a="1"/>
  <c r="H484" i="17" s="1"/>
  <c r="AC10" i="17" s="1"/>
  <c r="AC32" i="17" s="1"/>
  <c r="H630" i="17" s="1" a="1"/>
  <c r="H630" i="17" s="1"/>
  <c r="H43" i="17" a="1"/>
  <c r="H43" i="17" s="1"/>
  <c r="H41" i="17" a="1"/>
  <c r="H41" i="17" s="1"/>
  <c r="H40" i="17" a="1"/>
  <c r="H40" i="17" s="1"/>
  <c r="H42" i="17" a="1"/>
  <c r="H42" i="17" s="1"/>
  <c r="Y257" i="16"/>
  <c r="Y259" i="16"/>
  <c r="I36" i="16"/>
  <c r="H90" i="17" a="1"/>
  <c r="H90" i="17" s="1"/>
  <c r="H89" i="17" a="1"/>
  <c r="H89" i="17" s="1"/>
  <c r="H88" i="17" a="1"/>
  <c r="H88" i="17" s="1"/>
  <c r="Z258" i="16"/>
  <c r="S258" i="16"/>
  <c r="AA238" i="16"/>
  <c r="AH238" i="16"/>
  <c r="AI238" i="16" s="1"/>
  <c r="H116" i="17" a="1"/>
  <c r="H116" i="17" s="1"/>
  <c r="H117" i="17" a="1"/>
  <c r="H117" i="17" s="1"/>
  <c r="H118" i="17" a="1"/>
  <c r="H118" i="17" s="1"/>
  <c r="H446" i="17" a="1"/>
  <c r="H446" i="17" s="1"/>
  <c r="H448" i="17" a="1"/>
  <c r="H448" i="17" s="1"/>
  <c r="H447" i="17" a="1"/>
  <c r="H447" i="17" s="1"/>
  <c r="H81" i="17" a="1"/>
  <c r="H81" i="17" s="1"/>
  <c r="H80" i="17" a="1"/>
  <c r="H80" i="17" s="1"/>
  <c r="H82" i="17" a="1"/>
  <c r="H82" i="17" s="1"/>
  <c r="H83" i="17" a="1"/>
  <c r="H83" i="17" s="1"/>
  <c r="H79" i="17" a="1"/>
  <c r="H79" i="17" s="1"/>
  <c r="S256" i="16"/>
  <c r="H91" i="17" a="1"/>
  <c r="H91" i="17" s="1"/>
  <c r="AB11" i="17" s="1"/>
  <c r="AB33" i="17" s="1"/>
  <c r="H623" i="17" s="1" a="1"/>
  <c r="H623" i="17" s="1"/>
  <c r="Z259" i="16"/>
  <c r="S259" i="16"/>
  <c r="H135" i="17" s="1" a="1"/>
  <c r="H135" i="17" s="1"/>
  <c r="AB22" i="17" s="1"/>
  <c r="H46" i="17" a="1"/>
  <c r="H46" i="17" s="1"/>
  <c r="H44" i="17" a="1"/>
  <c r="H44" i="17" s="1"/>
  <c r="H45" i="17" a="1"/>
  <c r="H45" i="17" s="1"/>
  <c r="Y258" i="16"/>
  <c r="V10" i="17"/>
  <c r="V32" i="17" s="1"/>
  <c r="H590" i="17" s="1" a="1"/>
  <c r="H590" i="17" s="1"/>
  <c r="Z254" i="16"/>
  <c r="H469" i="17" a="1"/>
  <c r="H469" i="17" s="1"/>
  <c r="H470" i="17" a="1"/>
  <c r="H470" i="17" s="1"/>
  <c r="H468" i="17" a="1"/>
  <c r="H468" i="17" s="1"/>
  <c r="AB7" i="17"/>
  <c r="AB29" i="17" s="1"/>
  <c r="H619" i="17" s="1" a="1"/>
  <c r="H619" i="17" s="1"/>
  <c r="V255" i="16"/>
  <c r="H429" i="17" a="1"/>
  <c r="H429" i="17" s="1"/>
  <c r="H427" i="17" a="1"/>
  <c r="H427" i="17" s="1"/>
  <c r="H430" i="17" a="1"/>
  <c r="H430" i="17" s="1"/>
  <c r="H428" i="17" a="1"/>
  <c r="H428" i="17" s="1"/>
  <c r="AH248" i="16"/>
  <c r="AI248" i="16" s="1"/>
  <c r="AA248" i="16"/>
  <c r="Z33" i="16"/>
  <c r="S33" i="16"/>
  <c r="AH246" i="16"/>
  <c r="AI246" i="16" s="1"/>
  <c r="AA246" i="16"/>
  <c r="L89" i="9"/>
  <c r="I89" i="9" s="1" a="1"/>
  <c r="I89" i="9" s="1"/>
  <c r="AN89" i="16" s="1"/>
  <c r="E90" i="9"/>
  <c r="L37" i="9"/>
  <c r="I37" i="9" s="1" a="1"/>
  <c r="I37" i="9" s="1"/>
  <c r="AN37" i="16" s="1"/>
  <c r="E38" i="9"/>
  <c r="AB18" i="17" l="1"/>
  <c r="AB10" i="17"/>
  <c r="AB32" i="17" s="1"/>
  <c r="H622" i="17" s="1" a="1"/>
  <c r="H622" i="17" s="1"/>
  <c r="AB17" i="17"/>
  <c r="AA258" i="16"/>
  <c r="AH258" i="16"/>
  <c r="H222" i="17" a="1"/>
  <c r="H222" i="17" s="1"/>
  <c r="H221" i="17" a="1"/>
  <c r="H221" i="17" s="1"/>
  <c r="H220" i="17" a="1"/>
  <c r="H220" i="17" s="1"/>
  <c r="V6" i="17"/>
  <c r="V28" i="17" s="1"/>
  <c r="H586" i="17" s="1" a="1"/>
  <c r="H586" i="17" s="1"/>
  <c r="AB8" i="17"/>
  <c r="AB30" i="17" s="1"/>
  <c r="H620" i="17" s="1" a="1"/>
  <c r="H620" i="17" s="1"/>
  <c r="AG257" i="16"/>
  <c r="H174" i="17" a="1"/>
  <c r="H174" i="17" s="1"/>
  <c r="H172" i="17" a="1"/>
  <c r="H172" i="17" s="1"/>
  <c r="H175" i="17" a="1"/>
  <c r="H175" i="17" s="1"/>
  <c r="H173" i="17" a="1"/>
  <c r="H173" i="17" s="1"/>
  <c r="H129" i="17" a="1"/>
  <c r="H129" i="17" s="1"/>
  <c r="H130" i="17" a="1"/>
  <c r="H130" i="17" s="1"/>
  <c r="H131" i="17" a="1"/>
  <c r="H131" i="17" s="1"/>
  <c r="H128" i="17" a="1"/>
  <c r="H128" i="17" s="1"/>
  <c r="AA33" i="16"/>
  <c r="AH33" i="16"/>
  <c r="AI33" i="16" s="1"/>
  <c r="H449" i="17" a="1"/>
  <c r="H449" i="17" s="1"/>
  <c r="H452" i="17" a="1"/>
  <c r="H452" i="17" s="1"/>
  <c r="H451" i="17" a="1"/>
  <c r="H451" i="17" s="1"/>
  <c r="H450" i="17" a="1"/>
  <c r="H450" i="17" s="1"/>
  <c r="S34" i="16"/>
  <c r="Z34" i="16"/>
  <c r="AH257" i="16"/>
  <c r="AA257" i="16"/>
  <c r="H219" i="17" a="1"/>
  <c r="H219" i="17" s="1"/>
  <c r="H218" i="17" a="1"/>
  <c r="H218" i="17" s="1"/>
  <c r="H217" i="17" a="1"/>
  <c r="H217" i="17" s="1"/>
  <c r="H216" i="17" a="1"/>
  <c r="H216" i="17" s="1"/>
  <c r="AD9" i="17" s="1"/>
  <c r="AD31" i="17" s="1"/>
  <c r="H637" i="17" s="1" a="1"/>
  <c r="H637" i="17" s="1"/>
  <c r="Z260" i="16"/>
  <c r="H488" i="17" a="1"/>
  <c r="H488" i="17" s="1"/>
  <c r="AC12" i="17" s="1"/>
  <c r="AC34" i="17" s="1"/>
  <c r="H632" i="17" s="1" a="1"/>
  <c r="H632" i="17" s="1"/>
  <c r="Q35" i="16"/>
  <c r="Y35" i="16" s="1"/>
  <c r="AG35" i="16" s="1"/>
  <c r="R35" i="16"/>
  <c r="AB9" i="17"/>
  <c r="AB31" i="17" s="1"/>
  <c r="H621" i="17" s="1" a="1"/>
  <c r="H621" i="17" s="1"/>
  <c r="I37" i="16"/>
  <c r="AC6" i="17"/>
  <c r="AC28" i="17" s="1"/>
  <c r="H626" i="17" s="1" a="1"/>
  <c r="H626" i="17" s="1"/>
  <c r="AG260" i="16"/>
  <c r="H312" i="17" s="1" a="1"/>
  <c r="H312" i="17" s="1"/>
  <c r="H180" i="17" a="1"/>
  <c r="H180" i="17" s="1"/>
  <c r="AH252" i="16"/>
  <c r="AI252" i="16" s="1"/>
  <c r="AA252" i="16"/>
  <c r="H296" i="17" a="1"/>
  <c r="H296" i="17" s="1"/>
  <c r="H297" i="17" a="1"/>
  <c r="H297" i="17" s="1"/>
  <c r="H298" i="17" a="1"/>
  <c r="H298" i="17" s="1"/>
  <c r="H295" i="17" a="1"/>
  <c r="H295" i="17" s="1"/>
  <c r="AG256" i="16"/>
  <c r="H169" i="17" a="1"/>
  <c r="H169" i="17" s="1"/>
  <c r="H167" i="17" a="1"/>
  <c r="H167" i="17" s="1"/>
  <c r="H171" i="17" a="1"/>
  <c r="H171" i="17" s="1"/>
  <c r="H170" i="17" a="1"/>
  <c r="H170" i="17" s="1"/>
  <c r="H168" i="17" a="1"/>
  <c r="H168" i="17" s="1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H133" i="17" a="1"/>
  <c r="H133" i="17" s="1"/>
  <c r="H132" i="17" a="1"/>
  <c r="H132" i="17" s="1"/>
  <c r="AB21" i="17" s="1"/>
  <c r="H134" i="17" a="1"/>
  <c r="H134" i="17" s="1"/>
  <c r="AH254" i="16"/>
  <c r="AA254" i="16"/>
  <c r="H204" i="17" a="1"/>
  <c r="H204" i="17" s="1"/>
  <c r="H205" i="17" a="1"/>
  <c r="H205" i="17" s="1"/>
  <c r="H206" i="17" a="1"/>
  <c r="H206" i="17" s="1"/>
  <c r="AD8" i="17"/>
  <c r="AD30" i="17" s="1"/>
  <c r="H636" i="17" s="1" a="1"/>
  <c r="H636" i="17" s="1"/>
  <c r="H127" i="17" a="1"/>
  <c r="H127" i="17" s="1"/>
  <c r="H126" i="17" a="1"/>
  <c r="H126" i="17" s="1"/>
  <c r="H124" i="17" a="1"/>
  <c r="H124" i="17" s="1"/>
  <c r="H125" i="17" a="1"/>
  <c r="H125" i="17" s="1"/>
  <c r="H123" i="17" a="1"/>
  <c r="H123" i="17" s="1"/>
  <c r="J36" i="16"/>
  <c r="P36" i="16" s="1"/>
  <c r="K36" i="16"/>
  <c r="X36" i="16" s="1"/>
  <c r="L36" i="16"/>
  <c r="AG259" i="16"/>
  <c r="H311" i="17" s="1" a="1"/>
  <c r="H311" i="17" s="1"/>
  <c r="H179" i="17" a="1"/>
  <c r="H179" i="17" s="1"/>
  <c r="AI253" i="16"/>
  <c r="H379" i="17" s="1" a="1"/>
  <c r="H379" i="17" s="1"/>
  <c r="AF16" i="17" s="1"/>
  <c r="H335" i="17" a="1"/>
  <c r="H335" i="17" s="1"/>
  <c r="AF5" i="17" s="1"/>
  <c r="AI256" i="16"/>
  <c r="H345" i="17" a="1"/>
  <c r="H345" i="17" s="1"/>
  <c r="H344" i="17" a="1"/>
  <c r="H344" i="17" s="1"/>
  <c r="H346" i="17" a="1"/>
  <c r="H346" i="17" s="1"/>
  <c r="H347" i="17" a="1"/>
  <c r="H347" i="17" s="1"/>
  <c r="H343" i="17" a="1"/>
  <c r="H343" i="17" s="1"/>
  <c r="H472" i="17" a="1"/>
  <c r="H472" i="17" s="1"/>
  <c r="H474" i="17" a="1"/>
  <c r="H474" i="17" s="1"/>
  <c r="H471" i="17" a="1"/>
  <c r="H471" i="17" s="1"/>
  <c r="H473" i="17" a="1"/>
  <c r="H473" i="17" s="1"/>
  <c r="Z255" i="16"/>
  <c r="AG258" i="16"/>
  <c r="H177" i="17" a="1"/>
  <c r="H177" i="17" s="1"/>
  <c r="H178" i="17" a="1"/>
  <c r="H178" i="17" s="1"/>
  <c r="H176" i="17" a="1"/>
  <c r="H176" i="17" s="1"/>
  <c r="H293" i="17" a="1"/>
  <c r="H293" i="17" s="1"/>
  <c r="H292" i="17" a="1"/>
  <c r="H292" i="17" s="1"/>
  <c r="H294" i="17" a="1"/>
  <c r="H294" i="17" s="1"/>
  <c r="H259" i="17" a="1"/>
  <c r="H259" i="17" s="1"/>
  <c r="H258" i="17" a="1"/>
  <c r="H258" i="17" s="1"/>
  <c r="H256" i="17" a="1"/>
  <c r="H256" i="17" s="1"/>
  <c r="H255" i="17" a="1"/>
  <c r="H255" i="17" s="1"/>
  <c r="H257" i="17" a="1"/>
  <c r="H257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AD10" i="17" l="1"/>
  <c r="AD32" i="17" s="1"/>
  <c r="H638" i="17" s="1" a="1"/>
  <c r="H638" i="17" s="1"/>
  <c r="AC7" i="17"/>
  <c r="AC29" i="17" s="1"/>
  <c r="H627" i="17" s="1" a="1"/>
  <c r="H627" i="17" s="1"/>
  <c r="AD19" i="17"/>
  <c r="H387" i="17" a="1"/>
  <c r="H387" i="17" s="1"/>
  <c r="H391" i="17" a="1"/>
  <c r="H391" i="17" s="1"/>
  <c r="H390" i="17" a="1"/>
  <c r="H390" i="17" s="1"/>
  <c r="H388" i="17" a="1"/>
  <c r="H388" i="17" s="1"/>
  <c r="H389" i="17" a="1"/>
  <c r="H389" i="17" s="1"/>
  <c r="AB19" i="17"/>
  <c r="AD6" i="17"/>
  <c r="AD28" i="17" s="1"/>
  <c r="H634" i="17" s="1" a="1"/>
  <c r="H634" i="17" s="1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J37" i="16"/>
  <c r="P37" i="16" s="1"/>
  <c r="K37" i="16"/>
  <c r="X37" i="16" s="1"/>
  <c r="L37" i="16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AB20" i="17"/>
  <c r="H305" i="17" a="1"/>
  <c r="H305" i="17" s="1"/>
  <c r="H307" i="17" a="1"/>
  <c r="H307" i="17" s="1"/>
  <c r="H306" i="17" a="1"/>
  <c r="H306" i="17" s="1"/>
  <c r="H304" i="17" a="1"/>
  <c r="H304" i="17" s="1"/>
  <c r="AI254" i="16"/>
  <c r="H336" i="17" a="1"/>
  <c r="H336" i="17" s="1"/>
  <c r="H338" i="17" a="1"/>
  <c r="H338" i="17" s="1"/>
  <c r="H337" i="17" a="1"/>
  <c r="H337" i="17" s="1"/>
  <c r="H250" i="17" a="1"/>
  <c r="H250" i="17" s="1"/>
  <c r="H248" i="17" a="1"/>
  <c r="H248" i="17" s="1"/>
  <c r="H249" i="17" a="1"/>
  <c r="H249" i="17" s="1"/>
  <c r="V7" i="17"/>
  <c r="V29" i="17" s="1"/>
  <c r="H587" i="17" s="1" a="1"/>
  <c r="H587" i="17" s="1"/>
  <c r="AF27" i="17"/>
  <c r="H649" i="17" s="1" a="1"/>
  <c r="H649" i="17" s="1"/>
  <c r="AF8" i="17"/>
  <c r="AF30" i="17" s="1"/>
  <c r="H652" i="17" s="1" a="1"/>
  <c r="H652" i="17" s="1"/>
  <c r="S35" i="16"/>
  <c r="Z35" i="16"/>
  <c r="H262" i="17" a="1"/>
  <c r="H262" i="17" s="1"/>
  <c r="H260" i="17" a="1"/>
  <c r="H260" i="17" s="1"/>
  <c r="H261" i="17" a="1"/>
  <c r="H261" i="17" s="1"/>
  <c r="H263" i="17" a="1"/>
  <c r="H263" i="17" s="1"/>
  <c r="I38" i="16"/>
  <c r="Q36" i="16"/>
  <c r="Y36" i="16" s="1"/>
  <c r="AG36" i="16" s="1"/>
  <c r="R36" i="16"/>
  <c r="H308" i="17" a="1"/>
  <c r="H308" i="17" s="1"/>
  <c r="H310" i="17" a="1"/>
  <c r="H310" i="17" s="1"/>
  <c r="H309" i="17" a="1"/>
  <c r="H309" i="17" s="1"/>
  <c r="AA255" i="16"/>
  <c r="AH255" i="16"/>
  <c r="H208" i="17" a="1"/>
  <c r="H208" i="17" s="1"/>
  <c r="H209" i="17" a="1"/>
  <c r="H209" i="17" s="1"/>
  <c r="H210" i="17" a="1"/>
  <c r="H210" i="17" s="1"/>
  <c r="H207" i="17" a="1"/>
  <c r="H207" i="17" s="1"/>
  <c r="H300" i="17" a="1"/>
  <c r="H300" i="17" s="1"/>
  <c r="H301" i="17" a="1"/>
  <c r="H301" i="17" s="1"/>
  <c r="H299" i="17" a="1"/>
  <c r="H299" i="17" s="1"/>
  <c r="H303" i="17" a="1"/>
  <c r="H303" i="17" s="1"/>
  <c r="H302" i="17" a="1"/>
  <c r="H302" i="17" s="1"/>
  <c r="AI257" i="16"/>
  <c r="H348" i="17" a="1"/>
  <c r="H348" i="17" s="1"/>
  <c r="H351" i="17" a="1"/>
  <c r="H351" i="17" s="1"/>
  <c r="H349" i="17" a="1"/>
  <c r="H349" i="17" s="1"/>
  <c r="H350" i="17" a="1"/>
  <c r="H350" i="17" s="1"/>
  <c r="AI258" i="16"/>
  <c r="H354" i="17" a="1"/>
  <c r="H354" i="17" s="1"/>
  <c r="H352" i="17" a="1"/>
  <c r="H352" i="17" s="1"/>
  <c r="H353" i="17" a="1"/>
  <c r="H353" i="17" s="1"/>
  <c r="AA34" i="16"/>
  <c r="AH34" i="16"/>
  <c r="AI34" i="16" s="1"/>
  <c r="H266" i="17" a="1"/>
  <c r="H266" i="17" s="1"/>
  <c r="H265" i="17" a="1"/>
  <c r="H265" i="17" s="1"/>
  <c r="H264" i="17" a="1"/>
  <c r="H264" i="17" s="1"/>
  <c r="L91" i="9"/>
  <c r="I91" i="9" s="1" a="1"/>
  <c r="I91" i="9" s="1"/>
  <c r="AN91" i="16" s="1"/>
  <c r="E92" i="9"/>
  <c r="E40" i="9"/>
  <c r="L39" i="9"/>
  <c r="I39" i="9" s="1" a="1"/>
  <c r="I39" i="9" s="1"/>
  <c r="AN39" i="16" s="1"/>
  <c r="AF19" i="17" l="1"/>
  <c r="AF10" i="17"/>
  <c r="AF32" i="17" s="1"/>
  <c r="H654" i="17" s="1" a="1"/>
  <c r="H654" i="17" s="1"/>
  <c r="AD21" i="17"/>
  <c r="J38" i="16"/>
  <c r="P38" i="16" s="1"/>
  <c r="L38" i="16"/>
  <c r="K38" i="16"/>
  <c r="X38" i="16" s="1"/>
  <c r="AH35" i="16"/>
  <c r="AI35" i="16" s="1"/>
  <c r="AA35" i="16"/>
  <c r="AI255" i="16"/>
  <c r="H339" i="17" a="1"/>
  <c r="H339" i="17" s="1"/>
  <c r="H340" i="17" a="1"/>
  <c r="H340" i="17" s="1"/>
  <c r="H342" i="17" a="1"/>
  <c r="H342" i="17" s="1"/>
  <c r="H341" i="17" a="1"/>
  <c r="H341" i="17" s="1"/>
  <c r="AF6" i="17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H380" i="17" a="1"/>
  <c r="H380" i="17" s="1"/>
  <c r="H381" i="17" a="1"/>
  <c r="H381" i="17" s="1"/>
  <c r="H382" i="17" a="1"/>
  <c r="H382" i="17" s="1"/>
  <c r="AD7" i="17"/>
  <c r="AD29" i="17" s="1"/>
  <c r="H635" i="17" s="1" a="1"/>
  <c r="H635" i="17" s="1"/>
  <c r="AF9" i="17"/>
  <c r="AF31" i="17" s="1"/>
  <c r="H653" i="17" s="1" a="1"/>
  <c r="H653" i="17" s="1"/>
  <c r="S36" i="16"/>
  <c r="Z36" i="16"/>
  <c r="AD20" i="17"/>
  <c r="H398" i="17" a="1"/>
  <c r="H398" i="17" s="1"/>
  <c r="H396" i="17" a="1"/>
  <c r="H396" i="17" s="1"/>
  <c r="AF21" i="17" s="1"/>
  <c r="H397" i="17" a="1"/>
  <c r="H397" i="17" s="1"/>
  <c r="H253" i="17" a="1"/>
  <c r="H253" i="17" s="1"/>
  <c r="H254" i="17" a="1"/>
  <c r="H254" i="17" s="1"/>
  <c r="H251" i="17" a="1"/>
  <c r="H251" i="17" s="1"/>
  <c r="H252" i="17" a="1"/>
  <c r="H252" i="17" s="1"/>
  <c r="I39" i="16"/>
  <c r="H393" i="17" a="1"/>
  <c r="H393" i="17" s="1"/>
  <c r="H392" i="17" a="1"/>
  <c r="H392" i="17" s="1"/>
  <c r="AF20" i="17" s="1"/>
  <c r="H395" i="17" a="1"/>
  <c r="H395" i="17" s="1"/>
  <c r="H394" i="17" a="1"/>
  <c r="H394" i="17" s="1"/>
  <c r="AD17" i="17"/>
  <c r="Q37" i="16"/>
  <c r="Y37" i="16" s="1"/>
  <c r="AG37" i="16" s="1"/>
  <c r="R37" i="16"/>
  <c r="L92" i="9"/>
  <c r="I92" i="9" s="1" a="1"/>
  <c r="I92" i="9" s="1"/>
  <c r="AN92" i="16" s="1"/>
  <c r="E41" i="9"/>
  <c r="L40" i="9"/>
  <c r="I40" i="9" s="1" a="1"/>
  <c r="I40" i="9" s="1"/>
  <c r="AN40" i="16" s="1"/>
  <c r="AD18" i="17" l="1"/>
  <c r="AF7" i="17"/>
  <c r="AF29" i="17" s="1"/>
  <c r="H651" i="17" s="1" a="1"/>
  <c r="H651" i="17" s="1"/>
  <c r="J39" i="16"/>
  <c r="P39" i="16" s="1"/>
  <c r="L39" i="16"/>
  <c r="K39" i="16"/>
  <c r="X39" i="16" s="1"/>
  <c r="AF17" i="17"/>
  <c r="H386" i="17" a="1"/>
  <c r="H386" i="17" s="1"/>
  <c r="H385" i="17" a="1"/>
  <c r="H385" i="17" s="1"/>
  <c r="H384" i="17" a="1"/>
  <c r="H384" i="17" s="1"/>
  <c r="H383" i="17" a="1"/>
  <c r="H383" i="17" s="1"/>
  <c r="Z37" i="16"/>
  <c r="S37" i="16"/>
  <c r="AH36" i="16"/>
  <c r="AI36" i="16" s="1"/>
  <c r="AA36" i="16"/>
  <c r="AF28" i="17"/>
  <c r="H650" i="17" s="1" a="1"/>
  <c r="H650" i="17" s="1"/>
  <c r="I40" i="16"/>
  <c r="Q38" i="16"/>
  <c r="Y38" i="16" s="1"/>
  <c r="AG38" i="16" s="1"/>
  <c r="R38" i="16"/>
  <c r="L93" i="9"/>
  <c r="I93" i="9" s="1" a="1"/>
  <c r="I93" i="9" s="1"/>
  <c r="AN93" i="16" s="1"/>
  <c r="E94" i="9"/>
  <c r="L41" i="9"/>
  <c r="I41" i="9" s="1" a="1"/>
  <c r="I41" i="9" s="1"/>
  <c r="AN41" i="16" s="1"/>
  <c r="E42" i="9"/>
  <c r="AF2" i="17" l="1"/>
  <c r="Z38" i="16"/>
  <c r="S38" i="16"/>
  <c r="AF18" i="17"/>
  <c r="J40" i="16"/>
  <c r="P40" i="16" s="1"/>
  <c r="L40" i="16"/>
  <c r="K40" i="16"/>
  <c r="X40" i="16" s="1"/>
  <c r="I41" i="16"/>
  <c r="AA37" i="16"/>
  <c r="AH37" i="16"/>
  <c r="AI37" i="16" s="1"/>
  <c r="Q39" i="16"/>
  <c r="Y39" i="16" s="1"/>
  <c r="AG39" i="16" s="1"/>
  <c r="R39" i="16"/>
  <c r="E95" i="9"/>
  <c r="L94" i="9"/>
  <c r="I94" i="9" s="1" a="1"/>
  <c r="I94" i="9" s="1"/>
  <c r="AN94" i="16" s="1"/>
  <c r="L42" i="9"/>
  <c r="I42" i="9" s="1" a="1"/>
  <c r="I42" i="9" s="1"/>
  <c r="AN42" i="16" s="1"/>
  <c r="E43" i="9"/>
  <c r="J41" i="16" l="1"/>
  <c r="P41" i="16" s="1"/>
  <c r="K41" i="16"/>
  <c r="X41" i="16" s="1"/>
  <c r="L41" i="16"/>
  <c r="AA38" i="16"/>
  <c r="AH38" i="16"/>
  <c r="AI38" i="16" s="1"/>
  <c r="I42" i="16"/>
  <c r="Z39" i="16"/>
  <c r="S39" i="16"/>
  <c r="Q40" i="16"/>
  <c r="Y40" i="16" s="1"/>
  <c r="AG40" i="16" s="1"/>
  <c r="R40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AA39" i="16" l="1"/>
  <c r="AH39" i="16"/>
  <c r="AI39" i="16" s="1"/>
  <c r="J42" i="16"/>
  <c r="P42" i="16" s="1"/>
  <c r="K42" i="16"/>
  <c r="X42" i="16" s="1"/>
  <c r="L42" i="16"/>
  <c r="S40" i="16"/>
  <c r="Z40" i="16"/>
  <c r="I43" i="16"/>
  <c r="Q41" i="16"/>
  <c r="Y41" i="16" s="1"/>
  <c r="AG41" i="16" s="1"/>
  <c r="R41" i="16"/>
  <c r="E97" i="9"/>
  <c r="L96" i="9"/>
  <c r="I96" i="9" s="1" a="1"/>
  <c r="I96" i="9" s="1"/>
  <c r="AN96" i="16" s="1"/>
  <c r="L44" i="9"/>
  <c r="I44" i="9" s="1" a="1"/>
  <c r="I44" i="9" s="1"/>
  <c r="AN44" i="16" s="1"/>
  <c r="J43" i="16" l="1"/>
  <c r="P43" i="16" s="1"/>
  <c r="L43" i="16"/>
  <c r="K43" i="16"/>
  <c r="X43" i="16" s="1"/>
  <c r="I44" i="16"/>
  <c r="Q42" i="16"/>
  <c r="Y42" i="16" s="1"/>
  <c r="AG42" i="16" s="1"/>
  <c r="R42" i="16"/>
  <c r="AA40" i="16"/>
  <c r="AH40" i="16"/>
  <c r="AI40" i="16" s="1"/>
  <c r="S41" i="16"/>
  <c r="Z41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I45" i="16" l="1"/>
  <c r="AA41" i="16"/>
  <c r="AH41" i="16"/>
  <c r="AI41" i="16" s="1"/>
  <c r="J44" i="16"/>
  <c r="P44" i="16" s="1"/>
  <c r="L44" i="16"/>
  <c r="K44" i="16"/>
  <c r="X44" i="16" s="1"/>
  <c r="S42" i="16"/>
  <c r="Z42" i="16"/>
  <c r="Q43" i="16"/>
  <c r="Y43" i="16" s="1"/>
  <c r="AG43" i="16" s="1"/>
  <c r="R43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Q44" i="16" l="1"/>
  <c r="Y44" i="16" s="1"/>
  <c r="AG44" i="16" s="1"/>
  <c r="R44" i="16"/>
  <c r="J45" i="16"/>
  <c r="P45" i="16" s="1"/>
  <c r="K45" i="16"/>
  <c r="X45" i="16" s="1"/>
  <c r="L45" i="16"/>
  <c r="I46" i="16"/>
  <c r="Z43" i="16"/>
  <c r="S43" i="16"/>
  <c r="AH42" i="16"/>
  <c r="AI42" i="16" s="1"/>
  <c r="AA42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J46" i="16" l="1"/>
  <c r="P46" i="16" s="1"/>
  <c r="L46" i="16"/>
  <c r="K46" i="16"/>
  <c r="X46" i="16" s="1"/>
  <c r="Q45" i="16"/>
  <c r="Y45" i="16" s="1"/>
  <c r="AG45" i="16" s="1"/>
  <c r="R45" i="16"/>
  <c r="S44" i="16"/>
  <c r="Z44" i="16"/>
  <c r="I47" i="16"/>
  <c r="AH43" i="16"/>
  <c r="AI43" i="16" s="1"/>
  <c r="AA43" i="16"/>
  <c r="L100" i="9"/>
  <c r="I100" i="9" s="1" a="1"/>
  <c r="I100" i="9" s="1"/>
  <c r="AN100" i="16" s="1"/>
  <c r="E49" i="9"/>
  <c r="L48" i="9"/>
  <c r="I48" i="9" s="1" a="1"/>
  <c r="I48" i="9" s="1"/>
  <c r="AN48" i="16" s="1"/>
  <c r="I48" i="16" l="1"/>
  <c r="AA44" i="16"/>
  <c r="AH44" i="16"/>
  <c r="AI44" i="16" s="1"/>
  <c r="Z45" i="16"/>
  <c r="S45" i="16"/>
  <c r="J47" i="16"/>
  <c r="P47" i="16" s="1"/>
  <c r="L47" i="16"/>
  <c r="K47" i="16"/>
  <c r="X47" i="16" s="1"/>
  <c r="Q46" i="16"/>
  <c r="Y46" i="16" s="1"/>
  <c r="AG46" i="16" s="1"/>
  <c r="R46" i="16"/>
  <c r="L101" i="9"/>
  <c r="I101" i="9" s="1" a="1"/>
  <c r="I101" i="9" s="1"/>
  <c r="AN101" i="16" s="1"/>
  <c r="E102" i="9"/>
  <c r="L49" i="9"/>
  <c r="I49" i="9" s="1" a="1"/>
  <c r="I49" i="9" s="1"/>
  <c r="AN49" i="16" s="1"/>
  <c r="E50" i="9"/>
  <c r="Q47" i="16" l="1"/>
  <c r="Y47" i="16" s="1"/>
  <c r="AG47" i="16" s="1"/>
  <c r="R47" i="16"/>
  <c r="I49" i="16"/>
  <c r="AH45" i="16"/>
  <c r="AI45" i="16" s="1"/>
  <c r="AA45" i="16"/>
  <c r="S46" i="16"/>
  <c r="Z46" i="16"/>
  <c r="J48" i="16"/>
  <c r="P48" i="16" s="1"/>
  <c r="K48" i="16"/>
  <c r="X48" i="16" s="1"/>
  <c r="L48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AA46" i="16" l="1"/>
  <c r="AH46" i="16"/>
  <c r="AI46" i="16" s="1"/>
  <c r="I50" i="16"/>
  <c r="J49" i="16"/>
  <c r="P49" i="16" s="1"/>
  <c r="K49" i="16"/>
  <c r="X49" i="16" s="1"/>
  <c r="L49" i="16"/>
  <c r="Q48" i="16"/>
  <c r="Y48" i="16" s="1"/>
  <c r="AG48" i="16" s="1"/>
  <c r="R48" i="16"/>
  <c r="Z47" i="16"/>
  <c r="S47" i="16"/>
  <c r="E104" i="9"/>
  <c r="L103" i="9"/>
  <c r="I103" i="9" s="1" a="1"/>
  <c r="I103" i="9" s="1"/>
  <c r="AN103" i="16" s="1"/>
  <c r="E52" i="9"/>
  <c r="L51" i="9"/>
  <c r="I51" i="9" s="1" a="1"/>
  <c r="I51" i="9" s="1"/>
  <c r="AN51" i="16" s="1"/>
  <c r="Q49" i="16" l="1"/>
  <c r="Y49" i="16" s="1"/>
  <c r="AG49" i="16" s="1"/>
  <c r="R49" i="16"/>
  <c r="J50" i="16"/>
  <c r="P50" i="16" s="1"/>
  <c r="K50" i="16"/>
  <c r="X50" i="16" s="1"/>
  <c r="L50" i="16"/>
  <c r="I51" i="16"/>
  <c r="AH47" i="16"/>
  <c r="AI47" i="16" s="1"/>
  <c r="AA47" i="16"/>
  <c r="S48" i="16"/>
  <c r="Z48" i="16"/>
  <c r="E105" i="9"/>
  <c r="L104" i="9"/>
  <c r="I104" i="9" s="1" a="1"/>
  <c r="I104" i="9" s="1"/>
  <c r="AN104" i="16" s="1"/>
  <c r="L52" i="9"/>
  <c r="I52" i="9" s="1" a="1"/>
  <c r="I52" i="9" s="1"/>
  <c r="AN52" i="16" s="1"/>
  <c r="I52" i="16" l="1"/>
  <c r="AA48" i="16"/>
  <c r="AH48" i="16"/>
  <c r="AI48" i="16" s="1"/>
  <c r="J51" i="16"/>
  <c r="P51" i="16" s="1"/>
  <c r="K51" i="16"/>
  <c r="X51" i="16" s="1"/>
  <c r="L51" i="16"/>
  <c r="Q50" i="16"/>
  <c r="Y50" i="16" s="1"/>
  <c r="AG50" i="16" s="1"/>
  <c r="R50" i="16"/>
  <c r="S49" i="16"/>
  <c r="Z49" i="16"/>
  <c r="L105" i="9"/>
  <c r="I105" i="9" s="1" a="1"/>
  <c r="I105" i="9" s="1"/>
  <c r="AN105" i="16" s="1"/>
  <c r="E106" i="9"/>
  <c r="L53" i="9"/>
  <c r="I53" i="9" s="1" a="1"/>
  <c r="I53" i="9" s="1"/>
  <c r="AN53" i="16" s="1"/>
  <c r="E54" i="9"/>
  <c r="I53" i="16" l="1"/>
  <c r="Q51" i="16"/>
  <c r="Y51" i="16" s="1"/>
  <c r="AG51" i="16" s="1"/>
  <c r="R51" i="16"/>
  <c r="S50" i="16"/>
  <c r="Z50" i="16"/>
  <c r="AA49" i="16"/>
  <c r="AH49" i="16"/>
  <c r="AI49" i="16" s="1"/>
  <c r="J52" i="16"/>
  <c r="P52" i="16" s="1"/>
  <c r="L52" i="16"/>
  <c r="K52" i="16"/>
  <c r="X52" i="16" s="1"/>
  <c r="E107" i="9"/>
  <c r="L106" i="9"/>
  <c r="I106" i="9" s="1" a="1"/>
  <c r="I106" i="9" s="1"/>
  <c r="AN106" i="16" s="1"/>
  <c r="L54" i="9"/>
  <c r="I54" i="9" s="1" a="1"/>
  <c r="I54" i="9" s="1"/>
  <c r="AN54" i="16" s="1"/>
  <c r="E55" i="9"/>
  <c r="J53" i="16" l="1"/>
  <c r="P53" i="16" s="1"/>
  <c r="K53" i="16"/>
  <c r="X53" i="16" s="1"/>
  <c r="L53" i="16"/>
  <c r="I54" i="16"/>
  <c r="AA50" i="16"/>
  <c r="AH50" i="16"/>
  <c r="AI50" i="16" s="1"/>
  <c r="S51" i="16"/>
  <c r="Z51" i="16"/>
  <c r="Q52" i="16"/>
  <c r="Y52" i="16" s="1"/>
  <c r="AG52" i="16" s="1"/>
  <c r="R52" i="16"/>
  <c r="E108" i="9"/>
  <c r="L107" i="9"/>
  <c r="I107" i="9" s="1" a="1"/>
  <c r="I107" i="9" s="1"/>
  <c r="AN107" i="16" s="1"/>
  <c r="E56" i="9"/>
  <c r="L55" i="9"/>
  <c r="I55" i="9" s="1" a="1"/>
  <c r="I55" i="9" s="1"/>
  <c r="AN55" i="16" s="1"/>
  <c r="I55" i="16" l="1"/>
  <c r="J54" i="16"/>
  <c r="P54" i="16" s="1"/>
  <c r="K54" i="16"/>
  <c r="X54" i="16" s="1"/>
  <c r="L54" i="16"/>
  <c r="S52" i="16"/>
  <c r="Z52" i="16"/>
  <c r="AH51" i="16"/>
  <c r="AI51" i="16" s="1"/>
  <c r="AA51" i="16"/>
  <c r="Q53" i="16"/>
  <c r="Y53" i="16" s="1"/>
  <c r="AG53" i="16" s="1"/>
  <c r="R53" i="16"/>
  <c r="L108" i="9"/>
  <c r="I108" i="9" s="1" a="1"/>
  <c r="I108" i="9" s="1"/>
  <c r="AN108" i="16" s="1"/>
  <c r="E57" i="9"/>
  <c r="L56" i="9"/>
  <c r="I56" i="9" s="1" a="1"/>
  <c r="I56" i="9" s="1"/>
  <c r="AN56" i="16" s="1"/>
  <c r="AH52" i="16" l="1"/>
  <c r="AI52" i="16" s="1"/>
  <c r="AA52" i="16"/>
  <c r="I56" i="16"/>
  <c r="Z53" i="16"/>
  <c r="S53" i="16"/>
  <c r="Q54" i="16"/>
  <c r="Y54" i="16" s="1"/>
  <c r="AG54" i="16" s="1"/>
  <c r="R54" i="16"/>
  <c r="J55" i="16"/>
  <c r="P55" i="16" s="1"/>
  <c r="K55" i="16"/>
  <c r="X55" i="16" s="1"/>
  <c r="L55" i="16"/>
  <c r="L109" i="9"/>
  <c r="I109" i="9" s="1" a="1"/>
  <c r="I109" i="9" s="1"/>
  <c r="AN109" i="16" s="1"/>
  <c r="E110" i="9"/>
  <c r="L57" i="9"/>
  <c r="I57" i="9" s="1" a="1"/>
  <c r="I57" i="9" s="1"/>
  <c r="AN57" i="16" s="1"/>
  <c r="E58" i="9"/>
  <c r="S54" i="16" l="1"/>
  <c r="Z54" i="16"/>
  <c r="I57" i="16"/>
  <c r="AA53" i="16"/>
  <c r="AH53" i="16"/>
  <c r="AI53" i="16" s="1"/>
  <c r="J56" i="16"/>
  <c r="P56" i="16" s="1"/>
  <c r="K56" i="16"/>
  <c r="X56" i="16" s="1"/>
  <c r="L56" i="16"/>
  <c r="Q55" i="16"/>
  <c r="Y55" i="16" s="1"/>
  <c r="AG55" i="16" s="1"/>
  <c r="R55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J57" i="16" l="1"/>
  <c r="P57" i="16" s="1"/>
  <c r="L57" i="16"/>
  <c r="K57" i="16"/>
  <c r="X57" i="16" s="1"/>
  <c r="I58" i="16"/>
  <c r="Q56" i="16"/>
  <c r="Y56" i="16" s="1"/>
  <c r="AG56" i="16" s="1"/>
  <c r="R56" i="16"/>
  <c r="S55" i="16"/>
  <c r="Z55" i="16"/>
  <c r="AH54" i="16"/>
  <c r="AI54" i="16" s="1"/>
  <c r="AA54" i="16"/>
  <c r="E112" i="9"/>
  <c r="L111" i="9"/>
  <c r="I111" i="9" s="1" a="1"/>
  <c r="I111" i="9" s="1"/>
  <c r="AN111" i="16" s="1"/>
  <c r="E60" i="9"/>
  <c r="L59" i="9"/>
  <c r="I59" i="9" s="1" a="1"/>
  <c r="I59" i="9" s="1"/>
  <c r="AN59" i="16" s="1"/>
  <c r="I59" i="16" l="1"/>
  <c r="S56" i="16"/>
  <c r="Z56" i="16"/>
  <c r="J58" i="16"/>
  <c r="P58" i="16" s="1"/>
  <c r="K58" i="16"/>
  <c r="X58" i="16" s="1"/>
  <c r="L58" i="16"/>
  <c r="AH55" i="16"/>
  <c r="AI55" i="16" s="1"/>
  <c r="AA55" i="16"/>
  <c r="Q57" i="16"/>
  <c r="Y57" i="16" s="1"/>
  <c r="AG57" i="16" s="1"/>
  <c r="R57" i="16"/>
  <c r="E113" i="9"/>
  <c r="L112" i="9"/>
  <c r="I112" i="9" s="1" a="1"/>
  <c r="I112" i="9" s="1"/>
  <c r="AN112" i="16" s="1"/>
  <c r="L60" i="9"/>
  <c r="I60" i="9" s="1" a="1"/>
  <c r="I60" i="9" s="1"/>
  <c r="AN60" i="16" s="1"/>
  <c r="I60" i="16" l="1"/>
  <c r="Q58" i="16"/>
  <c r="Y58" i="16" s="1"/>
  <c r="AG58" i="16" s="1"/>
  <c r="R58" i="16"/>
  <c r="S57" i="16"/>
  <c r="Z57" i="16"/>
  <c r="AA56" i="16"/>
  <c r="AH56" i="16"/>
  <c r="AI56" i="16" s="1"/>
  <c r="J59" i="16"/>
  <c r="P59" i="16" s="1"/>
  <c r="L59" i="16"/>
  <c r="K59" i="16"/>
  <c r="X59" i="16" s="1"/>
  <c r="L113" i="9"/>
  <c r="I113" i="9" s="1" a="1"/>
  <c r="I113" i="9" s="1"/>
  <c r="AN113" i="16" s="1"/>
  <c r="E114" i="9"/>
  <c r="L61" i="9"/>
  <c r="I61" i="9" s="1" a="1"/>
  <c r="I61" i="9" s="1"/>
  <c r="AN61" i="16" s="1"/>
  <c r="E62" i="9"/>
  <c r="I61" i="16" l="1"/>
  <c r="I109" i="16"/>
  <c r="AA57" i="16"/>
  <c r="AH57" i="16"/>
  <c r="AI57" i="16" s="1"/>
  <c r="Q59" i="16"/>
  <c r="Y59" i="16" s="1"/>
  <c r="AG59" i="16" s="1"/>
  <c r="R59" i="16"/>
  <c r="S58" i="16"/>
  <c r="Z58" i="16"/>
  <c r="J60" i="16"/>
  <c r="P60" i="16" s="1"/>
  <c r="K60" i="16"/>
  <c r="X60" i="16" s="1"/>
  <c r="L60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Q60" i="16" l="1"/>
  <c r="Y60" i="16" s="1"/>
  <c r="AG60" i="16" s="1"/>
  <c r="R60" i="16"/>
  <c r="AA58" i="16"/>
  <c r="AH58" i="16"/>
  <c r="AI58" i="16" s="1"/>
  <c r="I62" i="16"/>
  <c r="I110" i="16"/>
  <c r="S59" i="16"/>
  <c r="Z59" i="16"/>
  <c r="J109" i="16"/>
  <c r="P109" i="16" s="1"/>
  <c r="K109" i="16"/>
  <c r="X109" i="16" s="1"/>
  <c r="L109" i="16"/>
  <c r="J61" i="16"/>
  <c r="P61" i="16" s="1"/>
  <c r="K61" i="16"/>
  <c r="X61" i="16" s="1"/>
  <c r="L61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AA59" i="16" l="1"/>
  <c r="AH59" i="16"/>
  <c r="AI59" i="16" s="1"/>
  <c r="J110" i="16"/>
  <c r="P110" i="16" s="1"/>
  <c r="K110" i="16"/>
  <c r="X110" i="16" s="1"/>
  <c r="L110" i="16"/>
  <c r="J62" i="16"/>
  <c r="P62" i="16" s="1"/>
  <c r="L62" i="16"/>
  <c r="K62" i="16"/>
  <c r="X62" i="16" s="1"/>
  <c r="Q61" i="16"/>
  <c r="Y61" i="16" s="1"/>
  <c r="AG61" i="16" s="1"/>
  <c r="R61" i="16"/>
  <c r="I63" i="16"/>
  <c r="I111" i="16"/>
  <c r="Q109" i="16"/>
  <c r="Y109" i="16" s="1"/>
  <c r="AG109" i="16" s="1"/>
  <c r="R109" i="16"/>
  <c r="S60" i="16"/>
  <c r="Z60" i="16"/>
  <c r="L116" i="9"/>
  <c r="I116" i="9" s="1" a="1"/>
  <c r="I116" i="9" s="1"/>
  <c r="AN116" i="16" s="1"/>
  <c r="E65" i="9"/>
  <c r="L64" i="9"/>
  <c r="I64" i="9" s="1" a="1"/>
  <c r="I64" i="9" s="1"/>
  <c r="AN64" i="16" s="1"/>
  <c r="AA60" i="16" l="1"/>
  <c r="AH60" i="16"/>
  <c r="AI60" i="16" s="1"/>
  <c r="S109" i="16"/>
  <c r="Z109" i="16"/>
  <c r="Q62" i="16"/>
  <c r="Y62" i="16" s="1"/>
  <c r="AG62" i="16" s="1"/>
  <c r="R62" i="16"/>
  <c r="J111" i="16"/>
  <c r="P111" i="16" s="1"/>
  <c r="L111" i="16"/>
  <c r="K111" i="16"/>
  <c r="X111" i="16" s="1"/>
  <c r="J63" i="16"/>
  <c r="P63" i="16" s="1"/>
  <c r="L63" i="16"/>
  <c r="K63" i="16"/>
  <c r="X63" i="16" s="1"/>
  <c r="I64" i="16"/>
  <c r="I112" i="16"/>
  <c r="S61" i="16"/>
  <c r="Z61" i="16"/>
  <c r="Q110" i="16"/>
  <c r="Y110" i="16" s="1"/>
  <c r="AG110" i="16" s="1"/>
  <c r="R110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J112" i="16" l="1"/>
  <c r="P112" i="16" s="1"/>
  <c r="L112" i="16"/>
  <c r="K112" i="16"/>
  <c r="X112" i="16" s="1"/>
  <c r="Q111" i="16"/>
  <c r="Y111" i="16" s="1"/>
  <c r="AG111" i="16" s="1"/>
  <c r="R111" i="16"/>
  <c r="I65" i="16"/>
  <c r="I113" i="16"/>
  <c r="S62" i="16"/>
  <c r="Z62" i="16"/>
  <c r="J117" i="16"/>
  <c r="P117" i="16" s="1"/>
  <c r="L117" i="16"/>
  <c r="K117" i="16"/>
  <c r="X117" i="16" s="1"/>
  <c r="AA109" i="16"/>
  <c r="AH109" i="16"/>
  <c r="AI109" i="16" s="1"/>
  <c r="J64" i="16"/>
  <c r="P64" i="16" s="1"/>
  <c r="L64" i="16"/>
  <c r="K64" i="16"/>
  <c r="X64" i="16" s="1"/>
  <c r="Q63" i="16"/>
  <c r="Y63" i="16" s="1"/>
  <c r="AG63" i="16" s="1"/>
  <c r="R63" i="16"/>
  <c r="S110" i="16"/>
  <c r="Z110" i="16"/>
  <c r="AA61" i="16"/>
  <c r="AH61" i="16"/>
  <c r="AI61" i="16" s="1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I66" i="16" l="1"/>
  <c r="I114" i="16"/>
  <c r="J113" i="16"/>
  <c r="P113" i="16" s="1"/>
  <c r="L113" i="16"/>
  <c r="K113" i="16"/>
  <c r="X113" i="16" s="1"/>
  <c r="J65" i="16"/>
  <c r="P65" i="16" s="1"/>
  <c r="L65" i="16"/>
  <c r="K65" i="16"/>
  <c r="X65" i="16" s="1"/>
  <c r="Q64" i="16"/>
  <c r="Y64" i="16" s="1"/>
  <c r="AG64" i="16" s="1"/>
  <c r="R64" i="16"/>
  <c r="AH110" i="16"/>
  <c r="AI110" i="16" s="1"/>
  <c r="AA110" i="16"/>
  <c r="S111" i="16"/>
  <c r="Z111" i="16"/>
  <c r="J118" i="16"/>
  <c r="P118" i="16" s="1"/>
  <c r="L118" i="16"/>
  <c r="K118" i="16"/>
  <c r="X118" i="16" s="1"/>
  <c r="Q117" i="16"/>
  <c r="Y117" i="16" s="1"/>
  <c r="AG117" i="16" s="1"/>
  <c r="R117" i="16"/>
  <c r="S63" i="16"/>
  <c r="Z63" i="16"/>
  <c r="AH62" i="16"/>
  <c r="AI62" i="16" s="1"/>
  <c r="AA62" i="16"/>
  <c r="Q112" i="16"/>
  <c r="Y112" i="16" s="1"/>
  <c r="AG112" i="16" s="1"/>
  <c r="R112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J119" i="16" l="1"/>
  <c r="P119" i="16" s="1"/>
  <c r="L119" i="16"/>
  <c r="K119" i="16"/>
  <c r="X119" i="16" s="1"/>
  <c r="Z112" i="16"/>
  <c r="S112" i="16"/>
  <c r="AH111" i="16"/>
  <c r="AI111" i="16" s="1"/>
  <c r="AA111" i="16"/>
  <c r="Q65" i="16"/>
  <c r="Y65" i="16" s="1"/>
  <c r="AG65" i="16" s="1"/>
  <c r="R65" i="16"/>
  <c r="Q118" i="16"/>
  <c r="Y118" i="16" s="1"/>
  <c r="AG118" i="16" s="1"/>
  <c r="R118" i="16"/>
  <c r="AH63" i="16"/>
  <c r="AI63" i="16" s="1"/>
  <c r="AA63" i="16"/>
  <c r="S64" i="16"/>
  <c r="Z64" i="16"/>
  <c r="I101" i="16"/>
  <c r="I85" i="16"/>
  <c r="I93" i="16"/>
  <c r="I69" i="16"/>
  <c r="I77" i="16"/>
  <c r="I78" i="16"/>
  <c r="I70" i="16"/>
  <c r="I94" i="16"/>
  <c r="I102" i="16"/>
  <c r="I86" i="16"/>
  <c r="I79" i="16"/>
  <c r="I95" i="16"/>
  <c r="I87" i="16"/>
  <c r="I71" i="16"/>
  <c r="I103" i="16"/>
  <c r="I96" i="16"/>
  <c r="I88" i="16"/>
  <c r="I104" i="16"/>
  <c r="I80" i="16"/>
  <c r="I72" i="16"/>
  <c r="I105" i="16"/>
  <c r="I81" i="16"/>
  <c r="I73" i="16"/>
  <c r="I97" i="16"/>
  <c r="I89" i="16"/>
  <c r="I90" i="16"/>
  <c r="I106" i="16"/>
  <c r="I74" i="16"/>
  <c r="I82" i="16"/>
  <c r="I98" i="16"/>
  <c r="I91" i="16"/>
  <c r="I99" i="16"/>
  <c r="I75" i="16"/>
  <c r="I107" i="16"/>
  <c r="I83" i="16"/>
  <c r="I84" i="16"/>
  <c r="I100" i="16"/>
  <c r="I76" i="16"/>
  <c r="I68" i="16"/>
  <c r="I108" i="16"/>
  <c r="I92" i="16"/>
  <c r="I116" i="16"/>
  <c r="I67" i="16"/>
  <c r="I115" i="16"/>
  <c r="S117" i="16"/>
  <c r="Z117" i="16"/>
  <c r="Q113" i="16"/>
  <c r="Y113" i="16" s="1"/>
  <c r="AG113" i="16" s="1"/>
  <c r="R113" i="16"/>
  <c r="J114" i="16"/>
  <c r="P114" i="16" s="1"/>
  <c r="K114" i="16"/>
  <c r="X114" i="16" s="1"/>
  <c r="L114" i="16"/>
  <c r="J66" i="16"/>
  <c r="P66" i="16" s="1"/>
  <c r="L66" i="16"/>
  <c r="K66" i="16"/>
  <c r="X66" i="16" s="1"/>
  <c r="E121" i="9"/>
  <c r="L120" i="9"/>
  <c r="I120" i="9" s="1" a="1"/>
  <c r="I120" i="9" s="1"/>
  <c r="AN120" i="16" s="1"/>
  <c r="I120" i="16" s="1"/>
  <c r="J92" i="16" l="1"/>
  <c r="P92" i="16" s="1"/>
  <c r="K92" i="16"/>
  <c r="X92" i="16" s="1"/>
  <c r="L92" i="16"/>
  <c r="J89" i="16"/>
  <c r="P89" i="16" s="1"/>
  <c r="K89" i="16"/>
  <c r="X89" i="16" s="1"/>
  <c r="L89" i="16"/>
  <c r="J88" i="16"/>
  <c r="P88" i="16" s="1"/>
  <c r="K88" i="16"/>
  <c r="X88" i="16" s="1"/>
  <c r="L88" i="16"/>
  <c r="J102" i="16"/>
  <c r="P102" i="16" s="1"/>
  <c r="K102" i="16"/>
  <c r="X102" i="16" s="1"/>
  <c r="L102" i="16"/>
  <c r="J101" i="16"/>
  <c r="P101" i="16" s="1"/>
  <c r="L101" i="16"/>
  <c r="K101" i="16"/>
  <c r="X101" i="16" s="1"/>
  <c r="J108" i="16"/>
  <c r="P108" i="16" s="1"/>
  <c r="L108" i="16"/>
  <c r="K108" i="16"/>
  <c r="X108" i="16" s="1"/>
  <c r="J99" i="16"/>
  <c r="P99" i="16" s="1"/>
  <c r="L99" i="16"/>
  <c r="K99" i="16"/>
  <c r="X99" i="16" s="1"/>
  <c r="J97" i="16"/>
  <c r="P97" i="16" s="1"/>
  <c r="K97" i="16"/>
  <c r="X97" i="16" s="1"/>
  <c r="L97" i="16"/>
  <c r="J96" i="16"/>
  <c r="P96" i="16" s="1"/>
  <c r="K96" i="16"/>
  <c r="X96" i="16" s="1"/>
  <c r="L96" i="16"/>
  <c r="J94" i="16"/>
  <c r="P94" i="16" s="1"/>
  <c r="K94" i="16"/>
  <c r="X94" i="16" s="1"/>
  <c r="L94" i="16"/>
  <c r="AA64" i="16"/>
  <c r="AH64" i="16"/>
  <c r="AI64" i="16" s="1"/>
  <c r="J120" i="16"/>
  <c r="P120" i="16" s="1"/>
  <c r="K120" i="16"/>
  <c r="X120" i="16" s="1"/>
  <c r="L120" i="16"/>
  <c r="S113" i="16"/>
  <c r="Z113" i="16"/>
  <c r="J68" i="16"/>
  <c r="P68" i="16" s="1"/>
  <c r="K68" i="16"/>
  <c r="X68" i="16" s="1"/>
  <c r="L68" i="16"/>
  <c r="J91" i="16"/>
  <c r="P91" i="16" s="1"/>
  <c r="K91" i="16"/>
  <c r="X91" i="16" s="1"/>
  <c r="L91" i="16"/>
  <c r="J73" i="16"/>
  <c r="P73" i="16" s="1"/>
  <c r="K73" i="16"/>
  <c r="X73" i="16" s="1"/>
  <c r="L73" i="16"/>
  <c r="J103" i="16"/>
  <c r="P103" i="16" s="1"/>
  <c r="L103" i="16"/>
  <c r="K103" i="16"/>
  <c r="X103" i="16" s="1"/>
  <c r="J70" i="16"/>
  <c r="P70" i="16" s="1"/>
  <c r="K70" i="16"/>
  <c r="X70" i="16" s="1"/>
  <c r="L70" i="16"/>
  <c r="J75" i="16"/>
  <c r="P75" i="16" s="1"/>
  <c r="K75" i="16"/>
  <c r="X75" i="16" s="1"/>
  <c r="L75" i="16"/>
  <c r="AA117" i="16"/>
  <c r="AH117" i="16"/>
  <c r="AI117" i="16" s="1"/>
  <c r="J76" i="16"/>
  <c r="P76" i="16" s="1"/>
  <c r="L76" i="16"/>
  <c r="K76" i="16"/>
  <c r="X76" i="16" s="1"/>
  <c r="J98" i="16"/>
  <c r="P98" i="16" s="1"/>
  <c r="L98" i="16"/>
  <c r="K98" i="16"/>
  <c r="X98" i="16" s="1"/>
  <c r="J81" i="16"/>
  <c r="P81" i="16" s="1"/>
  <c r="L81" i="16"/>
  <c r="K81" i="16"/>
  <c r="X81" i="16" s="1"/>
  <c r="J71" i="16"/>
  <c r="P71" i="16" s="1"/>
  <c r="K71" i="16"/>
  <c r="X71" i="16" s="1"/>
  <c r="L71" i="16"/>
  <c r="J78" i="16"/>
  <c r="P78" i="16" s="1"/>
  <c r="K78" i="16"/>
  <c r="X78" i="16" s="1"/>
  <c r="L78" i="16"/>
  <c r="J116" i="16"/>
  <c r="P116" i="16" s="1"/>
  <c r="L116" i="16"/>
  <c r="K116" i="16"/>
  <c r="X116" i="16" s="1"/>
  <c r="Q114" i="16"/>
  <c r="Y114" i="16" s="1"/>
  <c r="AG114" i="16" s="1"/>
  <c r="R114" i="16"/>
  <c r="J100" i="16"/>
  <c r="P100" i="16" s="1"/>
  <c r="K100" i="16"/>
  <c r="X100" i="16" s="1"/>
  <c r="L100" i="16"/>
  <c r="J82" i="16"/>
  <c r="P82" i="16" s="1"/>
  <c r="L82" i="16"/>
  <c r="K82" i="16"/>
  <c r="X82" i="16" s="1"/>
  <c r="J105" i="16"/>
  <c r="P105" i="16" s="1"/>
  <c r="K105" i="16"/>
  <c r="X105" i="16" s="1"/>
  <c r="L105" i="16"/>
  <c r="J87" i="16"/>
  <c r="P87" i="16" s="1"/>
  <c r="K87" i="16"/>
  <c r="X87" i="16" s="1"/>
  <c r="L87" i="16"/>
  <c r="J77" i="16"/>
  <c r="P77" i="16" s="1"/>
  <c r="K77" i="16"/>
  <c r="X77" i="16" s="1"/>
  <c r="L77" i="16"/>
  <c r="AA112" i="16"/>
  <c r="AH112" i="16"/>
  <c r="AI112" i="16" s="1"/>
  <c r="J115" i="16"/>
  <c r="P115" i="16" s="1"/>
  <c r="L115" i="16"/>
  <c r="K115" i="16"/>
  <c r="X115" i="16" s="1"/>
  <c r="J84" i="16"/>
  <c r="P84" i="16" s="1"/>
  <c r="L84" i="16"/>
  <c r="K84" i="16"/>
  <c r="X84" i="16" s="1"/>
  <c r="J74" i="16"/>
  <c r="P74" i="16" s="1"/>
  <c r="K74" i="16"/>
  <c r="X74" i="16" s="1"/>
  <c r="L74" i="16"/>
  <c r="J72" i="16"/>
  <c r="P72" i="16" s="1"/>
  <c r="L72" i="16"/>
  <c r="K72" i="16"/>
  <c r="X72" i="16" s="1"/>
  <c r="J95" i="16"/>
  <c r="P95" i="16" s="1"/>
  <c r="K95" i="16"/>
  <c r="X95" i="16" s="1"/>
  <c r="L95" i="16"/>
  <c r="J69" i="16"/>
  <c r="P69" i="16" s="1"/>
  <c r="K69" i="16"/>
  <c r="X69" i="16" s="1"/>
  <c r="L69" i="16"/>
  <c r="Z118" i="16"/>
  <c r="S118" i="16"/>
  <c r="J67" i="16"/>
  <c r="P67" i="16" s="1"/>
  <c r="K67" i="16"/>
  <c r="X67" i="16" s="1"/>
  <c r="L67" i="16"/>
  <c r="J83" i="16"/>
  <c r="P83" i="16" s="1"/>
  <c r="L83" i="16"/>
  <c r="K83" i="16"/>
  <c r="X83" i="16" s="1"/>
  <c r="J106" i="16"/>
  <c r="P106" i="16" s="1"/>
  <c r="L106" i="16"/>
  <c r="K106" i="16"/>
  <c r="X106" i="16" s="1"/>
  <c r="J80" i="16"/>
  <c r="P80" i="16" s="1"/>
  <c r="L80" i="16"/>
  <c r="K80" i="16"/>
  <c r="X80" i="16" s="1"/>
  <c r="J79" i="16"/>
  <c r="P79" i="16" s="1"/>
  <c r="L79" i="16"/>
  <c r="K79" i="16"/>
  <c r="X79" i="16" s="1"/>
  <c r="J93" i="16"/>
  <c r="P93" i="16" s="1"/>
  <c r="L93" i="16"/>
  <c r="K93" i="16"/>
  <c r="X93" i="16" s="1"/>
  <c r="Q66" i="16"/>
  <c r="Y66" i="16" s="1"/>
  <c r="AG66" i="16" s="1"/>
  <c r="R66" i="16"/>
  <c r="J107" i="16"/>
  <c r="P107" i="16" s="1"/>
  <c r="L107" i="16"/>
  <c r="K107" i="16"/>
  <c r="X107" i="16" s="1"/>
  <c r="J90" i="16"/>
  <c r="P90" i="16" s="1"/>
  <c r="K90" i="16"/>
  <c r="X90" i="16" s="1"/>
  <c r="L90" i="16"/>
  <c r="J104" i="16"/>
  <c r="P104" i="16" s="1"/>
  <c r="K104" i="16"/>
  <c r="X104" i="16" s="1"/>
  <c r="L104" i="16"/>
  <c r="J86" i="16"/>
  <c r="P86" i="16" s="1"/>
  <c r="L86" i="16"/>
  <c r="K86" i="16"/>
  <c r="X86" i="16" s="1"/>
  <c r="J85" i="16"/>
  <c r="P85" i="16" s="1"/>
  <c r="L85" i="16"/>
  <c r="K85" i="16"/>
  <c r="X85" i="16" s="1"/>
  <c r="S65" i="16"/>
  <c r="Z65" i="16"/>
  <c r="Q119" i="16"/>
  <c r="Y119" i="16" s="1"/>
  <c r="AG119" i="16" s="1"/>
  <c r="R119" i="16"/>
  <c r="L121" i="9"/>
  <c r="I121" i="9" s="1" a="1"/>
  <c r="I121" i="9" s="1"/>
  <c r="AN121" i="16" s="1"/>
  <c r="I121" i="16" s="1"/>
  <c r="E122" i="9"/>
  <c r="Q86" i="16" l="1"/>
  <c r="Y86" i="16" s="1"/>
  <c r="AG86" i="16" s="1"/>
  <c r="R86" i="16"/>
  <c r="Q72" i="16"/>
  <c r="Y72" i="16" s="1"/>
  <c r="AG72" i="16" s="1"/>
  <c r="R72" i="16"/>
  <c r="Q81" i="16"/>
  <c r="Y81" i="16" s="1"/>
  <c r="AG81" i="16" s="1"/>
  <c r="R81" i="16"/>
  <c r="Q108" i="16"/>
  <c r="Y108" i="16" s="1"/>
  <c r="AG108" i="16" s="1"/>
  <c r="R108" i="16"/>
  <c r="Q80" i="16"/>
  <c r="Y80" i="16" s="1"/>
  <c r="AG80" i="16" s="1"/>
  <c r="R80" i="16"/>
  <c r="Q107" i="16"/>
  <c r="Y107" i="16" s="1"/>
  <c r="AG107" i="16" s="1"/>
  <c r="R107" i="16"/>
  <c r="Q79" i="16"/>
  <c r="Y79" i="16" s="1"/>
  <c r="AG79" i="16" s="1"/>
  <c r="R79" i="16"/>
  <c r="Q115" i="16"/>
  <c r="Y115" i="16" s="1"/>
  <c r="AG115" i="16" s="1"/>
  <c r="R115" i="16"/>
  <c r="Q87" i="16"/>
  <c r="Y87" i="16" s="1"/>
  <c r="AG87" i="16" s="1"/>
  <c r="R87" i="16"/>
  <c r="Q103" i="16"/>
  <c r="Y103" i="16" s="1"/>
  <c r="AG103" i="16" s="1"/>
  <c r="R103" i="16"/>
  <c r="Q88" i="16"/>
  <c r="Y88" i="16" s="1"/>
  <c r="AG88" i="16" s="1"/>
  <c r="R88" i="16"/>
  <c r="AA65" i="16"/>
  <c r="AH65" i="16"/>
  <c r="AI65" i="16" s="1"/>
  <c r="Z66" i="16"/>
  <c r="S66" i="16"/>
  <c r="Q83" i="16"/>
  <c r="Y83" i="16" s="1"/>
  <c r="AG83" i="16" s="1"/>
  <c r="R83" i="16"/>
  <c r="Q69" i="16"/>
  <c r="Y69" i="16" s="1"/>
  <c r="AG69" i="16" s="1"/>
  <c r="R69" i="16"/>
  <c r="Q100" i="16"/>
  <c r="Y100" i="16" s="1"/>
  <c r="AG100" i="16" s="1"/>
  <c r="R100" i="16"/>
  <c r="Q78" i="16"/>
  <c r="Y78" i="16" s="1"/>
  <c r="AG78" i="16" s="1"/>
  <c r="R78" i="16"/>
  <c r="Q68" i="16"/>
  <c r="Y68" i="16" s="1"/>
  <c r="AG68" i="16" s="1"/>
  <c r="R68" i="16"/>
  <c r="Q97" i="16"/>
  <c r="Y97" i="16" s="1"/>
  <c r="AG97" i="16" s="1"/>
  <c r="R97" i="16"/>
  <c r="Q74" i="16"/>
  <c r="Y74" i="16" s="1"/>
  <c r="AG74" i="16" s="1"/>
  <c r="R74" i="16"/>
  <c r="S114" i="16"/>
  <c r="Z114" i="16"/>
  <c r="Q98" i="16"/>
  <c r="Y98" i="16" s="1"/>
  <c r="AG98" i="16" s="1"/>
  <c r="R98" i="16"/>
  <c r="Q75" i="16"/>
  <c r="Y75" i="16" s="1"/>
  <c r="AG75" i="16" s="1"/>
  <c r="R75" i="16"/>
  <c r="AA113" i="16"/>
  <c r="AH113" i="16"/>
  <c r="AI113" i="16" s="1"/>
  <c r="Q101" i="16"/>
  <c r="Y101" i="16" s="1"/>
  <c r="AG101" i="16" s="1"/>
  <c r="R101" i="16"/>
  <c r="Q73" i="16"/>
  <c r="Y73" i="16" s="1"/>
  <c r="AG73" i="16" s="1"/>
  <c r="R73" i="16"/>
  <c r="Q94" i="16"/>
  <c r="Y94" i="16" s="1"/>
  <c r="AG94" i="16" s="1"/>
  <c r="R94" i="16"/>
  <c r="Q89" i="16"/>
  <c r="Y89" i="16" s="1"/>
  <c r="AG89" i="16" s="1"/>
  <c r="R89" i="16"/>
  <c r="Q104" i="16"/>
  <c r="Y104" i="16" s="1"/>
  <c r="AG104" i="16" s="1"/>
  <c r="R104" i="16"/>
  <c r="Q105" i="16"/>
  <c r="Y105" i="16" s="1"/>
  <c r="AG105" i="16" s="1"/>
  <c r="R105" i="16"/>
  <c r="Q67" i="16"/>
  <c r="Y67" i="16" s="1"/>
  <c r="AG67" i="16" s="1"/>
  <c r="R67" i="16"/>
  <c r="Q95" i="16"/>
  <c r="Y95" i="16" s="1"/>
  <c r="AG95" i="16" s="1"/>
  <c r="R95" i="16"/>
  <c r="Q71" i="16"/>
  <c r="Y71" i="16" s="1"/>
  <c r="AG71" i="16" s="1"/>
  <c r="R71" i="16"/>
  <c r="Q99" i="16"/>
  <c r="Y99" i="16" s="1"/>
  <c r="AG99" i="16" s="1"/>
  <c r="R99" i="16"/>
  <c r="J121" i="16"/>
  <c r="P121" i="16" s="1"/>
  <c r="K121" i="16"/>
  <c r="X121" i="16" s="1"/>
  <c r="L121" i="16"/>
  <c r="Q90" i="16"/>
  <c r="Y90" i="16" s="1"/>
  <c r="AG90" i="16" s="1"/>
  <c r="R90" i="16"/>
  <c r="Q93" i="16"/>
  <c r="Y93" i="16" s="1"/>
  <c r="AG93" i="16" s="1"/>
  <c r="R93" i="16"/>
  <c r="Q84" i="16"/>
  <c r="Y84" i="16" s="1"/>
  <c r="AG84" i="16" s="1"/>
  <c r="R84" i="16"/>
  <c r="Q77" i="16"/>
  <c r="Y77" i="16" s="1"/>
  <c r="AG77" i="16" s="1"/>
  <c r="R77" i="16"/>
  <c r="Q76" i="16"/>
  <c r="Y76" i="16" s="1"/>
  <c r="AG76" i="16" s="1"/>
  <c r="R76" i="16"/>
  <c r="Q70" i="16"/>
  <c r="Y70" i="16" s="1"/>
  <c r="AG70" i="16" s="1"/>
  <c r="R70" i="16"/>
  <c r="Q102" i="16"/>
  <c r="Y102" i="16" s="1"/>
  <c r="AG102" i="16" s="1"/>
  <c r="R102" i="16"/>
  <c r="Q85" i="16"/>
  <c r="Y85" i="16" s="1"/>
  <c r="AG85" i="16" s="1"/>
  <c r="R85" i="16"/>
  <c r="S119" i="16"/>
  <c r="Z119" i="16"/>
  <c r="Q106" i="16"/>
  <c r="Y106" i="16" s="1"/>
  <c r="AG106" i="16" s="1"/>
  <c r="R106" i="16"/>
  <c r="AH118" i="16"/>
  <c r="AI118" i="16" s="1"/>
  <c r="AA118" i="16"/>
  <c r="Q82" i="16"/>
  <c r="Y82" i="16" s="1"/>
  <c r="AG82" i="16" s="1"/>
  <c r="R82" i="16"/>
  <c r="Q116" i="16"/>
  <c r="Y116" i="16" s="1"/>
  <c r="AG116" i="16" s="1"/>
  <c r="R116" i="16"/>
  <c r="Q91" i="16"/>
  <c r="Y91" i="16" s="1"/>
  <c r="AG91" i="16" s="1"/>
  <c r="R91" i="16"/>
  <c r="Q120" i="16"/>
  <c r="Y120" i="16" s="1"/>
  <c r="AG120" i="16" s="1"/>
  <c r="R120" i="16"/>
  <c r="Q96" i="16"/>
  <c r="Y96" i="16" s="1"/>
  <c r="AG96" i="16" s="1"/>
  <c r="R96" i="16"/>
  <c r="Q92" i="16"/>
  <c r="Y92" i="16" s="1"/>
  <c r="AG92" i="16" s="1"/>
  <c r="R92" i="16"/>
  <c r="L122" i="9"/>
  <c r="I122" i="9" s="1" a="1"/>
  <c r="I122" i="9" s="1"/>
  <c r="AN122" i="16" s="1"/>
  <c r="I122" i="16" s="1"/>
  <c r="E123" i="9"/>
  <c r="S116" i="16" l="1"/>
  <c r="Z116" i="16"/>
  <c r="S95" i="16"/>
  <c r="Z95" i="16"/>
  <c r="S89" i="16"/>
  <c r="Z89" i="16"/>
  <c r="S74" i="16"/>
  <c r="Z74" i="16"/>
  <c r="S100" i="16"/>
  <c r="Z100" i="16"/>
  <c r="S115" i="16"/>
  <c r="Z115" i="16"/>
  <c r="S108" i="16"/>
  <c r="Z108" i="16"/>
  <c r="S92" i="16"/>
  <c r="Z92" i="16"/>
  <c r="S76" i="16"/>
  <c r="Z76" i="16"/>
  <c r="S90" i="16"/>
  <c r="Z90" i="16"/>
  <c r="Z96" i="16"/>
  <c r="S96" i="16"/>
  <c r="Z82" i="16"/>
  <c r="S82" i="16"/>
  <c r="S85" i="16"/>
  <c r="Z85" i="16"/>
  <c r="S77" i="16"/>
  <c r="Z77" i="16"/>
  <c r="AH119" i="16"/>
  <c r="AI119" i="16" s="1"/>
  <c r="AA119" i="16"/>
  <c r="S67" i="16"/>
  <c r="Z67" i="16"/>
  <c r="S94" i="16"/>
  <c r="Z94" i="16"/>
  <c r="S75" i="16"/>
  <c r="Z75" i="16"/>
  <c r="Z97" i="16"/>
  <c r="S97" i="16"/>
  <c r="S69" i="16"/>
  <c r="Z69" i="16"/>
  <c r="S88" i="16"/>
  <c r="Z88" i="16"/>
  <c r="Z79" i="16"/>
  <c r="S79" i="16"/>
  <c r="Z81" i="16"/>
  <c r="S81" i="16"/>
  <c r="S70" i="16"/>
  <c r="Z70" i="16"/>
  <c r="S84" i="16"/>
  <c r="Z84" i="16"/>
  <c r="S106" i="16"/>
  <c r="Z106" i="16"/>
  <c r="S120" i="16"/>
  <c r="Z120" i="16"/>
  <c r="S102" i="16"/>
  <c r="Z102" i="16"/>
  <c r="Q121" i="16"/>
  <c r="Y121" i="16" s="1"/>
  <c r="AG121" i="16" s="1"/>
  <c r="R121" i="16"/>
  <c r="S99" i="16"/>
  <c r="Z99" i="16"/>
  <c r="S105" i="16"/>
  <c r="Z105" i="16"/>
  <c r="S73" i="16"/>
  <c r="Z73" i="16"/>
  <c r="S98" i="16"/>
  <c r="Z98" i="16"/>
  <c r="S68" i="16"/>
  <c r="Z68" i="16"/>
  <c r="Z83" i="16"/>
  <c r="S83" i="16"/>
  <c r="S103" i="16"/>
  <c r="Z103" i="16"/>
  <c r="S107" i="16"/>
  <c r="Z107" i="16"/>
  <c r="S72" i="16"/>
  <c r="Z72" i="16"/>
  <c r="J122" i="16"/>
  <c r="P122" i="16" s="1"/>
  <c r="K122" i="16"/>
  <c r="X122" i="16" s="1"/>
  <c r="L122" i="16"/>
  <c r="Z71" i="16"/>
  <c r="S71" i="16"/>
  <c r="S104" i="16"/>
  <c r="Z104" i="16"/>
  <c r="Z101" i="16"/>
  <c r="S101" i="16"/>
  <c r="AA114" i="16"/>
  <c r="AH114" i="16"/>
  <c r="AI114" i="16" s="1"/>
  <c r="S78" i="16"/>
  <c r="Z78" i="16"/>
  <c r="S87" i="16"/>
  <c r="Z87" i="16"/>
  <c r="S80" i="16"/>
  <c r="Z80" i="16"/>
  <c r="S86" i="16"/>
  <c r="Z86" i="16"/>
  <c r="S91" i="16"/>
  <c r="Z91" i="16"/>
  <c r="S93" i="16"/>
  <c r="Z93" i="16"/>
  <c r="AA66" i="16"/>
  <c r="AH66" i="16"/>
  <c r="AI66" i="16" s="1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H71" i="16" l="1"/>
  <c r="AI71" i="16" s="1"/>
  <c r="AA71" i="16"/>
  <c r="AH103" i="16"/>
  <c r="AI103" i="16" s="1"/>
  <c r="AA103" i="16"/>
  <c r="AA73" i="16"/>
  <c r="AH73" i="16"/>
  <c r="AI73" i="16" s="1"/>
  <c r="AH102" i="16"/>
  <c r="AI102" i="16" s="1"/>
  <c r="AA102" i="16"/>
  <c r="AA70" i="16"/>
  <c r="AH70" i="16"/>
  <c r="AI70" i="16" s="1"/>
  <c r="AA69" i="16"/>
  <c r="AH69" i="16"/>
  <c r="AI69" i="16" s="1"/>
  <c r="AH67" i="16"/>
  <c r="AI67" i="16" s="1"/>
  <c r="AA67" i="16"/>
  <c r="AA92" i="16"/>
  <c r="AH92" i="16"/>
  <c r="AI92" i="16" s="1"/>
  <c r="AH74" i="16"/>
  <c r="AI74" i="16" s="1"/>
  <c r="AA74" i="16"/>
  <c r="AA91" i="16"/>
  <c r="AH91" i="16"/>
  <c r="AI91" i="16" s="1"/>
  <c r="AA86" i="16"/>
  <c r="AH86" i="16"/>
  <c r="AI86" i="16" s="1"/>
  <c r="AA82" i="16"/>
  <c r="AH82" i="16"/>
  <c r="AI82" i="16" s="1"/>
  <c r="I125" i="16"/>
  <c r="I126" i="16"/>
  <c r="I127" i="16"/>
  <c r="I128" i="16"/>
  <c r="I129" i="16"/>
  <c r="I130" i="16"/>
  <c r="I131" i="16"/>
  <c r="I132" i="16"/>
  <c r="I124" i="16"/>
  <c r="AA105" i="16"/>
  <c r="AH105" i="16"/>
  <c r="AI105" i="16" s="1"/>
  <c r="AH120" i="16"/>
  <c r="AI120" i="16" s="1"/>
  <c r="AA120" i="16"/>
  <c r="AH108" i="16"/>
  <c r="AI108" i="16" s="1"/>
  <c r="AA108" i="16"/>
  <c r="AA89" i="16"/>
  <c r="AH89" i="16"/>
  <c r="AI89" i="16" s="1"/>
  <c r="J123" i="16"/>
  <c r="P123" i="16" s="1"/>
  <c r="L123" i="16"/>
  <c r="K123" i="16"/>
  <c r="X123" i="16" s="1"/>
  <c r="Q122" i="16"/>
  <c r="Y122" i="16" s="1"/>
  <c r="AG122" i="16" s="1"/>
  <c r="R122" i="16"/>
  <c r="AH83" i="16"/>
  <c r="AI83" i="16" s="1"/>
  <c r="AA83" i="16"/>
  <c r="AA81" i="16"/>
  <c r="AH81" i="16"/>
  <c r="AI81" i="16" s="1"/>
  <c r="AH97" i="16"/>
  <c r="AI97" i="16" s="1"/>
  <c r="AA97" i="16"/>
  <c r="AA96" i="16"/>
  <c r="AH96" i="16"/>
  <c r="AI96" i="16" s="1"/>
  <c r="AA80" i="16"/>
  <c r="AH80" i="16"/>
  <c r="AI80" i="16" s="1"/>
  <c r="AH101" i="16"/>
  <c r="AI101" i="16" s="1"/>
  <c r="AA101" i="16"/>
  <c r="AA72" i="16"/>
  <c r="AH72" i="16"/>
  <c r="AI72" i="16" s="1"/>
  <c r="AH68" i="16"/>
  <c r="AI68" i="16" s="1"/>
  <c r="AA68" i="16"/>
  <c r="AH99" i="16"/>
  <c r="AI99" i="16" s="1"/>
  <c r="AA99" i="16"/>
  <c r="AH106" i="16"/>
  <c r="AI106" i="16" s="1"/>
  <c r="AA106" i="16"/>
  <c r="AA75" i="16"/>
  <c r="AH75" i="16"/>
  <c r="AI75" i="16" s="1"/>
  <c r="AH77" i="16"/>
  <c r="AI77" i="16" s="1"/>
  <c r="AA77" i="16"/>
  <c r="AH90" i="16"/>
  <c r="AI90" i="16" s="1"/>
  <c r="AA90" i="16"/>
  <c r="AA115" i="16"/>
  <c r="AH115" i="16"/>
  <c r="AI115" i="16" s="1"/>
  <c r="AA95" i="16"/>
  <c r="AH95" i="16"/>
  <c r="AI95" i="16" s="1"/>
  <c r="AH78" i="16"/>
  <c r="AI78" i="16" s="1"/>
  <c r="AA78" i="16"/>
  <c r="AH93" i="16"/>
  <c r="AI93" i="16" s="1"/>
  <c r="AA93" i="16"/>
  <c r="AA87" i="16"/>
  <c r="AH87" i="16"/>
  <c r="AI87" i="16" s="1"/>
  <c r="AA104" i="16"/>
  <c r="AH104" i="16"/>
  <c r="AI104" i="16" s="1"/>
  <c r="AA79" i="16"/>
  <c r="AH79" i="16"/>
  <c r="AI79" i="16" s="1"/>
  <c r="AH107" i="16"/>
  <c r="AI107" i="16" s="1"/>
  <c r="AA107" i="16"/>
  <c r="AH98" i="16"/>
  <c r="AI98" i="16" s="1"/>
  <c r="AA98" i="16"/>
  <c r="S121" i="16"/>
  <c r="Z121" i="16"/>
  <c r="AH84" i="16"/>
  <c r="AI84" i="16" s="1"/>
  <c r="AA84" i="16"/>
  <c r="AA88" i="16"/>
  <c r="AH88" i="16"/>
  <c r="AI88" i="16" s="1"/>
  <c r="AH94" i="16"/>
  <c r="AI94" i="16" s="1"/>
  <c r="AA94" i="16"/>
  <c r="AH85" i="16"/>
  <c r="AI85" i="16" s="1"/>
  <c r="AA85" i="16"/>
  <c r="AA76" i="16"/>
  <c r="AH76" i="16"/>
  <c r="AI76" i="16" s="1"/>
  <c r="AA100" i="16"/>
  <c r="AH100" i="16"/>
  <c r="AI100" i="16" s="1"/>
  <c r="AA116" i="16"/>
  <c r="AH116" i="16"/>
  <c r="AI116" i="16" s="1"/>
  <c r="J124" i="16" l="1"/>
  <c r="P124" i="16" s="1"/>
  <c r="L124" i="16"/>
  <c r="K124" i="16"/>
  <c r="X124" i="16" s="1"/>
  <c r="J132" i="16"/>
  <c r="P132" i="16" s="1"/>
  <c r="K132" i="16"/>
  <c r="X132" i="16" s="1"/>
  <c r="L132" i="16"/>
  <c r="J131" i="16"/>
  <c r="P131" i="16" s="1"/>
  <c r="L131" i="16"/>
  <c r="K131" i="16"/>
  <c r="X131" i="16" s="1"/>
  <c r="S122" i="16"/>
  <c r="Z122" i="16"/>
  <c r="J130" i="16"/>
  <c r="P130" i="16" s="1"/>
  <c r="L130" i="16"/>
  <c r="K130" i="16"/>
  <c r="X130" i="16" s="1"/>
  <c r="J129" i="16"/>
  <c r="P129" i="16" s="1"/>
  <c r="L129" i="16"/>
  <c r="K129" i="16"/>
  <c r="X129" i="16" s="1"/>
  <c r="AA121" i="16"/>
  <c r="AH121" i="16"/>
  <c r="AI121" i="16" s="1"/>
  <c r="J128" i="16"/>
  <c r="P128" i="16" s="1"/>
  <c r="L128" i="16"/>
  <c r="K128" i="16"/>
  <c r="X128" i="16" s="1"/>
  <c r="J127" i="16"/>
  <c r="P127" i="16" s="1"/>
  <c r="L127" i="16"/>
  <c r="K127" i="16"/>
  <c r="X127" i="16" s="1"/>
  <c r="Q123" i="16"/>
  <c r="Y123" i="16" s="1"/>
  <c r="AG123" i="16" s="1"/>
  <c r="R123" i="16"/>
  <c r="J126" i="16"/>
  <c r="P126" i="16" s="1"/>
  <c r="L126" i="16"/>
  <c r="K126" i="16"/>
  <c r="X126" i="16" s="1"/>
  <c r="J125" i="16"/>
  <c r="P125" i="16" s="1"/>
  <c r="L125" i="16"/>
  <c r="K125" i="16"/>
  <c r="X125" i="16" s="1"/>
  <c r="Q129" i="16" l="1"/>
  <c r="R129" i="16"/>
  <c r="Q131" i="16"/>
  <c r="R131" i="16"/>
  <c r="Q127" i="16"/>
  <c r="R127" i="16"/>
  <c r="Q125" i="16"/>
  <c r="R125" i="16"/>
  <c r="Q128" i="16"/>
  <c r="R128" i="16"/>
  <c r="Q130" i="16"/>
  <c r="R130" i="16"/>
  <c r="Q132" i="16"/>
  <c r="R132" i="16"/>
  <c r="S123" i="16"/>
  <c r="Z123" i="16"/>
  <c r="AA122" i="16"/>
  <c r="AH122" i="16"/>
  <c r="AI122" i="16" s="1"/>
  <c r="Q126" i="16"/>
  <c r="R126" i="16"/>
  <c r="Q124" i="16"/>
  <c r="Y124" i="16" s="1"/>
  <c r="AG124" i="16" s="1"/>
  <c r="R124" i="16"/>
  <c r="H14" i="17" l="1" a="1"/>
  <c r="H14" i="17" s="1"/>
  <c r="H15" i="17" a="1"/>
  <c r="H15" i="17" s="1"/>
  <c r="H17" i="17" a="1"/>
  <c r="H17" i="17" s="1"/>
  <c r="H16" i="17" a="1"/>
  <c r="H16" i="17" s="1"/>
  <c r="H13" i="17" a="1"/>
  <c r="H13" i="17" s="1"/>
  <c r="Y128" i="16"/>
  <c r="AA123" i="16"/>
  <c r="AH123" i="16"/>
  <c r="AI123" i="16" s="1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5" i="17" a="1"/>
  <c r="H5" i="17" s="1"/>
  <c r="Y125" i="16"/>
  <c r="H7" i="17" a="1"/>
  <c r="H7" i="17" s="1"/>
  <c r="H8" i="17" a="1"/>
  <c r="H8" i="17" s="1"/>
  <c r="H6" i="17" a="1"/>
  <c r="H6" i="17" s="1"/>
  <c r="Y126" i="16"/>
  <c r="Z124" i="16"/>
  <c r="S124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H54" i="17" a="1"/>
  <c r="H54" i="17" s="1"/>
  <c r="H53" i="17" a="1"/>
  <c r="H53" i="17" s="1"/>
  <c r="H55" i="17" a="1"/>
  <c r="H55" i="17" s="1"/>
  <c r="H56" i="17" a="1"/>
  <c r="H56" i="17" s="1"/>
  <c r="S127" i="16"/>
  <c r="Z127" i="16"/>
  <c r="H9" i="17" a="1"/>
  <c r="H9" i="17" s="1"/>
  <c r="H11" i="17" a="1"/>
  <c r="H11" i="17" s="1"/>
  <c r="H12" i="17" a="1"/>
  <c r="H12" i="17" s="1"/>
  <c r="H10" i="17" a="1"/>
  <c r="H10" i="17" s="1"/>
  <c r="Y127" i="16"/>
  <c r="H26" i="17" a="1"/>
  <c r="H26" i="17" s="1"/>
  <c r="Y132" i="16"/>
  <c r="H51" i="17" a="1"/>
  <c r="H51" i="17" s="1"/>
  <c r="H52" i="17" a="1"/>
  <c r="H52" i="17" s="1"/>
  <c r="H50" i="17" a="1"/>
  <c r="H50" i="17" s="1"/>
  <c r="S126" i="16"/>
  <c r="Z126" i="16"/>
  <c r="H68" i="17" a="1"/>
  <c r="H68" i="17" s="1"/>
  <c r="H67" i="17" a="1"/>
  <c r="H67" i="17" s="1"/>
  <c r="H66" i="17" a="1"/>
  <c r="H66" i="17" s="1"/>
  <c r="S130" i="16"/>
  <c r="Z130" i="16"/>
  <c r="H69" i="17" a="1"/>
  <c r="H69" i="17" s="1"/>
  <c r="U11" i="17" s="1"/>
  <c r="U33" i="17" s="1"/>
  <c r="H583" i="17" s="1" a="1"/>
  <c r="H583" i="17" s="1"/>
  <c r="S131" i="16"/>
  <c r="H113" i="17" s="1" a="1"/>
  <c r="H113" i="17" s="1"/>
  <c r="U22" i="17" s="1"/>
  <c r="Z131" i="16"/>
  <c r="H25" i="17" a="1"/>
  <c r="H25" i="17" s="1"/>
  <c r="Y131" i="16"/>
  <c r="H23" i="17" a="1"/>
  <c r="H23" i="17" s="1"/>
  <c r="H22" i="17" a="1"/>
  <c r="H22" i="17" s="1"/>
  <c r="H24" i="17" a="1"/>
  <c r="H24" i="17" s="1"/>
  <c r="Y130" i="16"/>
  <c r="H60" i="17" a="1"/>
  <c r="H60" i="17" s="1"/>
  <c r="H58" i="17" a="1"/>
  <c r="H58" i="17" s="1"/>
  <c r="H57" i="17" a="1"/>
  <c r="H57" i="17" s="1"/>
  <c r="S128" i="16"/>
  <c r="H59" i="17" a="1"/>
  <c r="H59" i="17" s="1"/>
  <c r="H61" i="17" a="1"/>
  <c r="H61" i="17" s="1"/>
  <c r="Z128" i="16"/>
  <c r="H62" i="17" a="1"/>
  <c r="H62" i="17" s="1"/>
  <c r="H65" i="17" a="1"/>
  <c r="H65" i="17" s="1"/>
  <c r="H64" i="17" a="1"/>
  <c r="H64" i="17" s="1"/>
  <c r="H63" i="17" a="1"/>
  <c r="H63" i="17" s="1"/>
  <c r="S129" i="16"/>
  <c r="Z129" i="16"/>
  <c r="H18" i="17" a="1"/>
  <c r="H18" i="17" s="1"/>
  <c r="H20" i="17" a="1"/>
  <c r="H20" i="17" s="1"/>
  <c r="H21" i="17" a="1"/>
  <c r="H21" i="17" s="1"/>
  <c r="H19" i="17" a="1"/>
  <c r="H19" i="17" s="1"/>
  <c r="Y129" i="16"/>
  <c r="U8" i="17" l="1"/>
  <c r="U30" i="17" s="1"/>
  <c r="H580" i="17" s="1" a="1"/>
  <c r="H580" i="17" s="1"/>
  <c r="U9" i="17"/>
  <c r="U31" i="17" s="1"/>
  <c r="H581" i="17" s="1" a="1"/>
  <c r="H581" i="17" s="1"/>
  <c r="AG127" i="16"/>
  <c r="H143" i="17" a="1"/>
  <c r="H143" i="17" s="1"/>
  <c r="H144" i="17" a="1"/>
  <c r="H144" i="17" s="1"/>
  <c r="H141" i="17" a="1"/>
  <c r="H141" i="17" s="1"/>
  <c r="H142" i="17" a="1"/>
  <c r="H142" i="17" s="1"/>
  <c r="AG126" i="16"/>
  <c r="H139" i="17" a="1"/>
  <c r="H139" i="17" s="1"/>
  <c r="H140" i="17" a="1"/>
  <c r="H140" i="17" s="1"/>
  <c r="H138" i="17" a="1"/>
  <c r="H138" i="17" s="1"/>
  <c r="AG129" i="16"/>
  <c r="H151" i="17" a="1"/>
  <c r="H151" i="17" s="1"/>
  <c r="H150" i="17" a="1"/>
  <c r="H150" i="17" s="1"/>
  <c r="H152" i="17" a="1"/>
  <c r="H152" i="17" s="1"/>
  <c r="H153" i="17" a="1"/>
  <c r="H153" i="17" s="1"/>
  <c r="AA131" i="16"/>
  <c r="H245" i="17" s="1" a="1"/>
  <c r="H245" i="17" s="1"/>
  <c r="W22" i="17" s="1"/>
  <c r="AH131" i="16"/>
  <c r="H201" i="17" a="1"/>
  <c r="H201" i="17" s="1"/>
  <c r="W11" i="17" s="1"/>
  <c r="W33" i="17" s="1"/>
  <c r="H599" i="17" s="1" a="1"/>
  <c r="H599" i="17" s="1"/>
  <c r="AA126" i="16"/>
  <c r="AH126" i="16"/>
  <c r="H183" i="17" a="1"/>
  <c r="H183" i="17" s="1"/>
  <c r="H182" i="17" a="1"/>
  <c r="H182" i="17" s="1"/>
  <c r="H184" i="17" a="1"/>
  <c r="H184" i="17" s="1"/>
  <c r="U7" i="17"/>
  <c r="U29" i="17" s="1"/>
  <c r="H579" i="17" s="1" a="1"/>
  <c r="H579" i="17" s="1"/>
  <c r="H95" i="17" a="1"/>
  <c r="H95" i="17" s="1"/>
  <c r="H94" i="17" a="1"/>
  <c r="H94" i="17" s="1"/>
  <c r="U17" i="17" s="1"/>
  <c r="H96" i="17" a="1"/>
  <c r="H96" i="17" s="1"/>
  <c r="AG130" i="16"/>
  <c r="H155" i="17" a="1"/>
  <c r="H155" i="17" s="1"/>
  <c r="H156" i="17" a="1"/>
  <c r="H156" i="17" s="1"/>
  <c r="H154" i="17" a="1"/>
  <c r="H154" i="17" s="1"/>
  <c r="U6" i="17"/>
  <c r="U28" i="17" s="1"/>
  <c r="H578" i="17" s="1" a="1"/>
  <c r="H578" i="17" s="1"/>
  <c r="AH132" i="16"/>
  <c r="AA132" i="16"/>
  <c r="H246" i="17" s="1" a="1"/>
  <c r="H246" i="17" s="1"/>
  <c r="H202" i="17" a="1"/>
  <c r="H202" i="17" s="1"/>
  <c r="W12" i="17" s="1"/>
  <c r="W34" i="17" s="1"/>
  <c r="H600" i="17" s="1" a="1"/>
  <c r="H600" i="17" s="1"/>
  <c r="AG128" i="16"/>
  <c r="H148" i="17" a="1"/>
  <c r="H148" i="17" s="1"/>
  <c r="H147" i="17" a="1"/>
  <c r="H147" i="17" s="1"/>
  <c r="H145" i="17" a="1"/>
  <c r="H145" i="17" s="1"/>
  <c r="H146" i="17" a="1"/>
  <c r="H146" i="17" s="1"/>
  <c r="H149" i="17" a="1"/>
  <c r="H149" i="17" s="1"/>
  <c r="AH128" i="16"/>
  <c r="AA128" i="16"/>
  <c r="H190" i="17" a="1"/>
  <c r="H190" i="17" s="1"/>
  <c r="H193" i="17" a="1"/>
  <c r="H193" i="17" s="1"/>
  <c r="H192" i="17" a="1"/>
  <c r="H192" i="17" s="1"/>
  <c r="H189" i="17" a="1"/>
  <c r="H189" i="17" s="1"/>
  <c r="H191" i="17" a="1"/>
  <c r="H191" i="17" s="1"/>
  <c r="AA130" i="16"/>
  <c r="AH130" i="16"/>
  <c r="H200" i="17" a="1"/>
  <c r="H200" i="17" s="1"/>
  <c r="H199" i="17" a="1"/>
  <c r="H199" i="17" s="1"/>
  <c r="H198" i="17" a="1"/>
  <c r="H198" i="17" s="1"/>
  <c r="AG125" i="16"/>
  <c r="H269" i="17" s="1" a="1"/>
  <c r="H269" i="17" s="1"/>
  <c r="H137" i="17" a="1"/>
  <c r="H137" i="17" s="1"/>
  <c r="H109" i="17" a="1"/>
  <c r="H109" i="17" s="1"/>
  <c r="H107" i="17" a="1"/>
  <c r="H107" i="17" s="1"/>
  <c r="H108" i="17" a="1"/>
  <c r="H108" i="17" s="1"/>
  <c r="H106" i="17" a="1"/>
  <c r="H106" i="17" s="1"/>
  <c r="H101" i="17" a="1"/>
  <c r="H101" i="17" s="1"/>
  <c r="H102" i="17" a="1"/>
  <c r="H102" i="17" s="1"/>
  <c r="H104" i="17" a="1"/>
  <c r="H104" i="17" s="1"/>
  <c r="H103" i="17" a="1"/>
  <c r="H103" i="17" s="1"/>
  <c r="H105" i="17" a="1"/>
  <c r="H105" i="17" s="1"/>
  <c r="AG131" i="16"/>
  <c r="H289" i="17" s="1" a="1"/>
  <c r="H289" i="17" s="1"/>
  <c r="H157" i="17" a="1"/>
  <c r="H157" i="17" s="1"/>
  <c r="AH124" i="16"/>
  <c r="AI124" i="16" s="1"/>
  <c r="AA124" i="16"/>
  <c r="H110" i="17" a="1"/>
  <c r="H110" i="17" s="1"/>
  <c r="H112" i="17" a="1"/>
  <c r="H112" i="17" s="1"/>
  <c r="H111" i="17" a="1"/>
  <c r="H111" i="17" s="1"/>
  <c r="AA127" i="16"/>
  <c r="AH127" i="16"/>
  <c r="H186" i="17" a="1"/>
  <c r="H186" i="17" s="1"/>
  <c r="H188" i="17" a="1"/>
  <c r="H188" i="17" s="1"/>
  <c r="H187" i="17" a="1"/>
  <c r="H187" i="17" s="1"/>
  <c r="H185" i="17" a="1"/>
  <c r="H185" i="17" s="1"/>
  <c r="AA129" i="16"/>
  <c r="AH129" i="16"/>
  <c r="H195" i="17" a="1"/>
  <c r="H195" i="17" s="1"/>
  <c r="H197" i="17" a="1"/>
  <c r="H197" i="17" s="1"/>
  <c r="H194" i="17" a="1"/>
  <c r="H194" i="17" s="1"/>
  <c r="H196" i="17" a="1"/>
  <c r="H196" i="17" s="1"/>
  <c r="U10" i="17"/>
  <c r="U32" i="17" s="1"/>
  <c r="H582" i="17" s="1" a="1"/>
  <c r="H582" i="17" s="1"/>
  <c r="AG132" i="16"/>
  <c r="H290" i="17" s="1" a="1"/>
  <c r="H290" i="17" s="1"/>
  <c r="H158" i="17" a="1"/>
  <c r="H158" i="17" s="1"/>
  <c r="H99" i="17" a="1"/>
  <c r="H99" i="17" s="1"/>
  <c r="H100" i="17" a="1"/>
  <c r="H100" i="17" s="1"/>
  <c r="H98" i="17" a="1"/>
  <c r="H98" i="17" s="1"/>
  <c r="H97" i="17" a="1"/>
  <c r="H97" i="17" s="1"/>
  <c r="AA125" i="16"/>
  <c r="H225" i="17" s="1" a="1"/>
  <c r="H225" i="17" s="1"/>
  <c r="W16" i="17" s="1"/>
  <c r="AH125" i="16"/>
  <c r="H181" i="17" a="1"/>
  <c r="H181" i="17" s="1"/>
  <c r="W5" i="17" s="1"/>
  <c r="W27" i="17" s="1"/>
  <c r="H593" i="17" s="1" a="1"/>
  <c r="H593" i="17" s="1"/>
  <c r="W6" i="17" l="1"/>
  <c r="W28" i="17" s="1"/>
  <c r="H594" i="17" s="1" a="1"/>
  <c r="H594" i="17" s="1"/>
  <c r="W7" i="17"/>
  <c r="W29" i="17" s="1"/>
  <c r="H595" i="17" s="1" a="1"/>
  <c r="H595" i="17" s="1"/>
  <c r="H230" i="17" a="1"/>
  <c r="H230" i="17" s="1"/>
  <c r="H229" i="17" a="1"/>
  <c r="H229" i="17" s="1"/>
  <c r="H231" i="17" a="1"/>
  <c r="H231" i="17" s="1"/>
  <c r="H232" i="17" a="1"/>
  <c r="H232" i="17" s="1"/>
  <c r="H240" i="17" a="1"/>
  <c r="H240" i="17" s="1"/>
  <c r="H241" i="17" a="1"/>
  <c r="H241" i="17" s="1"/>
  <c r="H238" i="17" a="1"/>
  <c r="H238" i="17" s="1"/>
  <c r="H239" i="17" a="1"/>
  <c r="H239" i="17" s="1"/>
  <c r="AI127" i="16"/>
  <c r="H319" i="17" a="1"/>
  <c r="H319" i="17" s="1"/>
  <c r="H320" i="17" a="1"/>
  <c r="H320" i="17" s="1"/>
  <c r="H318" i="17" a="1"/>
  <c r="H318" i="17" s="1"/>
  <c r="H317" i="17" a="1"/>
  <c r="H317" i="17" s="1"/>
  <c r="H243" i="17" a="1"/>
  <c r="H243" i="17" s="1"/>
  <c r="H242" i="17" a="1"/>
  <c r="H242" i="17" s="1"/>
  <c r="H244" i="17" a="1"/>
  <c r="H244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AI129" i="16"/>
  <c r="H327" i="17" a="1"/>
  <c r="H327" i="17" s="1"/>
  <c r="H326" i="17" a="1"/>
  <c r="H326" i="17" s="1"/>
  <c r="H328" i="17" a="1"/>
  <c r="H328" i="17" s="1"/>
  <c r="H329" i="17" a="1"/>
  <c r="H329" i="17" s="1"/>
  <c r="W8" i="17"/>
  <c r="W30" i="17" s="1"/>
  <c r="H596" i="17" s="1" a="1"/>
  <c r="H596" i="17" s="1"/>
  <c r="H271" i="17" a="1"/>
  <c r="H271" i="17" s="1"/>
  <c r="H270" i="17" a="1"/>
  <c r="H270" i="17" s="1"/>
  <c r="H272" i="17" a="1"/>
  <c r="H272" i="17" s="1"/>
  <c r="U21" i="17"/>
  <c r="W10" i="17"/>
  <c r="W32" i="17" s="1"/>
  <c r="H598" i="17" s="1" a="1"/>
  <c r="H598" i="17" s="1"/>
  <c r="AI125" i="16"/>
  <c r="H357" i="17" s="1" a="1"/>
  <c r="H357" i="17" s="1"/>
  <c r="Y16" i="17" s="1"/>
  <c r="H313" i="17" a="1"/>
  <c r="H313" i="17" s="1"/>
  <c r="Y5" i="17" s="1"/>
  <c r="U19" i="17"/>
  <c r="H281" i="17" a="1"/>
  <c r="H281" i="17" s="1"/>
  <c r="H280" i="17" a="1"/>
  <c r="H280" i="17" s="1"/>
  <c r="H279" i="17" a="1"/>
  <c r="H279" i="17" s="1"/>
  <c r="H277" i="17" a="1"/>
  <c r="H277" i="17" s="1"/>
  <c r="H278" i="17" a="1"/>
  <c r="H278" i="17" s="1"/>
  <c r="H286" i="17" a="1"/>
  <c r="H286" i="17" s="1"/>
  <c r="H288" i="17" a="1"/>
  <c r="H288" i="17" s="1"/>
  <c r="H287" i="17" a="1"/>
  <c r="H287" i="17" s="1"/>
  <c r="AI126" i="16"/>
  <c r="H316" i="17" a="1"/>
  <c r="H316" i="17" s="1"/>
  <c r="H315" i="17" a="1"/>
  <c r="H315" i="17" s="1"/>
  <c r="H314" i="17" a="1"/>
  <c r="H314" i="17" s="1"/>
  <c r="U20" i="17"/>
  <c r="H237" i="17" a="1"/>
  <c r="H237" i="17" s="1"/>
  <c r="H236" i="17" a="1"/>
  <c r="H236" i="17" s="1"/>
  <c r="H235" i="17" a="1"/>
  <c r="H235" i="17" s="1"/>
  <c r="H233" i="17" a="1"/>
  <c r="H233" i="17" s="1"/>
  <c r="H234" i="17" a="1"/>
  <c r="H234" i="17" s="1"/>
  <c r="H226" i="17" a="1"/>
  <c r="H226" i="17" s="1"/>
  <c r="H227" i="17" a="1"/>
  <c r="H227" i="17" s="1"/>
  <c r="H228" i="17" a="1"/>
  <c r="H228" i="17" s="1"/>
  <c r="H283" i="17" a="1"/>
  <c r="H283" i="17" s="1"/>
  <c r="H285" i="17" a="1"/>
  <c r="H285" i="17" s="1"/>
  <c r="H284" i="17" a="1"/>
  <c r="H284" i="17" s="1"/>
  <c r="H282" i="17" a="1"/>
  <c r="H282" i="17" s="1"/>
  <c r="U18" i="17"/>
  <c r="W9" i="17"/>
  <c r="W31" i="17" s="1"/>
  <c r="H597" i="17" s="1" a="1"/>
  <c r="H597" i="17" s="1"/>
  <c r="AI130" i="16"/>
  <c r="H330" i="17" a="1"/>
  <c r="H330" i="17" s="1"/>
  <c r="Y10" i="17" s="1"/>
  <c r="Y32" i="17" s="1"/>
  <c r="H614" i="17" s="1" a="1"/>
  <c r="H614" i="17" s="1"/>
  <c r="H331" i="17" a="1"/>
  <c r="H331" i="17" s="1"/>
  <c r="H332" i="17" a="1"/>
  <c r="H332" i="17" s="1"/>
  <c r="AI128" i="16"/>
  <c r="H325" i="17" a="1"/>
  <c r="H325" i="17" s="1"/>
  <c r="H321" i="17" a="1"/>
  <c r="H321" i="17" s="1"/>
  <c r="H324" i="17" a="1"/>
  <c r="H324" i="17" s="1"/>
  <c r="H323" i="17" a="1"/>
  <c r="H323" i="17" s="1"/>
  <c r="H322" i="17" a="1"/>
  <c r="H322" i="17" s="1"/>
  <c r="H275" i="17" a="1"/>
  <c r="H275" i="17" s="1"/>
  <c r="H274" i="17" a="1"/>
  <c r="H274" i="17" s="1"/>
  <c r="H273" i="17" a="1"/>
  <c r="H273" i="17" s="1"/>
  <c r="H276" i="17" a="1"/>
  <c r="H276" i="17" s="1"/>
  <c r="Y9" i="17" l="1"/>
  <c r="Y31" i="17" s="1"/>
  <c r="H613" i="17" s="1" a="1"/>
  <c r="H613" i="17" s="1"/>
  <c r="W21" i="17"/>
  <c r="Y6" i="17"/>
  <c r="Y28" i="17" s="1"/>
  <c r="H610" i="17" s="1" a="1"/>
  <c r="H610" i="17" s="1"/>
  <c r="W18" i="17"/>
  <c r="W20" i="17"/>
  <c r="H375" i="17" a="1"/>
  <c r="H375" i="17" s="1"/>
  <c r="H376" i="17" a="1"/>
  <c r="H376" i="17" s="1"/>
  <c r="H374" i="17" a="1"/>
  <c r="H374" i="17" s="1"/>
  <c r="H368" i="17" a="1"/>
  <c r="H368" i="17" s="1"/>
  <c r="H366" i="17" a="1"/>
  <c r="H366" i="17" s="1"/>
  <c r="H367" i="17" a="1"/>
  <c r="H367" i="17" s="1"/>
  <c r="H365" i="17" a="1"/>
  <c r="H365" i="17" s="1"/>
  <c r="H369" i="17" a="1"/>
  <c r="H369" i="17" s="1"/>
  <c r="W17" i="17"/>
  <c r="H370" i="17" a="1"/>
  <c r="H370" i="17" s="1"/>
  <c r="H372" i="17" a="1"/>
  <c r="H372" i="17" s="1"/>
  <c r="H373" i="17" a="1"/>
  <c r="H373" i="17" s="1"/>
  <c r="H371" i="17" a="1"/>
  <c r="H371" i="17" s="1"/>
  <c r="Y7" i="17"/>
  <c r="Y29" i="17" s="1"/>
  <c r="H611" i="17" s="1" a="1"/>
  <c r="H611" i="17" s="1"/>
  <c r="Y8" i="17"/>
  <c r="Y30" i="17" s="1"/>
  <c r="H612" i="17" s="1" a="1"/>
  <c r="H612" i="17" s="1"/>
  <c r="W19" i="17"/>
  <c r="H360" i="17" a="1"/>
  <c r="H360" i="17" s="1"/>
  <c r="H359" i="17" a="1"/>
  <c r="H359" i="17" s="1"/>
  <c r="H358" i="17" a="1"/>
  <c r="H358" i="17" s="1"/>
  <c r="Y27" i="17"/>
  <c r="H609" i="17" s="1" a="1"/>
  <c r="H609" i="17" s="1"/>
  <c r="H361" i="17" a="1"/>
  <c r="H361" i="17" s="1"/>
  <c r="H362" i="17" a="1"/>
  <c r="H362" i="17" s="1"/>
  <c r="H364" i="17" a="1"/>
  <c r="H364" i="17" s="1"/>
  <c r="H363" i="17" a="1"/>
  <c r="H363" i="17" s="1"/>
  <c r="Y21" i="17" l="1"/>
  <c r="Y17" i="17"/>
  <c r="Y20" i="17"/>
  <c r="Y19" i="17"/>
  <c r="Y18" i="17"/>
  <c r="Y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<sst xmlns="http://schemas.openxmlformats.org/spreadsheetml/2006/main" count="58545" uniqueCount="147">
  <si>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</si>
  <si>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</si>
  <si>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</si>
  <si>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</si>
  <si>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</si>
  <si>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</si>
  <si>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</si>
  <si>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</si>
  <si>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</si>
  <si>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</si>
  <si>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</si>
  <si>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</si>
  <si>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</si>
  <si>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</si>
  <si>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</si>
  <si>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</si>
  <si>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</si>
  <si>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</si>
  <si>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</si>
  <si>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</si>
  <si>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</si>
  <si>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</si>
  <si>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</si>
  <si>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</si>
  <si>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</si>
  <si>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</si>
  <si>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</si>
  <si>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</si>
  <si>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</si>
  <si>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</si>
  <si>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</si>
  <si>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</si>
  <si>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</si>
  <si>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</si>
  <si>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</si>
  <si>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</si>
  <si>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</si>
  <si>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</si>
  <si>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</si>
  <si>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</si>
  <si>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</si>
  <si>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</si>
  <si>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</si>
  <si>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</si>
  <si>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</si>
  <si>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</si>
  <si>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</si>
  <si>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</si>
  <si>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</si>
  <si>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</si>
  <si>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</si>
  <si>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</si>
  <si>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</si>
  <si>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</si>
  <si>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</si>
  <si>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</si>
  <si>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</si>
  <si>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</si>
  <si>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</si>
  <si>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</si>
  <si>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</si>
  <si>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</si>
  <si>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</si>
  <si>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</si>
  <si>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</si>
  <si>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</si>
  <si>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</si>
  <si>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</si>
  <si>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</si>
  <si>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</si>
  <si>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</si>
  <si>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</si>
  <si>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</si>
  <si>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</si>
  <si>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</si>
  <si>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</si>
  <si>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</si>
  <si>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</si>
  <si>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</si>
  <si>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MarinusSnowyYallourn</t>
  </si>
  <si>
    <t>Merchant EBIT Discounted</t>
  </si>
  <si>
    <t>Correlated MW Sold CFD</t>
  </si>
  <si>
    <t>Merchant Contribution Margin</t>
  </si>
  <si>
    <t>Merchant plus PPA Contribution Margin</t>
  </si>
  <si>
    <t>Merchant plus PPA plus Sold Swap Contribution Margin</t>
  </si>
  <si>
    <t>Fixed O&amp;M</t>
  </si>
  <si>
    <t>Capital Expenditure</t>
  </si>
  <si>
    <t>Terminal Value</t>
  </si>
  <si>
    <t>Merchant EBIT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</si>
  <si>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</si>
  <si>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</si>
  <si>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</si>
  <si>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</si>
  <si>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</si>
  <si>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</si>
  <si>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</si>
  <si>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</si>
  <si>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Cumulative</t>
  </si>
  <si>
    <t>Annual</t>
  </si>
  <si>
    <t>PPA CFD (Annual)</t>
  </si>
  <si>
    <t>Correlated MW Sold CFD (Annual)</t>
  </si>
  <si>
    <t>Non-Firming Contribution Margin (Annual)</t>
  </si>
  <si>
    <t>Static Data - Calculations ($)</t>
  </si>
  <si>
    <t>Static Data - Calculations ($/MWh)</t>
  </si>
  <si>
    <t>WACC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</si>
  <si>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</si>
  <si>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</si>
  <si>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</si>
  <si>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</si>
  <si>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</si>
  <si>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</si>
  <si>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</si>
  <si>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</si>
  <si>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</si>
  <si>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</si>
  <si>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</si>
  <si>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</si>
  <si>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</si>
  <si>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</si>
  <si>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</si>
  <si>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</si>
  <si>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</si>
  <si>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</si>
  <si>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</si>
  <si>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</si>
  <si>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</si>
  <si>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</si>
  <si>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</si>
  <si>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Fin Year (YE 30 Jun)</t>
  </si>
  <si>
    <t>SetUp</t>
  </si>
  <si>
    <t>Asset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</si>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</sst>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/>
    </xf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3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MarinusYallourn"/>
      <sheetName val="MarinusPortlandYalloun"/>
      <sheetName val="MarinusPortlandSnowy"/>
      <sheetName val="MarinusSnowyYallourn"/>
      <sheetName val="All"/>
      <sheetName val="SpotParameters"/>
      <sheetName val="SpotSensitivity"/>
      <sheetName val="Combo"/>
      <sheetName val="LGC"/>
    </sheetNames>
    <sheetDataSet>
      <sheetData sheetId="0"/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103.20125372926137</v>
          </cell>
          <cell r="M4">
            <v>101.3603811208465</v>
          </cell>
          <cell r="N4">
            <v>99.840585943842612</v>
          </cell>
          <cell r="O4">
            <v>115.17847046063382</v>
          </cell>
          <cell r="P4">
            <v>114.42525145759829</v>
          </cell>
          <cell r="Q4">
            <v>110.82802622655466</v>
          </cell>
          <cell r="R4">
            <v>123.58778372740916</v>
          </cell>
          <cell r="S4">
            <v>124.551184109834</v>
          </cell>
          <cell r="T4">
            <v>144.12376116078505</v>
          </cell>
          <cell r="U4">
            <v>136.71529013132604</v>
          </cell>
          <cell r="V4">
            <v>139.95458827246668</v>
          </cell>
          <cell r="W4">
            <v>146.17865813248724</v>
          </cell>
          <cell r="X4">
            <v>143.0565877909344</v>
          </cell>
          <cell r="Y4">
            <v>152.19966928206142</v>
          </cell>
          <cell r="Z4">
            <v>148.30791540851394</v>
          </cell>
          <cell r="BB4">
            <v>24.064397308113612</v>
          </cell>
          <cell r="BC4">
            <v>34.824210954398474</v>
          </cell>
          <cell r="BD4">
            <v>32.745468956196106</v>
          </cell>
          <cell r="BE4">
            <v>33.214349310556187</v>
          </cell>
          <cell r="BF4">
            <v>39.174250601805191</v>
          </cell>
          <cell r="BG4">
            <v>44.224580779242373</v>
          </cell>
          <cell r="BH4">
            <v>32.37940701740353</v>
          </cell>
          <cell r="BI4">
            <v>40.820160185173684</v>
          </cell>
          <cell r="BJ4">
            <v>40.568721661726833</v>
          </cell>
          <cell r="BK4">
            <v>51.357197298021077</v>
          </cell>
          <cell r="BL4">
            <v>46.800083254621399</v>
          </cell>
          <cell r="BM4">
            <v>54.503907565929872</v>
          </cell>
          <cell r="BN4">
            <v>54.941860142447666</v>
          </cell>
          <cell r="BO4">
            <v>64.761768196880752</v>
          </cell>
          <cell r="BP4">
            <v>65.307496171602978</v>
          </cell>
          <cell r="BQ4">
            <v>75.353244193562517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83.404452148850524</v>
          </cell>
          <cell r="M5">
            <v>83.2318179491254</v>
          </cell>
          <cell r="N5">
            <v>82.431244534612603</v>
          </cell>
          <cell r="O5">
            <v>92.992877390875705</v>
          </cell>
          <cell r="P5">
            <v>94.507339009094352</v>
          </cell>
          <cell r="Q5">
            <v>90.132478137960689</v>
          </cell>
          <cell r="R5">
            <v>96.517863838834344</v>
          </cell>
          <cell r="S5">
            <v>98.265490837931324</v>
          </cell>
          <cell r="T5">
            <v>116.39902180967762</v>
          </cell>
          <cell r="U5">
            <v>109.75118885143829</v>
          </cell>
          <cell r="V5">
            <v>116.35159861025005</v>
          </cell>
          <cell r="W5">
            <v>119.90165786197046</v>
          </cell>
          <cell r="X5">
            <v>118.83629395779208</v>
          </cell>
          <cell r="Y5">
            <v>125.9233810482353</v>
          </cell>
          <cell r="Z5">
            <v>125.71009111492634</v>
          </cell>
          <cell r="BB5">
            <v>10.781204701455694</v>
          </cell>
          <cell r="BC5">
            <v>14.789384980725577</v>
          </cell>
          <cell r="BD5">
            <v>15.38170295604737</v>
          </cell>
          <cell r="BE5">
            <v>15.702339618086462</v>
          </cell>
          <cell r="BF5">
            <v>18.654348148996103</v>
          </cell>
          <cell r="BG5">
            <v>18.514103246504654</v>
          </cell>
          <cell r="BH5">
            <v>17.286831388484543</v>
          </cell>
          <cell r="BI5">
            <v>19.619941061640802</v>
          </cell>
          <cell r="BJ5">
            <v>19.324064507152777</v>
          </cell>
          <cell r="BK5">
            <v>24.35591463722243</v>
          </cell>
          <cell r="BL5">
            <v>23.303643947636985</v>
          </cell>
          <cell r="BM5">
            <v>27.364688515657299</v>
          </cell>
          <cell r="BN5">
            <v>30.180227907890245</v>
          </cell>
          <cell r="BO5">
            <v>35.733943772774033</v>
          </cell>
          <cell r="BP5">
            <v>39.76689384930291</v>
          </cell>
          <cell r="BQ5">
            <v>42.816183070379275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74.844742209256111</v>
          </cell>
          <cell r="M6">
            <v>75.027625953375448</v>
          </cell>
          <cell r="N6">
            <v>74.481455680875726</v>
          </cell>
          <cell r="O6">
            <v>83.083039572958768</v>
          </cell>
          <cell r="P6">
            <v>84.571145753239904</v>
          </cell>
          <cell r="Q6">
            <v>80.81532053947663</v>
          </cell>
          <cell r="R6">
            <v>85.993977003669272</v>
          </cell>
          <cell r="S6">
            <v>87.493699735191385</v>
          </cell>
          <cell r="T6">
            <v>102.38322069711126</v>
          </cell>
          <cell r="U6">
            <v>97.284265217620884</v>
          </cell>
          <cell r="V6">
            <v>104.99389118503406</v>
          </cell>
          <cell r="W6">
            <v>110.34978707515255</v>
          </cell>
          <cell r="X6">
            <v>110.91877399329306</v>
          </cell>
          <cell r="Y6">
            <v>120.27585447835565</v>
          </cell>
          <cell r="Z6">
            <v>119.89125188177053</v>
          </cell>
          <cell r="BB6">
            <v>4.605302661421133</v>
          </cell>
          <cell r="BC6">
            <v>6.331291369721793</v>
          </cell>
          <cell r="BD6">
            <v>6.6280700642255113</v>
          </cell>
          <cell r="BE6">
            <v>6.4164788082402886</v>
          </cell>
          <cell r="BF6">
            <v>8.0001921957737139</v>
          </cell>
          <cell r="BG6">
            <v>8.1314787239444151</v>
          </cell>
          <cell r="BH6">
            <v>7.4609897719116134</v>
          </cell>
          <cell r="BI6">
            <v>8.0727494592541831</v>
          </cell>
          <cell r="BJ6">
            <v>8.4411136595581162</v>
          </cell>
          <cell r="BK6">
            <v>10.559718888574611</v>
          </cell>
          <cell r="BL6">
            <v>9.8084740439880562</v>
          </cell>
          <cell r="BM6">
            <v>11.60634136828779</v>
          </cell>
          <cell r="BN6">
            <v>12.454215603010216</v>
          </cell>
          <cell r="BO6">
            <v>13.744408902622265</v>
          </cell>
          <cell r="BP6">
            <v>15.693745662565174</v>
          </cell>
          <cell r="BQ6">
            <v>16.55169289027716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68.878499721480097</v>
          </cell>
          <cell r="M7">
            <v>69.193926926811045</v>
          </cell>
          <cell r="N7">
            <v>68.782884206896</v>
          </cell>
          <cell r="O7">
            <v>75.815790014731959</v>
          </cell>
          <cell r="P7">
            <v>77.141592516616072</v>
          </cell>
          <cell r="Q7">
            <v>74.26893616567753</v>
          </cell>
          <cell r="R7">
            <v>78.621128122891889</v>
          </cell>
          <cell r="S7">
            <v>79.710566841269696</v>
          </cell>
          <cell r="T7">
            <v>92.4049291393479</v>
          </cell>
          <cell r="U7">
            <v>88.04168799495568</v>
          </cell>
          <cell r="V7">
            <v>95.842030059129769</v>
          </cell>
          <cell r="W7">
            <v>101.64220219289028</v>
          </cell>
          <cell r="X7">
            <v>103.5077336713605</v>
          </cell>
          <cell r="Y7">
            <v>113.50177839509435</v>
          </cell>
          <cell r="Z7">
            <v>112.78886700557163</v>
          </cell>
          <cell r="BB7">
            <v>3.0182943055123701E-4</v>
          </cell>
          <cell r="BC7">
            <v>0</v>
          </cell>
          <cell r="BD7">
            <v>-3.5527136788005009E-15</v>
          </cell>
          <cell r="BE7">
            <v>-7.1054273576010019E-15</v>
          </cell>
          <cell r="BF7">
            <v>6.183405575426093E-2</v>
          </cell>
          <cell r="BG7">
            <v>2.6350874604375463E-2</v>
          </cell>
          <cell r="BH7">
            <v>-6.3235425946011503E-2</v>
          </cell>
          <cell r="BI7">
            <v>-0.16172332171846193</v>
          </cell>
          <cell r="BJ7">
            <v>-0.2162227677004438</v>
          </cell>
          <cell r="BK7">
            <v>-5.7494655556688201E-2</v>
          </cell>
          <cell r="BL7">
            <v>-4.4445157591006534E-2</v>
          </cell>
          <cell r="BM7">
            <v>7.9439924244439908E-3</v>
          </cell>
          <cell r="BN7">
            <v>-0.33925228045757194</v>
          </cell>
          <cell r="BO7">
            <v>-0.31255972248131059</v>
          </cell>
          <cell r="BP7">
            <v>-8.7156185669989839E-2</v>
          </cell>
          <cell r="BQ7">
            <v>-0.40384641676492805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63.585560856044047</v>
          </cell>
          <cell r="M8">
            <v>63.841334665088084</v>
          </cell>
          <cell r="N8">
            <v>63.366355956175866</v>
          </cell>
          <cell r="O8">
            <v>69.182381157861059</v>
          </cell>
          <cell r="P8">
            <v>70.508665827050862</v>
          </cell>
          <cell r="Q8">
            <v>67.794082146519585</v>
          </cell>
          <cell r="R8">
            <v>71.706449398762942</v>
          </cell>
          <cell r="S8">
            <v>72.518639399865236</v>
          </cell>
          <cell r="T8">
            <v>83.532963055401723</v>
          </cell>
          <cell r="U8">
            <v>79.50538547597526</v>
          </cell>
          <cell r="V8">
            <v>85.137406043662622</v>
          </cell>
          <cell r="W8">
            <v>89.436256493323938</v>
          </cell>
          <cell r="X8">
            <v>88.922483819132594</v>
          </cell>
          <cell r="Y8">
            <v>96.106182591201218</v>
          </cell>
          <cell r="Z8">
            <v>94.210773620533828</v>
          </cell>
          <cell r="BB8">
            <v>-5.1885847431415577</v>
          </cell>
          <cell r="BC8">
            <v>-7.2027770480994064</v>
          </cell>
          <cell r="BD8">
            <v>-6.7772630564819245</v>
          </cell>
          <cell r="BE8">
            <v>-6.5667118317594024</v>
          </cell>
          <cell r="BF8">
            <v>-8.3956532594818505</v>
          </cell>
          <cell r="BG8">
            <v>-8.4603023528879149</v>
          </cell>
          <cell r="BH8">
            <v>-7.7299191556004203</v>
          </cell>
          <cell r="BI8">
            <v>-9.0723304976551269</v>
          </cell>
          <cell r="BJ8">
            <v>-9.4962908796269119</v>
          </cell>
          <cell r="BK8">
            <v>-11.336212990157904</v>
          </cell>
          <cell r="BL8">
            <v>-11.124832716583526</v>
          </cell>
          <cell r="BM8">
            <v>-11.282454125896443</v>
          </cell>
          <cell r="BN8">
            <v>-10.977855250899736</v>
          </cell>
          <cell r="BO8">
            <v>-10.09182650327363</v>
          </cell>
          <cell r="BP8">
            <v>-9.4169390573055303</v>
          </cell>
          <cell r="BQ8">
            <v>-10.464403695783343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57.287346442576968</v>
          </cell>
          <cell r="M9">
            <v>57.450275978970815</v>
          </cell>
          <cell r="N9">
            <v>56.685436110959607</v>
          </cell>
          <cell r="O9">
            <v>61.44657215457412</v>
          </cell>
          <cell r="P9">
            <v>62.828103570646277</v>
          </cell>
          <cell r="Q9">
            <v>60.107173109873777</v>
          </cell>
          <cell r="R9">
            <v>62.962068660174566</v>
          </cell>
          <cell r="S9">
            <v>63.65853578407868</v>
          </cell>
          <cell r="T9">
            <v>73.473386706654338</v>
          </cell>
          <cell r="U9">
            <v>69.397237251152802</v>
          </cell>
          <cell r="V9">
            <v>72.342033524442314</v>
          </cell>
          <cell r="W9">
            <v>73.442603059100165</v>
          </cell>
          <cell r="X9">
            <v>68.502773245956362</v>
          </cell>
          <cell r="Y9">
            <v>72.53235554189763</v>
          </cell>
          <cell r="Z9">
            <v>68.963483348104319</v>
          </cell>
          <cell r="BB9">
            <v>-12.801640963837713</v>
          </cell>
          <cell r="BC9">
            <v>-17.558054301490856</v>
          </cell>
          <cell r="BD9">
            <v>-16.908445100988182</v>
          </cell>
          <cell r="BE9">
            <v>-16.29695605078745</v>
          </cell>
          <cell r="BF9">
            <v>-20.864861723321599</v>
          </cell>
          <cell r="BG9">
            <v>-20.927181877876102</v>
          </cell>
          <cell r="BH9">
            <v>-18.996444309674146</v>
          </cell>
          <cell r="BI9">
            <v>-21.748537489527674</v>
          </cell>
          <cell r="BJ9">
            <v>-22.771677476694503</v>
          </cell>
          <cell r="BK9">
            <v>-28.808528165914435</v>
          </cell>
          <cell r="BL9">
            <v>-27.049793847719815</v>
          </cell>
          <cell r="BM9">
            <v>-26.219311313458832</v>
          </cell>
          <cell r="BN9">
            <v>-24.493641969354233</v>
          </cell>
          <cell r="BO9">
            <v>-21.894130632941955</v>
          </cell>
          <cell r="BP9">
            <v>-18.963122702035388</v>
          </cell>
          <cell r="BQ9">
            <v>-20.782079094533341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45.090946302070847</v>
          </cell>
          <cell r="M10">
            <v>45.83605871503331</v>
          </cell>
          <cell r="N10">
            <v>46.785191426574286</v>
          </cell>
          <cell r="O10">
            <v>47.980385179476428</v>
          </cell>
          <cell r="P10">
            <v>49.501298215759235</v>
          </cell>
          <cell r="Q10">
            <v>47.00290701572532</v>
          </cell>
          <cell r="R10">
            <v>45.47752484287146</v>
          </cell>
          <cell r="S10">
            <v>50.686042810420602</v>
          </cell>
          <cell r="T10">
            <v>58.248153280334009</v>
          </cell>
          <cell r="U10">
            <v>56.805586332599887</v>
          </cell>
          <cell r="V10">
            <v>56.225823947780647</v>
          </cell>
          <cell r="W10">
            <v>58.51421940866603</v>
          </cell>
          <cell r="X10">
            <v>54.472232492818833</v>
          </cell>
          <cell r="Y10">
            <v>56.76023106043624</v>
          </cell>
          <cell r="Z10">
            <v>52.326394343259331</v>
          </cell>
          <cell r="BB10">
            <v>-30.055145199297023</v>
          </cell>
          <cell r="BC10">
            <v>-45.408315085106345</v>
          </cell>
          <cell r="BD10">
            <v>-33.946503329341738</v>
          </cell>
          <cell r="BE10">
            <v>-44.122657542284799</v>
          </cell>
          <cell r="BF10">
            <v>-47.651908053983256</v>
          </cell>
          <cell r="BG10">
            <v>-53.624244201966384</v>
          </cell>
          <cell r="BH10">
            <v>-42.008745300183804</v>
          </cell>
          <cell r="BI10">
            <v>-54.367756594731134</v>
          </cell>
          <cell r="BJ10">
            <v>-54.207993741680099</v>
          </cell>
          <cell r="BK10">
            <v>-63.015767470699245</v>
          </cell>
          <cell r="BL10">
            <v>-68.795412198626039</v>
          </cell>
          <cell r="BM10">
            <v>-51.55544368490915</v>
          </cell>
          <cell r="BN10">
            <v>-55.43572605446326</v>
          </cell>
          <cell r="BO10">
            <v>-53.86140268053579</v>
          </cell>
          <cell r="BP10">
            <v>-45.815053756992654</v>
          </cell>
          <cell r="BQ10">
            <v>-54.476169335664707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69.489138924098683</v>
          </cell>
          <cell r="M11">
            <v>69.624151600726478</v>
          </cell>
          <cell r="N11">
            <v>69.115572104379211</v>
          </cell>
          <cell r="O11">
            <v>76.399532236391153</v>
          </cell>
          <cell r="P11">
            <v>77.786516392842017</v>
          </cell>
          <cell r="Q11">
            <v>74.560958941318191</v>
          </cell>
          <cell r="R11">
            <v>79.073890209028065</v>
          </cell>
          <cell r="S11">
            <v>80.250794909308169</v>
          </cell>
          <cell r="T11">
            <v>93.340341683364073</v>
          </cell>
          <cell r="U11">
            <v>88.609630109184195</v>
          </cell>
          <cell r="V11">
            <v>95.129015026587695</v>
          </cell>
          <cell r="W11">
            <v>99.530934082463006</v>
          </cell>
          <cell r="X11">
            <v>99.240647545118065</v>
          </cell>
          <cell r="Y11">
            <v>107.2342475686732</v>
          </cell>
          <cell r="Z11">
            <v>105.95713852593802</v>
          </cell>
          <cell r="BB11">
            <v>-0.39985770535543019</v>
          </cell>
          <cell r="BC11">
            <v>-0.57044308373977071</v>
          </cell>
          <cell r="BD11">
            <v>-0.29307349001254862</v>
          </cell>
          <cell r="BE11">
            <v>-0.13335664060592062</v>
          </cell>
          <cell r="BF11">
            <v>-0.39338176571961864</v>
          </cell>
          <cell r="BG11">
            <v>-0.44289048017038196</v>
          </cell>
          <cell r="BH11">
            <v>-0.33517402769128668</v>
          </cell>
          <cell r="BI11">
            <v>-0.55423948240251353</v>
          </cell>
          <cell r="BJ11">
            <v>-0.71435737693724044</v>
          </cell>
          <cell r="BK11">
            <v>-0.78120621288520187</v>
          </cell>
          <cell r="BL11">
            <v>-0.83789467994384237</v>
          </cell>
          <cell r="BM11">
            <v>0.26484655680979213</v>
          </cell>
          <cell r="BN11">
            <v>1.0245664980603584</v>
          </cell>
          <cell r="BO11">
            <v>2.6277812181610907</v>
          </cell>
          <cell r="BP11">
            <v>4.27771657775184</v>
          </cell>
          <cell r="BQ11">
            <v>4.364092380472802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G9" sqref="G9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[1]MarinusSnowyYallourn!I4</f>
        <v>101.20804817049437</v>
      </c>
      <c r="D5" s="4">
        <f>[1]MarinusSnowyYallourn!J4</f>
        <v>83.023484925253172</v>
      </c>
      <c r="E5" s="4">
        <f>[1]MarinusSnowyYallourn!K4</f>
        <v>85.672877689445514</v>
      </c>
      <c r="F5" s="4">
        <f>[1]MarinusSnowyYallourn!L4</f>
        <v>103.20125372926137</v>
      </c>
      <c r="G5" s="4">
        <f>[1]MarinusSnowyYallourn!M4</f>
        <v>101.3603811208465</v>
      </c>
      <c r="H5" s="4">
        <f>[1]MarinusSnowyYallourn!N4</f>
        <v>99.840585943842612</v>
      </c>
      <c r="I5" s="4">
        <f>[1]MarinusSnowyYallourn!O4</f>
        <v>115.17847046063382</v>
      </c>
      <c r="J5" s="4">
        <f>[1]MarinusSnowyYallourn!P4</f>
        <v>114.42525145759829</v>
      </c>
      <c r="K5" s="4">
        <f>[1]MarinusSnowyYallourn!Q4</f>
        <v>110.82802622655466</v>
      </c>
      <c r="L5" s="4">
        <f>[1]MarinusSnowyYallourn!R4</f>
        <v>123.58778372740916</v>
      </c>
      <c r="M5" s="4">
        <f>[1]MarinusSnowyYallourn!S4</f>
        <v>124.551184109834</v>
      </c>
      <c r="N5" s="4">
        <f>[1]MarinusSnowyYallourn!T4</f>
        <v>144.12376116078505</v>
      </c>
      <c r="O5" s="4">
        <f>[1]MarinusSnowyYallourn!U4</f>
        <v>136.71529013132604</v>
      </c>
      <c r="P5" s="4">
        <f>[1]MarinusSnowyYallourn!V4</f>
        <v>139.95458827246668</v>
      </c>
      <c r="Q5" s="4">
        <f>[1]MarinusSnowyYallourn!W4</f>
        <v>146.17865813248724</v>
      </c>
      <c r="R5" s="4">
        <f>[1]MarinusSnowyYallourn!X4</f>
        <v>143.0565877909344</v>
      </c>
      <c r="S5" s="4">
        <f>[1]MarinusSnowyYallourn!Y4</f>
        <v>152.19966928206142</v>
      </c>
      <c r="T5" s="4">
        <f>[1]MarinusSnowyYallourn!Z4</f>
        <v>148.30791540851394</v>
      </c>
    </row>
    <row r="6" spans="2:20" x14ac:dyDescent="0.3">
      <c r="B6" s="3">
        <v>0.95</v>
      </c>
      <c r="C6" s="4">
        <f>[1]MarinusSnowyYallourn!I5</f>
        <v>81.430062874837049</v>
      </c>
      <c r="D6" s="4">
        <f>[1]MarinusSnowyYallourn!J5</f>
        <v>68.049935234829817</v>
      </c>
      <c r="E6" s="4">
        <f>[1]MarinusSnowyYallourn!K5</f>
        <v>65.70011638525429</v>
      </c>
      <c r="F6" s="4">
        <f>[1]MarinusSnowyYallourn!L5</f>
        <v>83.404452148850524</v>
      </c>
      <c r="G6" s="4">
        <f>[1]MarinusSnowyYallourn!M5</f>
        <v>83.2318179491254</v>
      </c>
      <c r="H6" s="4">
        <f>[1]MarinusSnowyYallourn!N5</f>
        <v>82.431244534612603</v>
      </c>
      <c r="I6" s="4">
        <f>[1]MarinusSnowyYallourn!O5</f>
        <v>92.992877390875705</v>
      </c>
      <c r="J6" s="4">
        <f>[1]MarinusSnowyYallourn!P5</f>
        <v>94.507339009094352</v>
      </c>
      <c r="K6" s="4">
        <f>[1]MarinusSnowyYallourn!Q5</f>
        <v>90.132478137960689</v>
      </c>
      <c r="L6" s="4">
        <f>[1]MarinusSnowyYallourn!R5</f>
        <v>96.517863838834344</v>
      </c>
      <c r="M6" s="4">
        <f>[1]MarinusSnowyYallourn!S5</f>
        <v>98.265490837931324</v>
      </c>
      <c r="N6" s="4">
        <f>[1]MarinusSnowyYallourn!T5</f>
        <v>116.39902180967762</v>
      </c>
      <c r="O6" s="4">
        <f>[1]MarinusSnowyYallourn!U5</f>
        <v>109.75118885143829</v>
      </c>
      <c r="P6" s="4">
        <f>[1]MarinusSnowyYallourn!V5</f>
        <v>116.35159861025005</v>
      </c>
      <c r="Q6" s="4">
        <f>[1]MarinusSnowyYallourn!W5</f>
        <v>119.90165786197046</v>
      </c>
      <c r="R6" s="4">
        <f>[1]MarinusSnowyYallourn!X5</f>
        <v>118.83629395779208</v>
      </c>
      <c r="S6" s="4">
        <f>[1]MarinusSnowyYallourn!Y5</f>
        <v>125.9233810482353</v>
      </c>
      <c r="T6" s="4">
        <f>[1]MarinusSnowyYallourn!Z5</f>
        <v>125.71009111492634</v>
      </c>
    </row>
    <row r="7" spans="2:20" x14ac:dyDescent="0.3">
      <c r="B7" s="5">
        <v>0.75</v>
      </c>
      <c r="C7" s="6">
        <f>[1]MarinusSnowyYallourn!I6</f>
        <v>73.128478817265346</v>
      </c>
      <c r="D7" s="6">
        <f>[1]MarinusSnowyYallourn!J6</f>
        <v>61.346919962387943</v>
      </c>
      <c r="E7" s="6">
        <f>[1]MarinusSnowyYallourn!K6</f>
        <v>59.3000685359588</v>
      </c>
      <c r="F7" s="6">
        <f>[1]MarinusSnowyYallourn!L6</f>
        <v>74.844742209256111</v>
      </c>
      <c r="G7" s="6">
        <f>[1]MarinusSnowyYallourn!M6</f>
        <v>75.027625953375448</v>
      </c>
      <c r="H7" s="6">
        <f>[1]MarinusSnowyYallourn!N6</f>
        <v>74.481455680875726</v>
      </c>
      <c r="I7" s="6">
        <f>[1]MarinusSnowyYallourn!O6</f>
        <v>83.083039572958768</v>
      </c>
      <c r="J7" s="6">
        <f>[1]MarinusSnowyYallourn!P6</f>
        <v>84.571145753239904</v>
      </c>
      <c r="K7" s="6">
        <f>[1]MarinusSnowyYallourn!Q6</f>
        <v>80.81532053947663</v>
      </c>
      <c r="L7" s="6">
        <f>[1]MarinusSnowyYallourn!R6</f>
        <v>85.993977003669272</v>
      </c>
      <c r="M7" s="6">
        <f>[1]MarinusSnowyYallourn!S6</f>
        <v>87.493699735191385</v>
      </c>
      <c r="N7" s="6">
        <f>[1]MarinusSnowyYallourn!T6</f>
        <v>102.38322069711126</v>
      </c>
      <c r="O7" s="6">
        <f>[1]MarinusSnowyYallourn!U6</f>
        <v>97.284265217620884</v>
      </c>
      <c r="P7" s="6">
        <f>[1]MarinusSnowyYallourn!V6</f>
        <v>104.99389118503406</v>
      </c>
      <c r="Q7" s="6">
        <f>[1]MarinusSnowyYallourn!W6</f>
        <v>110.34978707515255</v>
      </c>
      <c r="R7" s="6">
        <f>[1]MarinusSnowyYallourn!X6</f>
        <v>110.91877399329306</v>
      </c>
      <c r="S7" s="6">
        <f>[1]MarinusSnowyYallourn!Y6</f>
        <v>120.27585447835565</v>
      </c>
      <c r="T7" s="6">
        <f>[1]MarinusSnowyYallourn!Z6</f>
        <v>119.89125188177053</v>
      </c>
    </row>
    <row r="8" spans="2:20" x14ac:dyDescent="0.3">
      <c r="B8" s="7">
        <v>0.5</v>
      </c>
      <c r="C8" s="8">
        <f>[1]MarinusSnowyYallourn!I7</f>
        <v>68.773225129745057</v>
      </c>
      <c r="D8" s="8">
        <f>[1]MarinusSnowyYallourn!J7</f>
        <v>57.016264727537141</v>
      </c>
      <c r="E8" s="8">
        <f>[1]MarinusSnowyYallourn!K7</f>
        <v>55.087489005463155</v>
      </c>
      <c r="F8" s="8">
        <f>[1]MarinusSnowyYallourn!L7</f>
        <v>68.878499721480097</v>
      </c>
      <c r="G8" s="8">
        <f>[1]MarinusSnowyYallourn!M7</f>
        <v>69.193926926811045</v>
      </c>
      <c r="H8" s="8">
        <f>[1]MarinusSnowyYallourn!N7</f>
        <v>68.782884206896</v>
      </c>
      <c r="I8" s="8">
        <f>[1]MarinusSnowyYallourn!O7</f>
        <v>75.815790014731959</v>
      </c>
      <c r="J8" s="8">
        <f>[1]MarinusSnowyYallourn!P7</f>
        <v>77.141592516616072</v>
      </c>
      <c r="K8" s="8">
        <f>[1]MarinusSnowyYallourn!Q7</f>
        <v>74.26893616567753</v>
      </c>
      <c r="L8" s="8">
        <f>[1]MarinusSnowyYallourn!R7</f>
        <v>78.621128122891889</v>
      </c>
      <c r="M8" s="8">
        <f>[1]MarinusSnowyYallourn!S7</f>
        <v>79.710566841269696</v>
      </c>
      <c r="N8" s="8">
        <f>[1]MarinusSnowyYallourn!T7</f>
        <v>92.4049291393479</v>
      </c>
      <c r="O8" s="8">
        <f>[1]MarinusSnowyYallourn!U7</f>
        <v>88.04168799495568</v>
      </c>
      <c r="P8" s="8">
        <f>[1]MarinusSnowyYallourn!V7</f>
        <v>95.842030059129769</v>
      </c>
      <c r="Q8" s="8">
        <f>[1]MarinusSnowyYallourn!W7</f>
        <v>101.64220219289028</v>
      </c>
      <c r="R8" s="8">
        <f>[1]MarinusSnowyYallourn!X7</f>
        <v>103.5077336713605</v>
      </c>
      <c r="S8" s="8">
        <f>[1]MarinusSnowyYallourn!Y7</f>
        <v>113.50177839509435</v>
      </c>
      <c r="T8" s="8">
        <f>[1]MarinusSnowyYallourn!Z7</f>
        <v>112.78886700557163</v>
      </c>
    </row>
    <row r="9" spans="2:20" x14ac:dyDescent="0.3">
      <c r="B9" s="5">
        <v>0.25</v>
      </c>
      <c r="C9" s="6">
        <f>[1]MarinusSnowyYallourn!I8</f>
        <v>64.943146414702241</v>
      </c>
      <c r="D9" s="6">
        <f>[1]MarinusSnowyYallourn!J8</f>
        <v>52.99948536162961</v>
      </c>
      <c r="E9" s="6">
        <f>[1]MarinusSnowyYallourn!K8</f>
        <v>51.194895829640373</v>
      </c>
      <c r="F9" s="6">
        <f>[1]MarinusSnowyYallourn!L8</f>
        <v>63.585560856044047</v>
      </c>
      <c r="G9" s="6">
        <f>[1]MarinusSnowyYallourn!M8</f>
        <v>63.841334665088084</v>
      </c>
      <c r="H9" s="6">
        <f>[1]MarinusSnowyYallourn!N8</f>
        <v>63.366355956175866</v>
      </c>
      <c r="I9" s="6">
        <f>[1]MarinusSnowyYallourn!O8</f>
        <v>69.182381157861059</v>
      </c>
      <c r="J9" s="6">
        <f>[1]MarinusSnowyYallourn!P8</f>
        <v>70.508665827050862</v>
      </c>
      <c r="K9" s="6">
        <f>[1]MarinusSnowyYallourn!Q8</f>
        <v>67.794082146519585</v>
      </c>
      <c r="L9" s="6">
        <f>[1]MarinusSnowyYallourn!R8</f>
        <v>71.706449398762942</v>
      </c>
      <c r="M9" s="6">
        <f>[1]MarinusSnowyYallourn!S8</f>
        <v>72.518639399865236</v>
      </c>
      <c r="N9" s="6">
        <f>[1]MarinusSnowyYallourn!T8</f>
        <v>83.532963055401723</v>
      </c>
      <c r="O9" s="6">
        <f>[1]MarinusSnowyYallourn!U8</f>
        <v>79.50538547597526</v>
      </c>
      <c r="P9" s="6">
        <f>[1]MarinusSnowyYallourn!V8</f>
        <v>85.137406043662622</v>
      </c>
      <c r="Q9" s="6">
        <f>[1]MarinusSnowyYallourn!W8</f>
        <v>89.436256493323938</v>
      </c>
      <c r="R9" s="6">
        <f>[1]MarinusSnowyYallourn!X8</f>
        <v>88.922483819132594</v>
      </c>
      <c r="S9" s="6">
        <f>[1]MarinusSnowyYallourn!Y8</f>
        <v>96.106182591201218</v>
      </c>
      <c r="T9" s="6">
        <f>[1]MarinusSnowyYallourn!Z8</f>
        <v>94.210773620533828</v>
      </c>
    </row>
    <row r="10" spans="2:20" x14ac:dyDescent="0.3">
      <c r="B10" s="3">
        <v>0.05</v>
      </c>
      <c r="C10" s="4">
        <f>[1]MarinusSnowyYallourn!I9</f>
        <v>59.230195861869291</v>
      </c>
      <c r="D10" s="4">
        <f>[1]MarinusSnowyYallourn!J9</f>
        <v>47.832877911962399</v>
      </c>
      <c r="E10" s="4">
        <f>[1]MarinusSnowyYallourn!K9</f>
        <v>46.211916426806496</v>
      </c>
      <c r="F10" s="4">
        <f>[1]MarinusSnowyYallourn!L9</f>
        <v>57.287346442576968</v>
      </c>
      <c r="G10" s="4">
        <f>[1]MarinusSnowyYallourn!M9</f>
        <v>57.450275978970815</v>
      </c>
      <c r="H10" s="4">
        <f>[1]MarinusSnowyYallourn!N9</f>
        <v>56.685436110959607</v>
      </c>
      <c r="I10" s="4">
        <f>[1]MarinusSnowyYallourn!O9</f>
        <v>61.44657215457412</v>
      </c>
      <c r="J10" s="4">
        <f>[1]MarinusSnowyYallourn!P9</f>
        <v>62.828103570646277</v>
      </c>
      <c r="K10" s="4">
        <f>[1]MarinusSnowyYallourn!Q9</f>
        <v>60.107173109873777</v>
      </c>
      <c r="L10" s="4">
        <f>[1]MarinusSnowyYallourn!R9</f>
        <v>62.962068660174566</v>
      </c>
      <c r="M10" s="4">
        <f>[1]MarinusSnowyYallourn!S9</f>
        <v>63.65853578407868</v>
      </c>
      <c r="N10" s="4">
        <f>[1]MarinusSnowyYallourn!T9</f>
        <v>73.473386706654338</v>
      </c>
      <c r="O10" s="4">
        <f>[1]MarinusSnowyYallourn!U9</f>
        <v>69.397237251152802</v>
      </c>
      <c r="P10" s="4">
        <f>[1]MarinusSnowyYallourn!V9</f>
        <v>72.342033524442314</v>
      </c>
      <c r="Q10" s="4">
        <f>[1]MarinusSnowyYallourn!W9</f>
        <v>73.442603059100165</v>
      </c>
      <c r="R10" s="4">
        <f>[1]MarinusSnowyYallourn!X9</f>
        <v>68.502773245956362</v>
      </c>
      <c r="S10" s="4">
        <f>[1]MarinusSnowyYallourn!Y9</f>
        <v>72.53235554189763</v>
      </c>
      <c r="T10" s="4">
        <f>[1]MarinusSnowyYallourn!Z9</f>
        <v>68.963483348104319</v>
      </c>
    </row>
    <row r="11" spans="2:20" x14ac:dyDescent="0.3">
      <c r="B11" s="3">
        <v>0</v>
      </c>
      <c r="C11" s="4">
        <f>[1]MarinusSnowyYallourn!I10</f>
        <v>46.440214040396192</v>
      </c>
      <c r="D11" s="4">
        <f>[1]MarinusSnowyYallourn!J10</f>
        <v>38.78032319460722</v>
      </c>
      <c r="E11" s="4">
        <f>[1]MarinusSnowyYallourn!K10</f>
        <v>37.38873755368855</v>
      </c>
      <c r="F11" s="4">
        <f>[1]MarinusSnowyYallourn!L10</f>
        <v>45.090946302070847</v>
      </c>
      <c r="G11" s="4">
        <f>[1]MarinusSnowyYallourn!M10</f>
        <v>45.83605871503331</v>
      </c>
      <c r="H11" s="4">
        <f>[1]MarinusSnowyYallourn!N10</f>
        <v>46.785191426574286</v>
      </c>
      <c r="I11" s="4">
        <f>[1]MarinusSnowyYallourn!O10</f>
        <v>47.980385179476428</v>
      </c>
      <c r="J11" s="4">
        <f>[1]MarinusSnowyYallourn!P10</f>
        <v>49.501298215759235</v>
      </c>
      <c r="K11" s="4">
        <f>[1]MarinusSnowyYallourn!Q10</f>
        <v>47.00290701572532</v>
      </c>
      <c r="L11" s="4">
        <f>[1]MarinusSnowyYallourn!R10</f>
        <v>45.47752484287146</v>
      </c>
      <c r="M11" s="4">
        <f>[1]MarinusSnowyYallourn!S10</f>
        <v>50.686042810420602</v>
      </c>
      <c r="N11" s="4">
        <f>[1]MarinusSnowyYallourn!T10</f>
        <v>58.248153280334009</v>
      </c>
      <c r="O11" s="4">
        <f>[1]MarinusSnowyYallourn!U10</f>
        <v>56.805586332599887</v>
      </c>
      <c r="P11" s="4">
        <f>[1]MarinusSnowyYallourn!V10</f>
        <v>56.225823947780647</v>
      </c>
      <c r="Q11" s="4">
        <f>[1]MarinusSnowyYallourn!W10</f>
        <v>58.51421940866603</v>
      </c>
      <c r="R11" s="4">
        <f>[1]MarinusSnowyYallourn!X10</f>
        <v>54.472232492818833</v>
      </c>
      <c r="S11" s="4">
        <f>[1]MarinusSnowyYallourn!Y10</f>
        <v>56.76023106043624</v>
      </c>
      <c r="T11" s="4">
        <f>[1]MarinusSnowyYallourn!Z10</f>
        <v>52.326394343259331</v>
      </c>
    </row>
    <row r="12" spans="2:20" x14ac:dyDescent="0.3">
      <c r="B12" s="9" t="s">
        <v>19</v>
      </c>
      <c r="C12" s="6">
        <f>[1]MarinusSnowyYallourn!I11</f>
        <v>69.328048122688358</v>
      </c>
      <c r="D12" s="6">
        <f>[1]MarinusSnowyYallourn!J11</f>
        <v>57.373235474775356</v>
      </c>
      <c r="E12" s="6">
        <f>[1]MarinusSnowyYallourn!K11</f>
        <v>55.448094987366595</v>
      </c>
      <c r="F12" s="6">
        <f>[1]MarinusSnowyYallourn!L11</f>
        <v>69.489138924098683</v>
      </c>
      <c r="G12" s="6">
        <f>[1]MarinusSnowyYallourn!M11</f>
        <v>69.624151600726478</v>
      </c>
      <c r="H12" s="6">
        <f>[1]MarinusSnowyYallourn!N11</f>
        <v>69.115572104379211</v>
      </c>
      <c r="I12" s="6">
        <f>[1]MarinusSnowyYallourn!O11</f>
        <v>76.399532236391153</v>
      </c>
      <c r="J12" s="6">
        <f>[1]MarinusSnowyYallourn!P11</f>
        <v>77.786516392842017</v>
      </c>
      <c r="K12" s="6">
        <f>[1]MarinusSnowyYallourn!Q11</f>
        <v>74.560958941318191</v>
      </c>
      <c r="L12" s="6">
        <f>[1]MarinusSnowyYallourn!R11</f>
        <v>79.073890209028065</v>
      </c>
      <c r="M12" s="6">
        <f>[1]MarinusSnowyYallourn!S11</f>
        <v>80.250794909308169</v>
      </c>
      <c r="N12" s="6">
        <f>[1]MarinusSnowyYallourn!T11</f>
        <v>93.340341683364073</v>
      </c>
      <c r="O12" s="6">
        <f>[1]MarinusSnowyYallourn!U11</f>
        <v>88.609630109184195</v>
      </c>
      <c r="P12" s="6">
        <f>[1]MarinusSnowyYallourn!V11</f>
        <v>95.129015026587695</v>
      </c>
      <c r="Q12" s="6">
        <f>[1]MarinusSnowyYallourn!W11</f>
        <v>99.530934082463006</v>
      </c>
      <c r="R12" s="6">
        <f>[1]MarinusSnowyYallourn!X11</f>
        <v>99.240647545118065</v>
      </c>
      <c r="S12" s="6">
        <f>[1]MarinusSnowyYallourn!Y11</f>
        <v>107.2342475686732</v>
      </c>
      <c r="T12" s="6">
        <f>[1]MarinusSnowyYallourn!Z11</f>
        <v>105.95713852593802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147.5320726813533</v>
      </c>
      <c r="Q17" s="18">
        <f>Q5/P5*P17</f>
        <v>154.09312893750624</v>
      </c>
      <c r="R17" s="18">
        <f>R5/Q5*Q17</f>
        <v>150.80202205611158</v>
      </c>
      <c r="S17" s="18">
        <f>S5/R5*R17</f>
        <v>160.44013238697423</v>
      </c>
      <c r="T17" s="18">
        <f>T5/S5*S17</f>
        <v>156.33766942082721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124.82342575387909</v>
      </c>
      <c r="Q18" s="18">
        <f t="shared" si="0"/>
        <v>128.63197297387367</v>
      </c>
      <c r="R18" s="18">
        <f t="shared" si="0"/>
        <v>127.4890374767901</v>
      </c>
      <c r="S18" s="18">
        <f t="shared" si="0"/>
        <v>135.09215165666939</v>
      </c>
      <c r="T18" s="18">
        <f t="shared" si="0"/>
        <v>134.86333159340904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113.31205797638233</v>
      </c>
      <c r="Q19" s="70">
        <f t="shared" si="0"/>
        <v>119.09227603256464</v>
      </c>
      <c r="R19" s="70">
        <f t="shared" si="0"/>
        <v>119.70634107890639</v>
      </c>
      <c r="S19" s="70">
        <f t="shared" si="0"/>
        <v>129.8047385613327</v>
      </c>
      <c r="T19" s="70">
        <f t="shared" si="0"/>
        <v>129.38966572966368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104.15286178055047</v>
      </c>
      <c r="Q20" s="72">
        <f t="shared" si="0"/>
        <v>110.45598918903978</v>
      </c>
      <c r="R20" s="72">
        <f t="shared" si="0"/>
        <v>112.48328809020559</v>
      </c>
      <c r="S20" s="72">
        <f t="shared" si="0"/>
        <v>123.34395494062082</v>
      </c>
      <c r="T20" s="72">
        <f t="shared" si="0"/>
        <v>122.56922425754858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92.697461310070167</v>
      </c>
      <c r="Q21" s="70">
        <f t="shared" si="0"/>
        <v>97.378042287964789</v>
      </c>
      <c r="R21" s="70">
        <f t="shared" si="0"/>
        <v>96.818647483716248</v>
      </c>
      <c r="S21" s="70">
        <f t="shared" si="0"/>
        <v>104.64024635466986</v>
      </c>
      <c r="T21" s="70">
        <f t="shared" si="0"/>
        <v>102.57652832648502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79.079338886257375</v>
      </c>
      <c r="Q22" s="18">
        <f t="shared" si="0"/>
        <v>80.282405857960526</v>
      </c>
      <c r="R22" s="18">
        <f t="shared" si="0"/>
        <v>74.882523427201235</v>
      </c>
      <c r="S22" s="18">
        <f t="shared" si="0"/>
        <v>79.287385834658124</v>
      </c>
      <c r="T22" s="18">
        <f t="shared" si="0"/>
        <v>75.386140045660966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61.537531902102003</v>
      </c>
      <c r="Q23" s="18">
        <f t="shared" si="0"/>
        <v>64.042114294876669</v>
      </c>
      <c r="R23" s="18">
        <f t="shared" si="0"/>
        <v>59.618276966804153</v>
      </c>
      <c r="S23" s="18">
        <f t="shared" si="0"/>
        <v>62.122424971420052</v>
      </c>
      <c r="T23" s="18">
        <f t="shared" si="0"/>
        <v>57.269719412398089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103.14206664551985</v>
      </c>
      <c r="Q24" s="18">
        <f t="shared" si="0"/>
        <v>107.91477483031898</v>
      </c>
      <c r="R24" s="18">
        <f t="shared" si="0"/>
        <v>107.60003643664633</v>
      </c>
      <c r="S24" s="18">
        <f t="shared" si="0"/>
        <v>116.26696551329785</v>
      </c>
      <c r="T24" s="18">
        <f t="shared" si="0"/>
        <v>114.88228108276346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1.4109410779035159E-3</v>
      </c>
      <c r="G29" s="14">
        <f t="shared" si="1"/>
        <v>1.2881505149512584E-2</v>
      </c>
      <c r="H29" s="14">
        <f t="shared" si="1"/>
        <v>5.9350924779559833E-3</v>
      </c>
      <c r="I29" s="14">
        <f t="shared" si="1"/>
        <v>2.6025918487864397E-2</v>
      </c>
      <c r="J29" s="14">
        <f t="shared" si="1"/>
        <v>-1.1669760873195267E-3</v>
      </c>
      <c r="K29" s="14">
        <f t="shared" si="1"/>
        <v>-1.5259622884947199E-2</v>
      </c>
      <c r="L29" s="14">
        <f t="shared" si="1"/>
        <v>4.1429110980821804E-3</v>
      </c>
      <c r="M29" s="14">
        <f t="shared" si="1"/>
        <v>-2.0813555004723372E-2</v>
      </c>
      <c r="N29" s="14">
        <f t="shared" si="1"/>
        <v>1.493855324879978E-2</v>
      </c>
      <c r="O29" s="14">
        <f t="shared" si="1"/>
        <v>-5.1361607487565131E-2</v>
      </c>
      <c r="P29" s="14">
        <f t="shared" ref="P29:T36" si="2">P5/P17-1</f>
        <v>-5.1361607487565242E-2</v>
      </c>
      <c r="Q29" s="14">
        <f t="shared" si="2"/>
        <v>-5.1361607487565353E-2</v>
      </c>
      <c r="R29" s="14">
        <f t="shared" si="2"/>
        <v>-5.1361607487565353E-2</v>
      </c>
      <c r="S29" s="14">
        <f t="shared" si="2"/>
        <v>-5.1361607487565464E-2</v>
      </c>
      <c r="T29" s="14">
        <f t="shared" si="2"/>
        <v>-5.1361607487565353E-2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7.2182686308663868E-4</v>
      </c>
      <c r="G30" s="14">
        <f t="shared" si="3"/>
        <v>-3.7352719425065573E-5</v>
      </c>
      <c r="H30" s="14">
        <f t="shared" si="3"/>
        <v>6.6092072783363598E-4</v>
      </c>
      <c r="I30" s="14">
        <f t="shared" si="3"/>
        <v>3.6647405109880626E-2</v>
      </c>
      <c r="J30" s="14">
        <f t="shared" si="3"/>
        <v>2.9276146349266341E-4</v>
      </c>
      <c r="K30" s="14">
        <f t="shared" si="3"/>
        <v>-3.3862223344431674E-2</v>
      </c>
      <c r="L30" s="14">
        <f t="shared" si="3"/>
        <v>-3.3195970677559639E-2</v>
      </c>
      <c r="M30" s="14">
        <f t="shared" si="3"/>
        <v>-6.8917614596644472E-2</v>
      </c>
      <c r="N30" s="14">
        <f t="shared" si="3"/>
        <v>-1.0223248406081464E-2</v>
      </c>
      <c r="O30" s="14">
        <f t="shared" si="3"/>
        <v>-6.787049059471717E-2</v>
      </c>
      <c r="P30" s="14">
        <f t="shared" si="2"/>
        <v>-6.7870490594717281E-2</v>
      </c>
      <c r="Q30" s="14">
        <f t="shared" si="2"/>
        <v>-6.787049059471717E-2</v>
      </c>
      <c r="R30" s="14">
        <f t="shared" si="2"/>
        <v>-6.787049059471717E-2</v>
      </c>
      <c r="S30" s="14">
        <f t="shared" si="2"/>
        <v>-6.787049059471717E-2</v>
      </c>
      <c r="T30" s="14">
        <f t="shared" si="2"/>
        <v>-6.7870490594717281E-2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1.3054336581519443E-4</v>
      </c>
      <c r="G31" s="46">
        <f t="shared" si="3"/>
        <v>-2.5426893641422588E-4</v>
      </c>
      <c r="H31" s="46">
        <f t="shared" si="3"/>
        <v>-1.9913524456072196E-6</v>
      </c>
      <c r="I31" s="46">
        <f t="shared" si="3"/>
        <v>3.6020852498233502E-2</v>
      </c>
      <c r="J31" s="46">
        <f t="shared" si="3"/>
        <v>-1.2520877588633184E-3</v>
      </c>
      <c r="K31" s="46">
        <f t="shared" si="3"/>
        <v>-4.4271268460556179E-2</v>
      </c>
      <c r="L31" s="46">
        <f t="shared" si="3"/>
        <v>-4.5460401712501097E-2</v>
      </c>
      <c r="M31" s="46">
        <f t="shared" si="3"/>
        <v>-8.0105495261009962E-2</v>
      </c>
      <c r="N31" s="46">
        <f t="shared" si="3"/>
        <v>-1.6561137969228645E-2</v>
      </c>
      <c r="O31" s="46">
        <f t="shared" si="3"/>
        <v>-7.3409370016755293E-2</v>
      </c>
      <c r="P31" s="46">
        <f t="shared" si="2"/>
        <v>-7.3409370016755293E-2</v>
      </c>
      <c r="Q31" s="46">
        <f t="shared" si="2"/>
        <v>-7.3409370016755293E-2</v>
      </c>
      <c r="R31" s="46">
        <f t="shared" si="2"/>
        <v>-7.3409370016755071E-2</v>
      </c>
      <c r="S31" s="46">
        <f t="shared" si="2"/>
        <v>-7.3409370016755182E-2</v>
      </c>
      <c r="T31" s="46">
        <f t="shared" si="2"/>
        <v>-7.3409370016755182E-2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4.942113508148438E-4</v>
      </c>
      <c r="G32" s="41">
        <f t="shared" si="3"/>
        <v>-1.3986371156649025E-4</v>
      </c>
      <c r="H32" s="41">
        <f t="shared" si="3"/>
        <v>-9.0449057756469831E-4</v>
      </c>
      <c r="I32" s="41">
        <f t="shared" si="3"/>
        <v>3.524182356233041E-2</v>
      </c>
      <c r="J32" s="41">
        <f t="shared" si="3"/>
        <v>-4.2286764186094672E-4</v>
      </c>
      <c r="K32" s="41">
        <f t="shared" si="3"/>
        <v>-4.5555636059566917E-2</v>
      </c>
      <c r="L32" s="41">
        <f t="shared" si="3"/>
        <v>-4.8873492917797412E-2</v>
      </c>
      <c r="M32" s="41">
        <f t="shared" si="3"/>
        <v>-8.6733081036943105E-2</v>
      </c>
      <c r="N32" s="41">
        <f t="shared" si="3"/>
        <v>-1.7926037181399734E-2</v>
      </c>
      <c r="O32" s="41">
        <f t="shared" si="3"/>
        <v>-7.9794559451775493E-2</v>
      </c>
      <c r="P32" s="41">
        <f t="shared" si="2"/>
        <v>-7.9794559451775604E-2</v>
      </c>
      <c r="Q32" s="41">
        <f t="shared" si="2"/>
        <v>-7.9794559451775493E-2</v>
      </c>
      <c r="R32" s="41">
        <f t="shared" si="2"/>
        <v>-7.9794559451775382E-2</v>
      </c>
      <c r="S32" s="41">
        <f t="shared" si="2"/>
        <v>-7.9794559451775382E-2</v>
      </c>
      <c r="T32" s="41">
        <f t="shared" si="2"/>
        <v>-7.9794559451775382E-2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-5.9110768210790532E-4</v>
      </c>
      <c r="G33" s="46">
        <f t="shared" si="3"/>
        <v>-4.6260553171473262E-6</v>
      </c>
      <c r="H33" s="46">
        <f t="shared" si="3"/>
        <v>-5.7406093745060449E-4</v>
      </c>
      <c r="I33" s="46">
        <f t="shared" si="3"/>
        <v>3.2313834775890005E-2</v>
      </c>
      <c r="J33" s="46">
        <f t="shared" si="3"/>
        <v>-1.1904371212358988E-3</v>
      </c>
      <c r="K33" s="46">
        <f t="shared" si="3"/>
        <v>-5.0415314332059813E-2</v>
      </c>
      <c r="L33" s="46">
        <f t="shared" si="3"/>
        <v>-5.0767969533544788E-2</v>
      </c>
      <c r="M33" s="46">
        <f t="shared" si="3"/>
        <v>-8.8692259540020468E-2</v>
      </c>
      <c r="N33" s="46">
        <f t="shared" si="3"/>
        <v>-1.9008458418999008E-2</v>
      </c>
      <c r="O33" s="46">
        <f t="shared" si="3"/>
        <v>-8.1556227749532306E-2</v>
      </c>
      <c r="P33" s="46">
        <f t="shared" si="2"/>
        <v>-8.1556227749532306E-2</v>
      </c>
      <c r="Q33" s="46">
        <f t="shared" si="2"/>
        <v>-8.1556227749532417E-2</v>
      </c>
      <c r="R33" s="46">
        <f t="shared" si="2"/>
        <v>-8.1556227749532417E-2</v>
      </c>
      <c r="S33" s="46">
        <f t="shared" si="2"/>
        <v>-8.1556227749532417E-2</v>
      </c>
      <c r="T33" s="46">
        <f t="shared" si="2"/>
        <v>-8.1556227749532528E-2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-1.1611330468449532E-3</v>
      </c>
      <c r="G34" s="14">
        <f t="shared" si="3"/>
        <v>2.1324120347974151E-3</v>
      </c>
      <c r="H34" s="14">
        <f t="shared" si="3"/>
        <v>-7.9015832925988239E-4</v>
      </c>
      <c r="I34" s="14">
        <f t="shared" si="3"/>
        <v>2.8322246518175609E-2</v>
      </c>
      <c r="J34" s="14">
        <f t="shared" si="3"/>
        <v>8.3605021577293215E-4</v>
      </c>
      <c r="K34" s="14">
        <f t="shared" si="3"/>
        <v>-5.5258441957938387E-2</v>
      </c>
      <c r="L34" s="14">
        <f t="shared" si="3"/>
        <v>-5.8763845625620648E-2</v>
      </c>
      <c r="M34" s="14">
        <f t="shared" si="3"/>
        <v>-9.511303196447185E-2</v>
      </c>
      <c r="N34" s="14">
        <f t="shared" si="3"/>
        <v>-2.1978398889982209E-2</v>
      </c>
      <c r="O34" s="14">
        <f t="shared" si="3"/>
        <v>-8.5196784099391132E-2</v>
      </c>
      <c r="P34" s="14">
        <f t="shared" si="2"/>
        <v>-8.5196784099391243E-2</v>
      </c>
      <c r="Q34" s="14">
        <f t="shared" si="2"/>
        <v>-8.5196784099391243E-2</v>
      </c>
      <c r="R34" s="14">
        <f t="shared" si="2"/>
        <v>-8.5196784099391243E-2</v>
      </c>
      <c r="S34" s="14">
        <f t="shared" si="2"/>
        <v>-8.5196784099391132E-2</v>
      </c>
      <c r="T34" s="14">
        <f t="shared" si="2"/>
        <v>-8.5196784099391243E-2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6.8184742170642743E-3</v>
      </c>
      <c r="G35" s="14">
        <f t="shared" si="3"/>
        <v>-2.5930520447411398E-3</v>
      </c>
      <c r="H35" s="14">
        <f t="shared" si="3"/>
        <v>-1.3579873894882688E-2</v>
      </c>
      <c r="I35" s="14">
        <f t="shared" si="3"/>
        <v>2.5994602248446075E-2</v>
      </c>
      <c r="J35" s="14">
        <f t="shared" si="3"/>
        <v>-1.4706655793309542E-2</v>
      </c>
      <c r="K35" s="14">
        <f t="shared" si="3"/>
        <v>-8.0999901463369883E-2</v>
      </c>
      <c r="L35" s="14">
        <f t="shared" si="3"/>
        <v>-0.12674433158209686</v>
      </c>
      <c r="M35" s="14">
        <f t="shared" si="3"/>
        <v>-0.11040269819796233</v>
      </c>
      <c r="N35" s="14">
        <f t="shared" si="3"/>
        <v>-3.3532054065283701E-2</v>
      </c>
      <c r="O35" s="14">
        <f t="shared" si="3"/>
        <v>-8.6316558206649852E-2</v>
      </c>
      <c r="P35" s="14">
        <f t="shared" si="2"/>
        <v>-8.6316558206649852E-2</v>
      </c>
      <c r="Q35" s="14">
        <f t="shared" si="2"/>
        <v>-8.6316558206649741E-2</v>
      </c>
      <c r="R35" s="14">
        <f t="shared" si="2"/>
        <v>-8.6316558206649852E-2</v>
      </c>
      <c r="S35" s="14">
        <f t="shared" si="2"/>
        <v>-8.6316558206649741E-2</v>
      </c>
      <c r="T35" s="14">
        <f t="shared" si="2"/>
        <v>-8.6316558206649741E-2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-3.1026560971536554E-5</v>
      </c>
      <c r="G36" s="14">
        <f t="shared" si="3"/>
        <v>-1.9152613721507006E-4</v>
      </c>
      <c r="H36" s="14">
        <f t="shared" si="3"/>
        <v>5.5574525703594446E-6</v>
      </c>
      <c r="I36" s="14">
        <f t="shared" si="3"/>
        <v>3.4674458901776672E-2</v>
      </c>
      <c r="J36" s="14">
        <f t="shared" si="3"/>
        <v>1.0353994733147687E-5</v>
      </c>
      <c r="K36" s="14">
        <f t="shared" si="3"/>
        <v>-4.5146093569277457E-2</v>
      </c>
      <c r="L36" s="14">
        <f t="shared" si="3"/>
        <v>-4.7058540144681249E-2</v>
      </c>
      <c r="M36" s="14">
        <f t="shared" si="3"/>
        <v>-8.3255250004576009E-2</v>
      </c>
      <c r="N36" s="14">
        <f t="shared" si="3"/>
        <v>-1.7385861996949137E-2</v>
      </c>
      <c r="O36" s="14">
        <f t="shared" si="3"/>
        <v>-7.7689461531457726E-2</v>
      </c>
      <c r="P36" s="14">
        <f t="shared" si="2"/>
        <v>-7.7689461531457615E-2</v>
      </c>
      <c r="Q36" s="14">
        <f t="shared" si="2"/>
        <v>-7.7689461531457504E-2</v>
      </c>
      <c r="R36" s="14">
        <f t="shared" si="2"/>
        <v>-7.7689461531457615E-2</v>
      </c>
      <c r="S36" s="14">
        <f t="shared" si="2"/>
        <v>-7.7689461531457504E-2</v>
      </c>
      <c r="T36" s="14">
        <f t="shared" si="2"/>
        <v>-7.7689461531457504E-2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-2.0813555004723372E-2</v>
      </c>
      <c r="N6" s="14">
        <f>'Spot Prices'!N29</f>
        <v>1.493855324879978E-2</v>
      </c>
      <c r="O6" s="14">
        <f>'Spot Prices'!O29</f>
        <v>-5.1361607487565131E-2</v>
      </c>
      <c r="P6" s="14">
        <f>'Spot Prices'!P29</f>
        <v>-5.1361607487565242E-2</v>
      </c>
      <c r="Q6" s="14">
        <f>'Spot Prices'!Q29</f>
        <v>-5.1361607487565353E-2</v>
      </c>
      <c r="R6" s="14">
        <f>'Spot Prices'!R29</f>
        <v>-5.1361607487565353E-2</v>
      </c>
      <c r="S6" s="14">
        <f>'Spot Prices'!S29</f>
        <v>-5.1361607487565464E-2</v>
      </c>
      <c r="T6" s="14">
        <f>'Spot Prices'!T29</f>
        <v>-5.1361607487565353E-2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-6.8917614596644472E-2</v>
      </c>
      <c r="N7" s="14">
        <f>'Spot Prices'!N30</f>
        <v>-1.0223248406081464E-2</v>
      </c>
      <c r="O7" s="14">
        <f>'Spot Prices'!O30</f>
        <v>-6.787049059471717E-2</v>
      </c>
      <c r="P7" s="14">
        <f>'Spot Prices'!P30</f>
        <v>-6.7870490594717281E-2</v>
      </c>
      <c r="Q7" s="14">
        <f>'Spot Prices'!Q30</f>
        <v>-6.787049059471717E-2</v>
      </c>
      <c r="R7" s="14">
        <f>'Spot Prices'!R30</f>
        <v>-6.787049059471717E-2</v>
      </c>
      <c r="S7" s="14">
        <f>'Spot Prices'!S30</f>
        <v>-6.787049059471717E-2</v>
      </c>
      <c r="T7" s="14">
        <f>'Spot Prices'!T30</f>
        <v>-6.7870490594717281E-2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-8.0105495261009962E-2</v>
      </c>
      <c r="N8" s="46">
        <f>'Spot Prices'!N31</f>
        <v>-1.6561137969228645E-2</v>
      </c>
      <c r="O8" s="46">
        <f>'Spot Prices'!O31</f>
        <v>-7.3409370016755293E-2</v>
      </c>
      <c r="P8" s="46">
        <f>'Spot Prices'!P31</f>
        <v>-7.3409370016755293E-2</v>
      </c>
      <c r="Q8" s="46">
        <f>'Spot Prices'!Q31</f>
        <v>-7.3409370016755293E-2</v>
      </c>
      <c r="R8" s="46">
        <f>'Spot Prices'!R31</f>
        <v>-7.3409370016755071E-2</v>
      </c>
      <c r="S8" s="46">
        <f>'Spot Prices'!S31</f>
        <v>-7.3409370016755182E-2</v>
      </c>
      <c r="T8" s="46">
        <f>'Spot Prices'!T31</f>
        <v>-7.3409370016755182E-2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-8.6733081036943105E-2</v>
      </c>
      <c r="N9" s="41">
        <f>'Spot Prices'!N32</f>
        <v>-1.7926037181399734E-2</v>
      </c>
      <c r="O9" s="41">
        <f>'Spot Prices'!O32</f>
        <v>-7.9794559451775493E-2</v>
      </c>
      <c r="P9" s="41">
        <f>'Spot Prices'!P32</f>
        <v>-7.9794559451775604E-2</v>
      </c>
      <c r="Q9" s="41">
        <f>'Spot Prices'!Q32</f>
        <v>-7.9794559451775493E-2</v>
      </c>
      <c r="R9" s="41">
        <f>'Spot Prices'!R32</f>
        <v>-7.9794559451775382E-2</v>
      </c>
      <c r="S9" s="41">
        <f>'Spot Prices'!S32</f>
        <v>-7.9794559451775382E-2</v>
      </c>
      <c r="T9" s="41">
        <f>'Spot Prices'!T32</f>
        <v>-7.9794559451775382E-2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-8.8692259540020468E-2</v>
      </c>
      <c r="N10" s="46">
        <f>'Spot Prices'!N33</f>
        <v>-1.9008458418999008E-2</v>
      </c>
      <c r="O10" s="46">
        <f>'Spot Prices'!O33</f>
        <v>-8.1556227749532306E-2</v>
      </c>
      <c r="P10" s="46">
        <f>'Spot Prices'!P33</f>
        <v>-8.1556227749532306E-2</v>
      </c>
      <c r="Q10" s="46">
        <f>'Spot Prices'!Q33</f>
        <v>-8.1556227749532417E-2</v>
      </c>
      <c r="R10" s="46">
        <f>'Spot Prices'!R33</f>
        <v>-8.1556227749532417E-2</v>
      </c>
      <c r="S10" s="46">
        <f>'Spot Prices'!S33</f>
        <v>-8.1556227749532417E-2</v>
      </c>
      <c r="T10" s="46">
        <f>'Spot Prices'!T33</f>
        <v>-8.1556227749532528E-2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-9.511303196447185E-2</v>
      </c>
      <c r="N11" s="14">
        <f>'Spot Prices'!N34</f>
        <v>-2.1978398889982209E-2</v>
      </c>
      <c r="O11" s="14">
        <f>'Spot Prices'!O34</f>
        <v>-8.5196784099391132E-2</v>
      </c>
      <c r="P11" s="14">
        <f>'Spot Prices'!P34</f>
        <v>-8.5196784099391243E-2</v>
      </c>
      <c r="Q11" s="14">
        <f>'Spot Prices'!Q34</f>
        <v>-8.5196784099391243E-2</v>
      </c>
      <c r="R11" s="14">
        <f>'Spot Prices'!R34</f>
        <v>-8.5196784099391243E-2</v>
      </c>
      <c r="S11" s="14">
        <f>'Spot Prices'!S34</f>
        <v>-8.5196784099391132E-2</v>
      </c>
      <c r="T11" s="14">
        <f>'Spot Prices'!T34</f>
        <v>-8.5196784099391243E-2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-0.11040269819796233</v>
      </c>
      <c r="N12" s="14">
        <f>'Spot Prices'!N35</f>
        <v>-3.3532054065283701E-2</v>
      </c>
      <c r="O12" s="14">
        <f>'Spot Prices'!O35</f>
        <v>-8.6316558206649852E-2</v>
      </c>
      <c r="P12" s="14">
        <f>'Spot Prices'!P35</f>
        <v>-8.6316558206649852E-2</v>
      </c>
      <c r="Q12" s="14">
        <f>'Spot Prices'!Q35</f>
        <v>-8.6316558206649741E-2</v>
      </c>
      <c r="R12" s="14">
        <f>'Spot Prices'!R35</f>
        <v>-8.6316558206649852E-2</v>
      </c>
      <c r="S12" s="14">
        <f>'Spot Prices'!S35</f>
        <v>-8.6316558206649741E-2</v>
      </c>
      <c r="T12" s="14">
        <f>'Spot Prices'!T35</f>
        <v>-8.6316558206649741E-2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-8.3255250004576009E-2</v>
      </c>
      <c r="N13" s="46">
        <f>'Spot Prices'!N36</f>
        <v>-1.7385861996949137E-2</v>
      </c>
      <c r="O13" s="46">
        <f>'Spot Prices'!O36</f>
        <v>-7.7689461531457726E-2</v>
      </c>
      <c r="P13" s="46">
        <f>'Spot Prices'!P36</f>
        <v>-7.7689461531457615E-2</v>
      </c>
      <c r="Q13" s="46">
        <f>'Spot Prices'!Q36</f>
        <v>-7.7689461531457504E-2</v>
      </c>
      <c r="R13" s="46">
        <f>'Spot Prices'!R36</f>
        <v>-7.7689461531457615E-2</v>
      </c>
      <c r="S13" s="46">
        <f>'Spot Prices'!S36</f>
        <v>-7.7689461531457504E-2</v>
      </c>
      <c r="T13" s="46">
        <f>'Spot Prices'!T36</f>
        <v>-7.7689461531457504E-2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338261008.44286859</v>
      </c>
      <c r="Q17" s="19">
        <f>'Spot Prices'!Q17/'Spot Prices'!P17*WindFarmRevenue!P17</f>
        <v>353304174.75457722</v>
      </c>
      <c r="R17" s="19">
        <f>'Spot Prices'!R17/'Spot Prices'!Q17*WindFarmRevenue!Q17</f>
        <v>345758336.67096084</v>
      </c>
      <c r="S17" s="19">
        <f>'Spot Prices'!S17/'Spot Prices'!R17*WindFarmRevenue!R17</f>
        <v>367856561.55689979</v>
      </c>
      <c r="T17" s="19">
        <f>'Spot Prices'!T17/'Spot Prices'!S17*WindFarmRevenue!S17</f>
        <v>358450449.14481676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296121202.38414246</v>
      </c>
      <c r="Q18" s="19">
        <f>'Spot Prices'!Q18/'Spot Prices'!P18*WindFarmRevenue!P18</f>
        <v>305156297.96263832</v>
      </c>
      <c r="R18" s="19">
        <f>'Spot Prices'!R18/'Spot Prices'!Q18*WindFarmRevenue!Q18</f>
        <v>302444888.37265289</v>
      </c>
      <c r="S18" s="19">
        <f>'Spot Prices'!S18/'Spot Prices'!R18*WindFarmRevenue!R18</f>
        <v>320481913.86856472</v>
      </c>
      <c r="T18" s="19">
        <f>'Spot Prices'!T18/'Spot Prices'!S18*WindFarmRevenue!S18</f>
        <v>319939079.28560853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270832085.4816587</v>
      </c>
      <c r="Q19" s="49">
        <f>'Spot Prices'!Q19/'Spot Prices'!P19*WindFarmRevenue!P19</f>
        <v>284647636.43582886</v>
      </c>
      <c r="R19" s="49">
        <f>'Spot Prices'!R19/'Spot Prices'!Q19*WindFarmRevenue!Q19</f>
        <v>286115340.05089158</v>
      </c>
      <c r="S19" s="49">
        <f>'Spot Prices'!S19/'Spot Prices'!R19*WindFarmRevenue!R19</f>
        <v>310251959.74549019</v>
      </c>
      <c r="T19" s="49">
        <f>'Spot Prices'!T19/'Spot Prices'!S19*WindFarmRevenue!S19</f>
        <v>309259876.09053504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250152666.74411976</v>
      </c>
      <c r="Q20" s="40">
        <f>'Spot Prices'!Q20/'Spot Prices'!P20*WindFarmRevenue!P20</f>
        <v>265291416.68441182</v>
      </c>
      <c r="R20" s="40">
        <f>'Spot Prices'!R20/'Spot Prices'!Q20*WindFarmRevenue!Q20</f>
        <v>270160550.54923624</v>
      </c>
      <c r="S20" s="40">
        <f>'Spot Prices'!S20/'Spot Prices'!R20*WindFarmRevenue!R20</f>
        <v>296245525.35266668</v>
      </c>
      <c r="T20" s="40">
        <f>'Spot Prices'!T20/'Spot Prices'!S20*WindFarmRevenue!S20</f>
        <v>294384789.66988391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224110096.98357868</v>
      </c>
      <c r="Q21" s="49">
        <f>'Spot Prices'!Q21/'Spot Prices'!P21*WindFarmRevenue!P21</f>
        <v>235426107.60642305</v>
      </c>
      <c r="R21" s="49">
        <f>'Spot Prices'!R21/'Spot Prices'!Q21*WindFarmRevenue!Q21</f>
        <v>234073686.27728972</v>
      </c>
      <c r="S21" s="49">
        <f>'Spot Prices'!S21/'Spot Prices'!R21*WindFarmRevenue!R21</f>
        <v>252983581.50810587</v>
      </c>
      <c r="T21" s="49">
        <f>'Spot Prices'!T21/'Spot Prices'!S21*WindFarmRevenue!S21</f>
        <v>247994231.84408203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193237765.83371007</v>
      </c>
      <c r="Q22" s="19">
        <f>'Spot Prices'!Q22/'Spot Prices'!P22*WindFarmRevenue!P22</f>
        <v>196177572.57760087</v>
      </c>
      <c r="R22" s="19">
        <f>'Spot Prices'!R22/'Spot Prices'!Q22*WindFarmRevenue!Q22</f>
        <v>182982454.46735117</v>
      </c>
      <c r="S22" s="19">
        <f>'Spot Prices'!S22/'Spot Prices'!R22*WindFarmRevenue!R22</f>
        <v>193746148.02384585</v>
      </c>
      <c r="T22" s="19">
        <f>'Spot Prices'!T22/'Spot Prices'!S22*WindFarmRevenue!S22</f>
        <v>184213088.80950043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157720810.66980132</v>
      </c>
      <c r="Q23" s="19">
        <f>'Spot Prices'!Q23/'Spot Prices'!P23*WindFarmRevenue!P23</f>
        <v>164140060.08016381</v>
      </c>
      <c r="R23" s="19">
        <f>'Spot Prices'!R23/'Spot Prices'!Q23*WindFarmRevenue!Q23</f>
        <v>152801756.64016035</v>
      </c>
      <c r="S23" s="19">
        <f>'Spot Prices'!S23/'Spot Prices'!R23*WindFarmRevenue!R23</f>
        <v>159219892.71285024</v>
      </c>
      <c r="T23" s="19">
        <f>'Spot Prices'!T23/'Spot Prices'!S23*WindFarmRevenue!S23</f>
        <v>146782399.18567398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247609187.8457914</v>
      </c>
      <c r="Q24" s="49">
        <f>'Spot Prices'!Q24/'Spot Prices'!P24*WindFarmRevenue!P24</f>
        <v>259066844.60891005</v>
      </c>
      <c r="R24" s="49">
        <f>'Spot Prices'!R24/'Spot Prices'!Q24*WindFarmRevenue!Q24</f>
        <v>258311264.26641983</v>
      </c>
      <c r="S24" s="49">
        <f>'Spot Prices'!S24/'Spot Prices'!R24*WindFarmRevenue!R24</f>
        <v>279117627.17518526</v>
      </c>
      <c r="T24" s="49">
        <f>'Spot Prices'!T24/'Spot Prices'!S24*WindFarmRevenue!S24</f>
        <v>275793468.58094573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231619062.09137496</v>
      </c>
      <c r="G28" s="20">
        <f t="shared" si="4"/>
        <v>229104996.55030301</v>
      </c>
      <c r="H28" s="20">
        <f t="shared" si="4"/>
        <v>225690951.33683783</v>
      </c>
      <c r="I28" s="20">
        <f t="shared" si="4"/>
        <v>258877710.88494796</v>
      </c>
      <c r="J28" s="20">
        <f t="shared" si="4"/>
        <v>271935789.17289352</v>
      </c>
      <c r="K28" s="20">
        <f t="shared" si="4"/>
        <v>255817011.35062519</v>
      </c>
      <c r="L28" s="20">
        <f t="shared" si="4"/>
        <v>283254955.85211533</v>
      </c>
      <c r="M28" s="20">
        <f t="shared" si="4"/>
        <v>279026610.21195209</v>
      </c>
      <c r="N28" s="20">
        <f t="shared" si="4"/>
        <v>335808405.8275668</v>
      </c>
      <c r="O28" s="20">
        <f t="shared" si="4"/>
        <v>313460328.10956848</v>
      </c>
      <c r="P28" s="21">
        <f>(O28*'Spot Prices'!P5/'Spot Prices'!O5)*($E$26)</f>
        <v>320887379.29887801</v>
      </c>
      <c r="Q28" s="21">
        <f>(P28*'Spot Prices'!Q5/'Spot Prices'!P5)*($E$26)</f>
        <v>335157904.40711451</v>
      </c>
      <c r="R28" s="21">
        <f>(Q28*'Spot Prices'!R5/'Spot Prices'!Q5)*($E$26)</f>
        <v>327999632.69731349</v>
      </c>
      <c r="S28" s="21">
        <f>(R28*'Spot Prices'!S5/'Spot Prices'!R5)*($E$26)</f>
        <v>348962857.23048884</v>
      </c>
      <c r="T28" s="21">
        <f>(S28*'Spot Prices'!T5/'Spot Prices'!S5)*($E$26)</f>
        <v>340039857.87209916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191719714.74138284</v>
      </c>
      <c r="G29" s="20">
        <f t="shared" si="5"/>
        <v>194850724.22369736</v>
      </c>
      <c r="H29" s="20">
        <f t="shared" si="5"/>
        <v>192812950.20719337</v>
      </c>
      <c r="I29" s="20">
        <f t="shared" si="5"/>
        <v>217720735.50730565</v>
      </c>
      <c r="J29" s="20">
        <f t="shared" si="5"/>
        <v>223095488.14585212</v>
      </c>
      <c r="K29" s="20">
        <f t="shared" si="5"/>
        <v>214155654.28238344</v>
      </c>
      <c r="L29" s="20">
        <f t="shared" si="5"/>
        <v>227175197.05975193</v>
      </c>
      <c r="M29" s="20">
        <f t="shared" si="5"/>
        <v>231337035.71031427</v>
      </c>
      <c r="N29" s="20">
        <f t="shared" si="5"/>
        <v>275136304.97629261</v>
      </c>
      <c r="O29" s="20">
        <f t="shared" si="5"/>
        <v>260365022.10617319</v>
      </c>
      <c r="P29" s="21">
        <f>(O29*'Spot Prices'!P6/'Spot Prices'!O6)*($E$26)</f>
        <v>276023311.10283315</v>
      </c>
      <c r="Q29" s="21">
        <f>(P29*'Spot Prices'!Q6/'Spot Prices'!P6)*($E$26)</f>
        <v>284445190.31184632</v>
      </c>
      <c r="R29" s="21">
        <f>(Q29*'Spot Prices'!R6/'Spot Prices'!Q6)*($E$26)</f>
        <v>281917805.42093641</v>
      </c>
      <c r="S29" s="21">
        <f>(R29*'Spot Prices'!S6/'Spot Prices'!R6)*($E$26)</f>
        <v>298730649.14757133</v>
      </c>
      <c r="T29" s="21">
        <f>(S29*'Spot Prices'!T6/'Spot Prices'!S6)*($E$26)</f>
        <v>298224657.01407212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172637018.40492737</v>
      </c>
      <c r="G30" s="51">
        <f t="shared" si="6"/>
        <v>176821521.944785</v>
      </c>
      <c r="H30" s="51">
        <f t="shared" si="6"/>
        <v>175447732.52103305</v>
      </c>
      <c r="I30" s="51">
        <f t="shared" si="6"/>
        <v>195730465.20357046</v>
      </c>
      <c r="J30" s="51">
        <f t="shared" si="6"/>
        <v>199973158.26074478</v>
      </c>
      <c r="K30" s="51">
        <f t="shared" si="6"/>
        <v>192419800.94606227</v>
      </c>
      <c r="L30" s="51">
        <f t="shared" si="6"/>
        <v>203205426.16935888</v>
      </c>
      <c r="M30" s="51">
        <f t="shared" si="6"/>
        <v>207568968.70571387</v>
      </c>
      <c r="N30" s="51">
        <f t="shared" si="6"/>
        <v>243620912.21777323</v>
      </c>
      <c r="O30" s="51">
        <f t="shared" si="6"/>
        <v>232523359.86105481</v>
      </c>
      <c r="P30" s="52">
        <f>(O30*'Spot Prices'!P7/'Spot Prices'!O7)*($E$26)</f>
        <v>250950472.70612615</v>
      </c>
      <c r="Q30" s="52">
        <f>(P30*'Spot Prices'!Q7/'Spot Prices'!P7)*($E$26)</f>
        <v>263751832.7683163</v>
      </c>
      <c r="R30" s="52">
        <f>(Q30*'Spot Prices'!R7/'Spot Prices'!Q7)*($E$26)</f>
        <v>265111793.18562594</v>
      </c>
      <c r="S30" s="52">
        <f>(R30*'Spot Prices'!S7/'Spot Prices'!R7)*($E$26)</f>
        <v>287476558.83411002</v>
      </c>
      <c r="T30" s="52">
        <f>(S30*'Spot Prices'!T7/'Spot Prices'!S7)*($E$26)</f>
        <v>286557303.41526908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159191208.8771807</v>
      </c>
      <c r="G31" s="43">
        <f t="shared" si="7"/>
        <v>163502247.26999223</v>
      </c>
      <c r="H31" s="43">
        <f t="shared" si="7"/>
        <v>162431490.84100857</v>
      </c>
      <c r="I31" s="43">
        <f t="shared" si="7"/>
        <v>179123861.29228073</v>
      </c>
      <c r="J31" s="43">
        <f t="shared" si="7"/>
        <v>182875039.04847458</v>
      </c>
      <c r="K31" s="43">
        <f t="shared" si="7"/>
        <v>177359959.70275822</v>
      </c>
      <c r="L31" s="43">
        <f t="shared" si="7"/>
        <v>186446144.14598992</v>
      </c>
      <c r="M31" s="43">
        <f t="shared" si="7"/>
        <v>189609305.75644693</v>
      </c>
      <c r="N31" s="43">
        <f t="shared" si="7"/>
        <v>220935628.03306144</v>
      </c>
      <c r="O31" s="43">
        <f t="shared" si="7"/>
        <v>211457108.90782899</v>
      </c>
      <c r="P31" s="44">
        <f>(O31*'Spot Prices'!P8/'Spot Prices'!O8)*($E$26)</f>
        <v>230191844.90558591</v>
      </c>
      <c r="Q31" s="44">
        <f>(P31*'Spot Prices'!Q8/'Spot Prices'!P8)*($E$26)</f>
        <v>244122604.96374181</v>
      </c>
      <c r="R31" s="44">
        <f>(Q31*'Spot Prices'!R8/'Spot Prices'!Q8)*($E$26)</f>
        <v>248603208.43691081</v>
      </c>
      <c r="S31" s="44">
        <f>(R31*'Spot Prices'!S8/'Spot Prices'!R8)*($E$26)</f>
        <v>272606744.16759086</v>
      </c>
      <c r="T31" s="44">
        <f>(S31*'Spot Prices'!T8/'Spot Prices'!S8)*($E$26)</f>
        <v>270894485.06887192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147527996.24630097</v>
      </c>
      <c r="G32" s="51">
        <f t="shared" si="8"/>
        <v>151581198.77374551</v>
      </c>
      <c r="H32" s="51">
        <f t="shared" si="8"/>
        <v>150132823.60645455</v>
      </c>
      <c r="I32" s="51">
        <f t="shared" si="8"/>
        <v>163768003.41041145</v>
      </c>
      <c r="J32" s="51">
        <f t="shared" si="8"/>
        <v>167410769.5780499</v>
      </c>
      <c r="K32" s="51">
        <f t="shared" si="8"/>
        <v>162040417.74976677</v>
      </c>
      <c r="L32" s="51">
        <f t="shared" si="8"/>
        <v>170524515.11401439</v>
      </c>
      <c r="M32" s="51">
        <f t="shared" si="8"/>
        <v>173274937.69247079</v>
      </c>
      <c r="N32" s="51">
        <f t="shared" si="8"/>
        <v>201101373.39712402</v>
      </c>
      <c r="O32" s="51">
        <f t="shared" si="8"/>
        <v>192216263.50841576</v>
      </c>
      <c r="P32" s="52">
        <f>(O32*'Spot Prices'!P9/'Spot Prices'!O9)*($E$26)</f>
        <v>205832522.87301615</v>
      </c>
      <c r="Q32" s="52">
        <f>(P32*'Spot Prices'!Q9/'Spot Prices'!P9)*($E$26)</f>
        <v>216225642.35628769</v>
      </c>
      <c r="R32" s="52">
        <f>(Q32*'Spot Prices'!R9/'Spot Prices'!Q9)*($E$26)</f>
        <v>214983519.40908647</v>
      </c>
      <c r="S32" s="52">
        <f>(R32*'Spot Prices'!S9/'Spot Prices'!R9)*($E$26)</f>
        <v>232351194.91773838</v>
      </c>
      <c r="T32" s="52">
        <f>(S32*'Spot Prices'!T9/'Spot Prices'!S9)*($E$26)</f>
        <v>227768757.79123566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134321583.65589169</v>
      </c>
      <c r="G33" s="20">
        <f t="shared" si="9"/>
        <v>137776940.64275193</v>
      </c>
      <c r="H33" s="20">
        <f t="shared" si="9"/>
        <v>135142772.5694764</v>
      </c>
      <c r="I33" s="20">
        <f t="shared" si="9"/>
        <v>146639583.95769259</v>
      </c>
      <c r="J33" s="20">
        <f t="shared" si="9"/>
        <v>150115511.16541782</v>
      </c>
      <c r="K33" s="20">
        <f t="shared" si="9"/>
        <v>144478441.53195506</v>
      </c>
      <c r="L33" s="20">
        <f t="shared" si="9"/>
        <v>150745360.55180338</v>
      </c>
      <c r="M33" s="20">
        <f t="shared" si="9"/>
        <v>153328567.77434522</v>
      </c>
      <c r="N33" s="20">
        <f t="shared" si="9"/>
        <v>178467202.64062661</v>
      </c>
      <c r="O33" s="20">
        <f t="shared" si="9"/>
        <v>169578644.31230271</v>
      </c>
      <c r="P33" s="21">
        <f>(O33*'Spot Prices'!P10/'Spot Prices'!O10)*($E$26)</f>
        <v>176774529.61812675</v>
      </c>
      <c r="Q33" s="21">
        <f>(P33*'Spot Prices'!Q10/'Spot Prices'!P10)*($E$26)</f>
        <v>179463874.28156433</v>
      </c>
      <c r="R33" s="21">
        <f>(Q33*'Spot Prices'!R10/'Spot Prices'!Q10)*($E$26)</f>
        <v>167392937.80011949</v>
      </c>
      <c r="S33" s="21">
        <f>(R33*'Spot Prices'!S10/'Spot Prices'!R10)*($E$26)</f>
        <v>177239599.28056949</v>
      </c>
      <c r="T33" s="21">
        <f>(S33*'Spot Prices'!T10/'Spot Prices'!S10)*($E$26)</f>
        <v>168518726.05391538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115923857.75351126</v>
      </c>
      <c r="G34" s="20">
        <f t="shared" si="10"/>
        <v>115615001.27759863</v>
      </c>
      <c r="H34" s="20">
        <f t="shared" si="10"/>
        <v>110621606.72693923</v>
      </c>
      <c r="I34" s="20">
        <f t="shared" si="10"/>
        <v>123321582.26968269</v>
      </c>
      <c r="J34" s="20">
        <f t="shared" si="10"/>
        <v>125989994.93799542</v>
      </c>
      <c r="K34" s="20">
        <f t="shared" si="10"/>
        <v>122787858.18800649</v>
      </c>
      <c r="L34" s="20">
        <f t="shared" si="10"/>
        <v>121234915.349226</v>
      </c>
      <c r="M34" s="20">
        <f t="shared" si="10"/>
        <v>126580342.28664044</v>
      </c>
      <c r="N34" s="20">
        <f t="shared" si="10"/>
        <v>141552898.76177099</v>
      </c>
      <c r="O34" s="20">
        <f t="shared" si="10"/>
        <v>145592825.22419465</v>
      </c>
      <c r="P34" s="21">
        <f>(O34*'Spot Prices'!P11/'Spot Prices'!O11)*($E$26)</f>
        <v>144106893.13522139</v>
      </c>
      <c r="Q34" s="21">
        <f>(P34*'Spot Prices'!Q11/'Spot Prices'!P11)*($E$26)</f>
        <v>149972055.03021133</v>
      </c>
      <c r="R34" s="21">
        <f>(Q34*'Spot Prices'!R11/'Spot Prices'!Q11)*($E$26)</f>
        <v>139612434.91905159</v>
      </c>
      <c r="S34" s="21">
        <f>(R34*'Spot Prices'!S11/'Spot Prices'!R11)*($E$26)</f>
        <v>145476579.57584494</v>
      </c>
      <c r="T34" s="21">
        <f>(S34*'Spot Prices'!T11/'Spot Prices'!S11)*($E$26)</f>
        <v>134112647.68265204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160709321.57497776</v>
      </c>
      <c r="G35" s="51">
        <f t="shared" si="11"/>
        <v>164538251.48747715</v>
      </c>
      <c r="H35" s="51">
        <f t="shared" si="11"/>
        <v>163078223.09445342</v>
      </c>
      <c r="I35" s="51">
        <f t="shared" si="11"/>
        <v>180346251.54509073</v>
      </c>
      <c r="J35" s="51">
        <f t="shared" si="11"/>
        <v>184479508.9800874</v>
      </c>
      <c r="K35" s="51">
        <f t="shared" si="11"/>
        <v>177935267.8637796</v>
      </c>
      <c r="L35" s="51">
        <f t="shared" si="11"/>
        <v>187408294.77716425</v>
      </c>
      <c r="M35" s="51">
        <f t="shared" si="11"/>
        <v>190848962.65101308</v>
      </c>
      <c r="N35" s="51">
        <f t="shared" si="11"/>
        <v>223197010.03074151</v>
      </c>
      <c r="O35" s="51">
        <f t="shared" si="11"/>
        <v>212721727.03361386</v>
      </c>
      <c r="P35" s="52">
        <f>(O35*'Spot Prices'!P12/'Spot Prices'!O12)*($E$26)</f>
        <v>228372563.37181029</v>
      </c>
      <c r="Q35" s="52">
        <f>(P35*'Spot Prices'!Q12/'Spot Prices'!P12)*($E$26)</f>
        <v>238940080.95058998</v>
      </c>
      <c r="R35" s="52">
        <f>(Q35*'Spot Prices'!R12/'Spot Prices'!Q12)*($E$26)</f>
        <v>238243201.23805159</v>
      </c>
      <c r="S35" s="52">
        <f>(R35*'Spot Prices'!S12/'Spot Prices'!R12)*($E$26)</f>
        <v>257433129.01600695</v>
      </c>
      <c r="T35" s="52">
        <f>(S35*'Spot Prices'!T12/'Spot Prices'!S12)*($E$26)</f>
        <v>254367222.51299906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-2.0813555004723372E-2</v>
      </c>
      <c r="N6" s="14">
        <f>'Spot Prices'!N29</f>
        <v>1.493855324879978E-2</v>
      </c>
      <c r="O6" s="14">
        <f>'Spot Prices'!O29</f>
        <v>-5.1361607487565131E-2</v>
      </c>
      <c r="P6" s="14">
        <f>'Spot Prices'!P29</f>
        <v>-5.1361607487565242E-2</v>
      </c>
      <c r="Q6" s="14">
        <f>'Spot Prices'!Q29</f>
        <v>-5.1361607487565353E-2</v>
      </c>
      <c r="R6" s="14">
        <f>'Spot Prices'!R29</f>
        <v>-5.1361607487565353E-2</v>
      </c>
      <c r="S6" s="14">
        <f>'Spot Prices'!S29</f>
        <v>-5.1361607487565464E-2</v>
      </c>
      <c r="T6" s="14">
        <f>'Spot Prices'!T29</f>
        <v>-5.1361607487565353E-2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-6.8917614596644472E-2</v>
      </c>
      <c r="N7" s="14">
        <f>'Spot Prices'!N30</f>
        <v>-1.0223248406081464E-2</v>
      </c>
      <c r="O7" s="14">
        <f>'Spot Prices'!O30</f>
        <v>-6.787049059471717E-2</v>
      </c>
      <c r="P7" s="14">
        <f>'Spot Prices'!P30</f>
        <v>-6.7870490594717281E-2</v>
      </c>
      <c r="Q7" s="14">
        <f>'Spot Prices'!Q30</f>
        <v>-6.787049059471717E-2</v>
      </c>
      <c r="R7" s="14">
        <f>'Spot Prices'!R30</f>
        <v>-6.787049059471717E-2</v>
      </c>
      <c r="S7" s="14">
        <f>'Spot Prices'!S30</f>
        <v>-6.787049059471717E-2</v>
      </c>
      <c r="T7" s="14">
        <f>'Spot Prices'!T30</f>
        <v>-6.7870490594717281E-2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-8.0105495261009962E-2</v>
      </c>
      <c r="N8" s="46">
        <f>'Spot Prices'!N31</f>
        <v>-1.6561137969228645E-2</v>
      </c>
      <c r="O8" s="46">
        <f>'Spot Prices'!O31</f>
        <v>-7.3409370016755293E-2</v>
      </c>
      <c r="P8" s="46">
        <f>'Spot Prices'!P31</f>
        <v>-7.3409370016755293E-2</v>
      </c>
      <c r="Q8" s="46">
        <f>'Spot Prices'!Q31</f>
        <v>-7.3409370016755293E-2</v>
      </c>
      <c r="R8" s="46">
        <f>'Spot Prices'!R31</f>
        <v>-7.3409370016755071E-2</v>
      </c>
      <c r="S8" s="46">
        <f>'Spot Prices'!S31</f>
        <v>-7.3409370016755182E-2</v>
      </c>
      <c r="T8" s="46">
        <f>'Spot Prices'!T31</f>
        <v>-7.3409370016755182E-2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-8.6733081036943105E-2</v>
      </c>
      <c r="N9" s="41">
        <f>'Spot Prices'!N32</f>
        <v>-1.7926037181399734E-2</v>
      </c>
      <c r="O9" s="41">
        <f>'Spot Prices'!O32</f>
        <v>-7.9794559451775493E-2</v>
      </c>
      <c r="P9" s="41">
        <f>'Spot Prices'!P32</f>
        <v>-7.9794559451775604E-2</v>
      </c>
      <c r="Q9" s="41">
        <f>'Spot Prices'!Q32</f>
        <v>-7.9794559451775493E-2</v>
      </c>
      <c r="R9" s="41">
        <f>'Spot Prices'!R32</f>
        <v>-7.9794559451775382E-2</v>
      </c>
      <c r="S9" s="41">
        <f>'Spot Prices'!S32</f>
        <v>-7.9794559451775382E-2</v>
      </c>
      <c r="T9" s="41">
        <f>'Spot Prices'!T32</f>
        <v>-7.9794559451775382E-2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-8.8692259540020468E-2</v>
      </c>
      <c r="N10" s="46">
        <f>'Spot Prices'!N33</f>
        <v>-1.9008458418999008E-2</v>
      </c>
      <c r="O10" s="46">
        <f>'Spot Prices'!O33</f>
        <v>-8.1556227749532306E-2</v>
      </c>
      <c r="P10" s="46">
        <f>'Spot Prices'!P33</f>
        <v>-8.1556227749532306E-2</v>
      </c>
      <c r="Q10" s="46">
        <f>'Spot Prices'!Q33</f>
        <v>-8.1556227749532417E-2</v>
      </c>
      <c r="R10" s="46">
        <f>'Spot Prices'!R33</f>
        <v>-8.1556227749532417E-2</v>
      </c>
      <c r="S10" s="46">
        <f>'Spot Prices'!S33</f>
        <v>-8.1556227749532417E-2</v>
      </c>
      <c r="T10" s="46">
        <f>'Spot Prices'!T33</f>
        <v>-8.1556227749532528E-2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-9.511303196447185E-2</v>
      </c>
      <c r="N11" s="14">
        <f>'Spot Prices'!N34</f>
        <v>-2.1978398889982209E-2</v>
      </c>
      <c r="O11" s="14">
        <f>'Spot Prices'!O34</f>
        <v>-8.5196784099391132E-2</v>
      </c>
      <c r="P11" s="14">
        <f>'Spot Prices'!P34</f>
        <v>-8.5196784099391243E-2</v>
      </c>
      <c r="Q11" s="14">
        <f>'Spot Prices'!Q34</f>
        <v>-8.5196784099391243E-2</v>
      </c>
      <c r="R11" s="14">
        <f>'Spot Prices'!R34</f>
        <v>-8.5196784099391243E-2</v>
      </c>
      <c r="S11" s="14">
        <f>'Spot Prices'!S34</f>
        <v>-8.5196784099391132E-2</v>
      </c>
      <c r="T11" s="14">
        <f>'Spot Prices'!T34</f>
        <v>-8.5196784099391243E-2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-0.11040269819796233</v>
      </c>
      <c r="N12" s="14">
        <f>'Spot Prices'!N35</f>
        <v>-3.3532054065283701E-2</v>
      </c>
      <c r="O12" s="14">
        <f>'Spot Prices'!O35</f>
        <v>-8.6316558206649852E-2</v>
      </c>
      <c r="P12" s="14">
        <f>'Spot Prices'!P35</f>
        <v>-8.6316558206649852E-2</v>
      </c>
      <c r="Q12" s="14">
        <f>'Spot Prices'!Q35</f>
        <v>-8.6316558206649741E-2</v>
      </c>
      <c r="R12" s="14">
        <f>'Spot Prices'!R35</f>
        <v>-8.6316558206649852E-2</v>
      </c>
      <c r="S12" s="14">
        <f>'Spot Prices'!S35</f>
        <v>-8.6316558206649741E-2</v>
      </c>
      <c r="T12" s="14">
        <f>'Spot Prices'!T35</f>
        <v>-8.6316558206649741E-2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-8.3255250004576009E-2</v>
      </c>
      <c r="N13" s="46">
        <f>'Spot Prices'!N36</f>
        <v>-1.7385861996949137E-2</v>
      </c>
      <c r="O13" s="46">
        <f>'Spot Prices'!O36</f>
        <v>-7.7689461531457726E-2</v>
      </c>
      <c r="P13" s="46">
        <f>'Spot Prices'!P36</f>
        <v>-7.7689461531457615E-2</v>
      </c>
      <c r="Q13" s="46">
        <f>'Spot Prices'!Q36</f>
        <v>-7.7689461531457504E-2</v>
      </c>
      <c r="R13" s="46">
        <f>'Spot Prices'!R36</f>
        <v>-7.7689461531457615E-2</v>
      </c>
      <c r="S13" s="46">
        <f>'Spot Prices'!S36</f>
        <v>-7.7689461531457504E-2</v>
      </c>
      <c r="T13" s="46">
        <f>'Spot Prices'!T36</f>
        <v>-7.7689461531457504E-2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111.00150894272858</v>
      </c>
      <c r="Q17" s="65">
        <f>'Spot Prices'!Q17/'Spot Prices'!P17*WindFarmAvPrice!P17</f>
        <v>115.93797551202903</v>
      </c>
      <c r="R17" s="65">
        <f>'Spot Prices'!R17/'Spot Prices'!Q17*WindFarmAvPrice!Q17</f>
        <v>113.46178288972625</v>
      </c>
      <c r="S17" s="65">
        <f>'Spot Prices'!S17/'Spot Prices'!R17*WindFarmAvPrice!R17</f>
        <v>120.71339110371072</v>
      </c>
      <c r="T17" s="65">
        <f>'Spot Prices'!T17/'Spot Prices'!S17*WindFarmAvPrice!S17</f>
        <v>117.62674308645191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96.176490398499723</v>
      </c>
      <c r="Q18" s="65">
        <f>'Spot Prices'!Q18/'Spot Prices'!P18*WindFarmAvPrice!P18</f>
        <v>99.11097727805614</v>
      </c>
      <c r="R18" s="65">
        <f>'Spot Prices'!R18/'Spot Prices'!Q18*WindFarmAvPrice!Q18</f>
        <v>98.230345103466533</v>
      </c>
      <c r="S18" s="65">
        <f>'Spot Prices'!S18/'Spot Prices'!R18*WindFarmAvPrice!R18</f>
        <v>104.08854706758891</v>
      </c>
      <c r="T18" s="65">
        <f>'Spot Prices'!T18/'Spot Prices'!S18*WindFarmAvPrice!S18</f>
        <v>103.91224113395322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88.297283031024492</v>
      </c>
      <c r="Q19" s="67">
        <f>'Spot Prices'!Q19/'Spot Prices'!P19*WindFarmAvPrice!P19</f>
        <v>92.801459892715116</v>
      </c>
      <c r="R19" s="67">
        <f>'Spot Prices'!R19/'Spot Prices'!Q19*WindFarmAvPrice!Q19</f>
        <v>93.279963912186716</v>
      </c>
      <c r="S19" s="67">
        <f>'Spot Prices'!S19/'Spot Prices'!R19*WindFarmAvPrice!R19</f>
        <v>101.14903871843046</v>
      </c>
      <c r="T19" s="67">
        <f>'Spot Prices'!T19/'Spot Prices'!S19*WindFarmAvPrice!S19</f>
        <v>100.8255973834932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81.57382031598847</v>
      </c>
      <c r="Q20" s="69">
        <f>'Spot Prices'!Q20/'Spot Prices'!P20*WindFarmAvPrice!P20</f>
        <v>86.510508313407527</v>
      </c>
      <c r="R20" s="69">
        <f>'Spot Prices'!R20/'Spot Prices'!Q20*WindFarmAvPrice!Q20</f>
        <v>88.098314096785273</v>
      </c>
      <c r="S20" s="69">
        <f>'Spot Prices'!S20/'Spot Prices'!R20*WindFarmAvPrice!R20</f>
        <v>96.604523825657324</v>
      </c>
      <c r="T20" s="69">
        <f>'Spot Prices'!T20/'Spot Prices'!S20*WindFarmAvPrice!S20</f>
        <v>95.99774509242026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73.069686223533481</v>
      </c>
      <c r="Q21" s="67">
        <f>'Spot Prices'!Q21/'Spot Prices'!P21*WindFarmAvPrice!P21</f>
        <v>76.759200246518333</v>
      </c>
      <c r="R21" s="67">
        <f>'Spot Prices'!R21/'Spot Prices'!Q21*WindFarmAvPrice!Q21</f>
        <v>76.31825178640041</v>
      </c>
      <c r="S21" s="67">
        <f>'Spot Prices'!S21/'Spot Prices'!R21*WindFarmAvPrice!R21</f>
        <v>82.483704078078617</v>
      </c>
      <c r="T21" s="67">
        <f>'Spot Prices'!T21/'Spot Prices'!S21*WindFarmAvPrice!S21</f>
        <v>80.856958030860454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63.236808776833243</v>
      </c>
      <c r="Q22" s="65">
        <f>'Spot Prices'!Q22/'Spot Prices'!P22*WindFarmAvPrice!P22</f>
        <v>64.198856729013798</v>
      </c>
      <c r="R22" s="65">
        <f>'Spot Prices'!R22/'Spot Prices'!Q22*WindFarmAvPrice!Q22</f>
        <v>59.88077140482492</v>
      </c>
      <c r="S22" s="65">
        <f>'Spot Prices'!S22/'Spot Prices'!R22*WindFarmAvPrice!R22</f>
        <v>63.403176190596589</v>
      </c>
      <c r="T22" s="65">
        <f>'Spot Prices'!T22/'Spot Prices'!S22*WindFarmAvPrice!S22</f>
        <v>60.283494900581253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50.756724244727231</v>
      </c>
      <c r="Q23" s="65">
        <f>'Spot Prices'!Q23/'Spot Prices'!P23*WindFarmAvPrice!P23</f>
        <v>52.822526917159735</v>
      </c>
      <c r="R23" s="65">
        <f>'Spot Prices'!R23/'Spot Prices'!Q23*WindFarmAvPrice!Q23</f>
        <v>49.173705061227651</v>
      </c>
      <c r="S23" s="65">
        <f>'Spot Prices'!S23/'Spot Prices'!R23*WindFarmAvPrice!R23</f>
        <v>51.239149446297823</v>
      </c>
      <c r="T23" s="65">
        <f>'Spot Prices'!T23/'Spot Prices'!S23*WindFarmAvPrice!S23</f>
        <v>47.236593115439852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80.738413736710839</v>
      </c>
      <c r="Q24" s="67">
        <f>'Spot Prices'!Q24/'Spot Prices'!P24*WindFarmAvPrice!P24</f>
        <v>84.474434359540155</v>
      </c>
      <c r="R24" s="67">
        <f>'Spot Prices'!R24/'Spot Prices'!Q24*WindFarmAvPrice!Q24</f>
        <v>84.22806079467351</v>
      </c>
      <c r="S24" s="67">
        <f>'Spot Prices'!S24/'Spot Prices'!R24*WindFarmAvPrice!R24</f>
        <v>91.012432374335035</v>
      </c>
      <c r="T24" s="67">
        <f>'Spot Prices'!T24/'Spot Prices'!S24*WindFarmAvPrice!S24</f>
        <v>89.928517458886489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88.806429813978539</v>
      </c>
      <c r="G28" s="4">
        <f t="shared" si="4"/>
        <v>73.803351575053924</v>
      </c>
      <c r="H28" s="4">
        <f t="shared" si="4"/>
        <v>76.962453245352577</v>
      </c>
      <c r="I28" s="4">
        <f t="shared" si="4"/>
        <v>85.512737859199675</v>
      </c>
      <c r="J28" s="4">
        <f t="shared" si="4"/>
        <v>88.698375183658968</v>
      </c>
      <c r="K28" s="4">
        <f t="shared" si="4"/>
        <v>82.159567171794237</v>
      </c>
      <c r="L28" s="4">
        <f t="shared" si="4"/>
        <v>92.870347168595245</v>
      </c>
      <c r="M28" s="4">
        <f t="shared" si="4"/>
        <v>90.769251757496946</v>
      </c>
      <c r="N28" s="4">
        <f t="shared" si="4"/>
        <v>112.1433914120849</v>
      </c>
      <c r="O28" s="4">
        <f t="shared" si="4"/>
        <v>102.86308071396179</v>
      </c>
      <c r="P28" s="18">
        <f>(O28*'Spot Prices'!P5/'Spot Prices'!O5)*($E$26)</f>
        <v>105.3002930098847</v>
      </c>
      <c r="Q28" s="18">
        <f>(P28*'Spot Prices'!Q5/'Spot Prices'!P5)*($E$26)</f>
        <v>109.98321472087724</v>
      </c>
      <c r="R28" s="18">
        <f>(Q28*'Spot Prices'!R5/'Spot Prices'!Q5)*($E$26)</f>
        <v>107.63420333210478</v>
      </c>
      <c r="S28" s="18">
        <f>(R28*'Spot Prices'!S5/'Spot Prices'!R5)*($E$26)</f>
        <v>114.51335729134897</v>
      </c>
      <c r="T28" s="18">
        <f>(S28*'Spot Prices'!T5/'Spot Prices'!S5)*($E$26)</f>
        <v>111.5852444780049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75.1606690071483</v>
      </c>
      <c r="G29" s="4">
        <f t="shared" si="5"/>
        <v>63.601733213562241</v>
      </c>
      <c r="H29" s="4">
        <f t="shared" si="5"/>
        <v>62.885308752851898</v>
      </c>
      <c r="I29" s="4">
        <f t="shared" si="5"/>
        <v>71.115973327428279</v>
      </c>
      <c r="J29" s="4">
        <f t="shared" si="5"/>
        <v>72.679490526529207</v>
      </c>
      <c r="K29" s="4">
        <f t="shared" si="5"/>
        <v>69.628400825750361</v>
      </c>
      <c r="L29" s="4">
        <f t="shared" si="5"/>
        <v>74.296889335892871</v>
      </c>
      <c r="M29" s="4">
        <f t="shared" si="5"/>
        <v>75.580078193828157</v>
      </c>
      <c r="N29" s="4">
        <f t="shared" si="5"/>
        <v>89.912118864630088</v>
      </c>
      <c r="O29" s="4">
        <f t="shared" si="5"/>
        <v>84.563326931974188</v>
      </c>
      <c r="P29" s="18">
        <f>(O29*'Spot Prices'!P6/'Spot Prices'!O6)*($E$26)</f>
        <v>89.648944811475431</v>
      </c>
      <c r="Q29" s="18">
        <f>(P29*'Spot Prices'!Q6/'Spot Prices'!P6)*($E$26)</f>
        <v>92.384266626872602</v>
      </c>
      <c r="R29" s="18">
        <f>(Q29*'Spot Prices'!R6/'Spot Prices'!Q6)*($E$26)</f>
        <v>91.563403390005902</v>
      </c>
      <c r="S29" s="18">
        <f>(R29*'Spot Prices'!S6/'Spot Prices'!R6)*($E$26)</f>
        <v>97.024006312820333</v>
      </c>
      <c r="T29" s="18">
        <f>(S29*'Spot Prices'!T6/'Spot Prices'!S6)*($E$26)</f>
        <v>96.859666349395255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67.756450830508129</v>
      </c>
      <c r="G30" s="6">
        <f t="shared" si="6"/>
        <v>57.739698854207063</v>
      </c>
      <c r="H30" s="6">
        <f t="shared" si="6"/>
        <v>57.359155777477412</v>
      </c>
      <c r="I30" s="6">
        <f t="shared" si="6"/>
        <v>64.054464259519904</v>
      </c>
      <c r="J30" s="6">
        <f t="shared" si="6"/>
        <v>65.346689635835389</v>
      </c>
      <c r="K30" s="6">
        <f t="shared" si="6"/>
        <v>62.778547003920544</v>
      </c>
      <c r="L30" s="6">
        <f t="shared" si="6"/>
        <v>66.542481705439215</v>
      </c>
      <c r="M30" s="6">
        <f t="shared" si="6"/>
        <v>67.841665028114164</v>
      </c>
      <c r="N30" s="6">
        <f t="shared" si="6"/>
        <v>79.785388818600623</v>
      </c>
      <c r="O30" s="6">
        <f t="shared" si="6"/>
        <v>75.80778651267569</v>
      </c>
      <c r="P30" s="70">
        <f>(O30*'Spot Prices'!P7/'Spot Prices'!O7)*($E$26)</f>
        <v>81.815435109525851</v>
      </c>
      <c r="Q30" s="70">
        <f>(P30*'Spot Prices'!Q7/'Spot Prices'!P7)*($E$26)</f>
        <v>85.988963185355715</v>
      </c>
      <c r="R30" s="70">
        <f>(Q30*'Spot Prices'!R7/'Spot Prices'!Q7)*($E$26)</f>
        <v>86.432340526207426</v>
      </c>
      <c r="S30" s="70">
        <f>(R30*'Spot Prices'!S7/'Spot Prices'!R7)*($E$26)</f>
        <v>93.723751508310087</v>
      </c>
      <c r="T30" s="70">
        <f>(S30*'Spot Prices'!T7/'Spot Prices'!S7)*($E$26)</f>
        <v>93.424053798007961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62.503336711220619</v>
      </c>
      <c r="G31" s="71">
        <f t="shared" si="7"/>
        <v>53.438714817497512</v>
      </c>
      <c r="H31" s="71">
        <f t="shared" si="7"/>
        <v>53.164749451434915</v>
      </c>
      <c r="I31" s="71">
        <f t="shared" si="7"/>
        <v>58.568316498656301</v>
      </c>
      <c r="J31" s="71">
        <f t="shared" si="7"/>
        <v>59.721283118137904</v>
      </c>
      <c r="K31" s="71">
        <f t="shared" si="7"/>
        <v>57.867684042398558</v>
      </c>
      <c r="L31" s="71">
        <f t="shared" si="7"/>
        <v>61.147422847772077</v>
      </c>
      <c r="M31" s="71">
        <f t="shared" si="7"/>
        <v>62.077095924833039</v>
      </c>
      <c r="N31" s="71">
        <f t="shared" si="7"/>
        <v>72.389878768259337</v>
      </c>
      <c r="O31" s="71">
        <f t="shared" si="7"/>
        <v>68.955348072423135</v>
      </c>
      <c r="P31" s="72">
        <f>(O31*'Spot Prices'!P8/'Spot Prices'!O8)*($E$26)</f>
        <v>75.064673261075868</v>
      </c>
      <c r="Q31" s="72">
        <f>(P31*'Spot Prices'!Q8/'Spot Prices'!P8)*($E$26)</f>
        <v>79.607440414590016</v>
      </c>
      <c r="R31" s="72">
        <f>(Q31*'Spot Prices'!R8/'Spot Prices'!Q8)*($E$26)</f>
        <v>81.068547934988146</v>
      </c>
      <c r="S31" s="72">
        <f>(R31*'Spot Prices'!S8/'Spot Prices'!R8)*($E$26)</f>
        <v>88.896008405940449</v>
      </c>
      <c r="T31" s="72">
        <f>(S31*'Spot Prices'!T8/'Spot Prices'!S8)*($E$26)</f>
        <v>88.337647314406738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57.908048335525834</v>
      </c>
      <c r="G32" s="6">
        <f t="shared" si="8"/>
        <v>49.57396466703625</v>
      </c>
      <c r="H32" s="6">
        <f t="shared" si="8"/>
        <v>49.140803980544661</v>
      </c>
      <c r="I32" s="6">
        <f t="shared" si="8"/>
        <v>53.646122980255491</v>
      </c>
      <c r="J32" s="6">
        <f t="shared" si="8"/>
        <v>54.755678119193391</v>
      </c>
      <c r="K32" s="6">
        <f t="shared" si="8"/>
        <v>52.982055696394958</v>
      </c>
      <c r="L32" s="6">
        <f t="shared" si="8"/>
        <v>55.902836251419778</v>
      </c>
      <c r="M32" s="6">
        <f t="shared" si="8"/>
        <v>56.734849481409263</v>
      </c>
      <c r="N32" s="6">
        <f t="shared" si="8"/>
        <v>65.913388691938493</v>
      </c>
      <c r="O32" s="6">
        <f t="shared" si="8"/>
        <v>62.670902608413527</v>
      </c>
      <c r="P32" s="70">
        <f>(O32*'Spot Prices'!P9/'Spot Prices'!O9)*($E$26)</f>
        <v>67.110398252300129</v>
      </c>
      <c r="Q32" s="70">
        <f>(P32*'Spot Prices'!Q9/'Spot Prices'!P9)*($E$26)</f>
        <v>70.499009429341328</v>
      </c>
      <c r="R32" s="70">
        <f>(Q32*'Spot Prices'!R9/'Spot Prices'!Q9)*($E$26)</f>
        <v>70.094023062262593</v>
      </c>
      <c r="S32" s="70">
        <f>(R32*'Spot Prices'!S9/'Spot Prices'!R9)*($E$26)</f>
        <v>75.756644322661813</v>
      </c>
      <c r="T32" s="70">
        <f>(S32*'Spot Prices'!T9/'Spot Prices'!S9)*($E$26)</f>
        <v>74.262569546561224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52.75180805981325</v>
      </c>
      <c r="G33" s="4">
        <f t="shared" si="9"/>
        <v>45.148676719233386</v>
      </c>
      <c r="H33" s="4">
        <f t="shared" si="9"/>
        <v>44.301566067009091</v>
      </c>
      <c r="I33" s="4">
        <f t="shared" si="9"/>
        <v>48.007862666816116</v>
      </c>
      <c r="J33" s="4">
        <f t="shared" si="9"/>
        <v>49.265778257516537</v>
      </c>
      <c r="K33" s="4">
        <f t="shared" si="9"/>
        <v>47.363094144305634</v>
      </c>
      <c r="L33" s="4">
        <f t="shared" si="9"/>
        <v>49.553876329029073</v>
      </c>
      <c r="M33" s="4">
        <f t="shared" si="9"/>
        <v>50.368605666455757</v>
      </c>
      <c r="N33" s="4">
        <f t="shared" si="9"/>
        <v>58.725112412352395</v>
      </c>
      <c r="O33" s="4">
        <f t="shared" si="9"/>
        <v>55.494391879069148</v>
      </c>
      <c r="P33" s="18">
        <f>(O33*'Spot Prices'!P10/'Spot Prices'!O10)*($E$26)</f>
        <v>57.849236032338894</v>
      </c>
      <c r="Q33" s="18">
        <f>(P33*'Spot Prices'!Q10/'Spot Prices'!P10)*($E$26)</f>
        <v>58.72932059284426</v>
      </c>
      <c r="R33" s="18">
        <f>(Q33*'Spot Prices'!R10/'Spot Prices'!Q10)*($E$26)</f>
        <v>54.779122251743047</v>
      </c>
      <c r="S33" s="18">
        <f>(R33*'Spot Prices'!S10/'Spot Prices'!R10)*($E$26)</f>
        <v>58.001429477470673</v>
      </c>
      <c r="T33" s="18">
        <f>(S33*'Spot Prices'!T10/'Spot Prices'!S10)*($E$26)</f>
        <v>55.147535000779683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45.067441765992804</v>
      </c>
      <c r="G34" s="4">
        <f t="shared" si="10"/>
        <v>37.333494625414509</v>
      </c>
      <c r="H34" s="4">
        <f t="shared" si="10"/>
        <v>38.426810795449008</v>
      </c>
      <c r="I34" s="4">
        <f t="shared" si="10"/>
        <v>41.585863561016964</v>
      </c>
      <c r="J34" s="4">
        <f t="shared" si="10"/>
        <v>41.256699496468023</v>
      </c>
      <c r="K34" s="4">
        <f t="shared" si="10"/>
        <v>40.647070169242532</v>
      </c>
      <c r="L34" s="4">
        <f t="shared" si="10"/>
        <v>40.069345077912168</v>
      </c>
      <c r="M34" s="4">
        <f t="shared" si="10"/>
        <v>43.197674265457778</v>
      </c>
      <c r="N34" s="4">
        <f t="shared" si="10"/>
        <v>48.570011888967919</v>
      </c>
      <c r="O34" s="4">
        <f t="shared" si="10"/>
        <v>46.853771867723083</v>
      </c>
      <c r="P34" s="18">
        <f>(O34*'Spot Prices'!P11/'Spot Prices'!O11)*($E$26)</f>
        <v>46.375578502078362</v>
      </c>
      <c r="Q34" s="18">
        <f>(P34*'Spot Prices'!Q11/'Spot Prices'!P11)*($E$26)</f>
        <v>48.263068197892395</v>
      </c>
      <c r="R34" s="18">
        <f>(Q34*'Spot Prices'!R11/'Spot Prices'!Q11)*($E$26)</f>
        <v>44.929200086073564</v>
      </c>
      <c r="S34" s="18">
        <f>(R34*'Spot Prices'!S11/'Spot Prices'!R11)*($E$26)</f>
        <v>46.816362420657228</v>
      </c>
      <c r="T34" s="18">
        <f>(S34*'Spot Prices'!T11/'Spot Prices'!S11)*($E$26)</f>
        <v>43.159292976307157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63.076036136073022</v>
      </c>
      <c r="G35" s="6">
        <f t="shared" si="11"/>
        <v>53.779357874198084</v>
      </c>
      <c r="H35" s="6">
        <f t="shared" si="11"/>
        <v>53.34758347501726</v>
      </c>
      <c r="I35" s="6">
        <f t="shared" si="11"/>
        <v>59.013975938723469</v>
      </c>
      <c r="J35" s="6">
        <f t="shared" si="11"/>
        <v>60.257147895732132</v>
      </c>
      <c r="K35" s="6">
        <f t="shared" si="11"/>
        <v>58.055823148024785</v>
      </c>
      <c r="L35" s="6">
        <f t="shared" si="11"/>
        <v>61.39408546907336</v>
      </c>
      <c r="M35" s="6">
        <f t="shared" si="11"/>
        <v>62.428116370543634</v>
      </c>
      <c r="N35" s="6">
        <f t="shared" si="11"/>
        <v>73.096222567070711</v>
      </c>
      <c r="O35" s="6">
        <f t="shared" si="11"/>
        <v>69.362590933919194</v>
      </c>
      <c r="P35" s="70">
        <f>(O35*'Spot Prices'!P12/'Spot Prices'!O12)*($E$26)</f>
        <v>74.465889848601734</v>
      </c>
      <c r="Q35" s="70">
        <f>(P35*'Spot Prices'!Q12/'Spot Prices'!P12)*($E$26)</f>
        <v>77.91166104097303</v>
      </c>
      <c r="R35" s="70">
        <f>(Q35*'Spot Prices'!R12/'Spot Prices'!Q12)*($E$26)</f>
        <v>77.684428105696469</v>
      </c>
      <c r="S35" s="70">
        <f>(R35*'Spot Prices'!S12/'Spot Prices'!R12)*($E$26)</f>
        <v>83.941725510504753</v>
      </c>
      <c r="T35" s="70">
        <f>(S35*'Spot Prices'!T12/'Spot Prices'!S12)*($E$26)</f>
        <v>82.942019361183327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88.806429813978539</v>
      </c>
      <c r="G17" s="16">
        <f>WindFarmAvPrice!G28</f>
        <v>73.803351575053924</v>
      </c>
      <c r="H17" s="16">
        <f>WindFarmAvPrice!H28</f>
        <v>76.962453245352577</v>
      </c>
      <c r="I17" s="16">
        <f>WindFarmAvPrice!I28</f>
        <v>85.512737859199675</v>
      </c>
      <c r="J17" s="16">
        <f>WindFarmAvPrice!J28</f>
        <v>88.698375183658968</v>
      </c>
      <c r="K17" s="16">
        <f>WindFarmAvPrice!K28</f>
        <v>82.159567171794237</v>
      </c>
      <c r="L17" s="16">
        <f>WindFarmAvPrice!L28</f>
        <v>92.870347168595245</v>
      </c>
      <c r="M17" s="16">
        <f>WindFarmAvPrice!M28</f>
        <v>90.769251757496946</v>
      </c>
      <c r="N17" s="16">
        <f>WindFarmAvPrice!N28</f>
        <v>112.1433914120849</v>
      </c>
      <c r="O17" s="16">
        <f>WindFarmAvPrice!O28</f>
        <v>102.86308071396179</v>
      </c>
      <c r="P17" s="16">
        <f>WindFarmAvPrice!P28</f>
        <v>105.3002930098847</v>
      </c>
      <c r="Q17" s="16">
        <f>WindFarmAvPrice!Q28</f>
        <v>109.98321472087724</v>
      </c>
      <c r="R17" s="16">
        <f>WindFarmAvPrice!R28</f>
        <v>107.63420333210478</v>
      </c>
      <c r="S17" s="16">
        <f>WindFarmAvPrice!S28</f>
        <v>114.51335729134897</v>
      </c>
      <c r="T17" s="16">
        <f>WindFarmAvPrice!T28</f>
        <v>111.5852444780049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75.1606690071483</v>
      </c>
      <c r="G18" s="16">
        <f>WindFarmAvPrice!G29</f>
        <v>63.601733213562241</v>
      </c>
      <c r="H18" s="16">
        <f>WindFarmAvPrice!H29</f>
        <v>62.885308752851898</v>
      </c>
      <c r="I18" s="16">
        <f>WindFarmAvPrice!I29</f>
        <v>71.115973327428279</v>
      </c>
      <c r="J18" s="16">
        <f>WindFarmAvPrice!J29</f>
        <v>72.679490526529207</v>
      </c>
      <c r="K18" s="16">
        <f>WindFarmAvPrice!K29</f>
        <v>69.628400825750361</v>
      </c>
      <c r="L18" s="16">
        <f>WindFarmAvPrice!L29</f>
        <v>74.296889335892871</v>
      </c>
      <c r="M18" s="16">
        <f>WindFarmAvPrice!M29</f>
        <v>75.580078193828157</v>
      </c>
      <c r="N18" s="16">
        <f>WindFarmAvPrice!N29</f>
        <v>89.912118864630088</v>
      </c>
      <c r="O18" s="16">
        <f>WindFarmAvPrice!O29</f>
        <v>84.563326931974188</v>
      </c>
      <c r="P18" s="16">
        <f>WindFarmAvPrice!P29</f>
        <v>89.648944811475431</v>
      </c>
      <c r="Q18" s="16">
        <f>WindFarmAvPrice!Q29</f>
        <v>92.384266626872602</v>
      </c>
      <c r="R18" s="16">
        <f>WindFarmAvPrice!R29</f>
        <v>91.563403390005902</v>
      </c>
      <c r="S18" s="16">
        <f>WindFarmAvPrice!S29</f>
        <v>97.024006312820333</v>
      </c>
      <c r="T18" s="16">
        <f>WindFarmAvPrice!T29</f>
        <v>96.859666349395255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67.756450830508129</v>
      </c>
      <c r="G19" s="66">
        <f>WindFarmAvPrice!G30</f>
        <v>57.739698854207063</v>
      </c>
      <c r="H19" s="66">
        <f>WindFarmAvPrice!H30</f>
        <v>57.359155777477412</v>
      </c>
      <c r="I19" s="66">
        <f>WindFarmAvPrice!I30</f>
        <v>64.054464259519904</v>
      </c>
      <c r="J19" s="66">
        <f>WindFarmAvPrice!J30</f>
        <v>65.346689635835389</v>
      </c>
      <c r="K19" s="66">
        <f>WindFarmAvPrice!K30</f>
        <v>62.778547003920544</v>
      </c>
      <c r="L19" s="66">
        <f>WindFarmAvPrice!L30</f>
        <v>66.542481705439215</v>
      </c>
      <c r="M19" s="66">
        <f>WindFarmAvPrice!M30</f>
        <v>67.841665028114164</v>
      </c>
      <c r="N19" s="66">
        <f>WindFarmAvPrice!N30</f>
        <v>79.785388818600623</v>
      </c>
      <c r="O19" s="66">
        <f>WindFarmAvPrice!O30</f>
        <v>75.80778651267569</v>
      </c>
      <c r="P19" s="66">
        <f>WindFarmAvPrice!P30</f>
        <v>81.815435109525851</v>
      </c>
      <c r="Q19" s="66">
        <f>WindFarmAvPrice!Q30</f>
        <v>85.988963185355715</v>
      </c>
      <c r="R19" s="66">
        <f>WindFarmAvPrice!R30</f>
        <v>86.432340526207426</v>
      </c>
      <c r="S19" s="66">
        <f>WindFarmAvPrice!S30</f>
        <v>93.723751508310087</v>
      </c>
      <c r="T19" s="66">
        <f>WindFarmAvPrice!T30</f>
        <v>93.424053798007961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62.503336711220619</v>
      </c>
      <c r="G20" s="68">
        <f>WindFarmAvPrice!G31</f>
        <v>53.438714817497512</v>
      </c>
      <c r="H20" s="68">
        <f>WindFarmAvPrice!H31</f>
        <v>53.164749451434915</v>
      </c>
      <c r="I20" s="68">
        <f>WindFarmAvPrice!I31</f>
        <v>58.568316498656301</v>
      </c>
      <c r="J20" s="68">
        <f>WindFarmAvPrice!J31</f>
        <v>59.721283118137904</v>
      </c>
      <c r="K20" s="68">
        <f>WindFarmAvPrice!K31</f>
        <v>57.867684042398558</v>
      </c>
      <c r="L20" s="68">
        <f>WindFarmAvPrice!L31</f>
        <v>61.147422847772077</v>
      </c>
      <c r="M20" s="68">
        <f>WindFarmAvPrice!M31</f>
        <v>62.077095924833039</v>
      </c>
      <c r="N20" s="68">
        <f>WindFarmAvPrice!N31</f>
        <v>72.389878768259337</v>
      </c>
      <c r="O20" s="68">
        <f>WindFarmAvPrice!O31</f>
        <v>68.955348072423135</v>
      </c>
      <c r="P20" s="68">
        <f>WindFarmAvPrice!P31</f>
        <v>75.064673261075868</v>
      </c>
      <c r="Q20" s="68">
        <f>WindFarmAvPrice!Q31</f>
        <v>79.607440414590016</v>
      </c>
      <c r="R20" s="68">
        <f>WindFarmAvPrice!R31</f>
        <v>81.068547934988146</v>
      </c>
      <c r="S20" s="68">
        <f>WindFarmAvPrice!S31</f>
        <v>88.896008405940449</v>
      </c>
      <c r="T20" s="68">
        <f>WindFarmAvPrice!T31</f>
        <v>88.337647314406738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57.908048335525834</v>
      </c>
      <c r="G21" s="66">
        <f>WindFarmAvPrice!G32</f>
        <v>49.57396466703625</v>
      </c>
      <c r="H21" s="66">
        <f>WindFarmAvPrice!H32</f>
        <v>49.140803980544661</v>
      </c>
      <c r="I21" s="66">
        <f>WindFarmAvPrice!I32</f>
        <v>53.646122980255491</v>
      </c>
      <c r="J21" s="66">
        <f>WindFarmAvPrice!J32</f>
        <v>54.755678119193391</v>
      </c>
      <c r="K21" s="66">
        <f>WindFarmAvPrice!K32</f>
        <v>52.982055696394958</v>
      </c>
      <c r="L21" s="66">
        <f>WindFarmAvPrice!L32</f>
        <v>55.902836251419778</v>
      </c>
      <c r="M21" s="66">
        <f>WindFarmAvPrice!M32</f>
        <v>56.734849481409263</v>
      </c>
      <c r="N21" s="66">
        <f>WindFarmAvPrice!N32</f>
        <v>65.913388691938493</v>
      </c>
      <c r="O21" s="66">
        <f>WindFarmAvPrice!O32</f>
        <v>62.670902608413527</v>
      </c>
      <c r="P21" s="66">
        <f>WindFarmAvPrice!P32</f>
        <v>67.110398252300129</v>
      </c>
      <c r="Q21" s="66">
        <f>WindFarmAvPrice!Q32</f>
        <v>70.499009429341328</v>
      </c>
      <c r="R21" s="66">
        <f>WindFarmAvPrice!R32</f>
        <v>70.094023062262593</v>
      </c>
      <c r="S21" s="66">
        <f>WindFarmAvPrice!S32</f>
        <v>75.756644322661813</v>
      </c>
      <c r="T21" s="66">
        <f>WindFarmAvPrice!T32</f>
        <v>74.262569546561224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52.75180805981325</v>
      </c>
      <c r="G22" s="16">
        <f>WindFarmAvPrice!G33</f>
        <v>45.148676719233386</v>
      </c>
      <c r="H22" s="16">
        <f>WindFarmAvPrice!H33</f>
        <v>44.301566067009091</v>
      </c>
      <c r="I22" s="16">
        <f>WindFarmAvPrice!I33</f>
        <v>48.007862666816116</v>
      </c>
      <c r="J22" s="16">
        <f>WindFarmAvPrice!J33</f>
        <v>49.265778257516537</v>
      </c>
      <c r="K22" s="16">
        <f>WindFarmAvPrice!K33</f>
        <v>47.363094144305634</v>
      </c>
      <c r="L22" s="16">
        <f>WindFarmAvPrice!L33</f>
        <v>49.553876329029073</v>
      </c>
      <c r="M22" s="16">
        <f>WindFarmAvPrice!M33</f>
        <v>50.368605666455757</v>
      </c>
      <c r="N22" s="16">
        <f>WindFarmAvPrice!N33</f>
        <v>58.725112412352395</v>
      </c>
      <c r="O22" s="16">
        <f>WindFarmAvPrice!O33</f>
        <v>55.494391879069148</v>
      </c>
      <c r="P22" s="16">
        <f>WindFarmAvPrice!P33</f>
        <v>57.849236032338894</v>
      </c>
      <c r="Q22" s="16">
        <f>WindFarmAvPrice!Q33</f>
        <v>58.72932059284426</v>
      </c>
      <c r="R22" s="16">
        <f>WindFarmAvPrice!R33</f>
        <v>54.779122251743047</v>
      </c>
      <c r="S22" s="16">
        <f>WindFarmAvPrice!S33</f>
        <v>58.001429477470673</v>
      </c>
      <c r="T22" s="16">
        <f>WindFarmAvPrice!T33</f>
        <v>55.147535000779683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45.067441765992804</v>
      </c>
      <c r="G23" s="16">
        <f>WindFarmAvPrice!G34</f>
        <v>37.333494625414509</v>
      </c>
      <c r="H23" s="16">
        <f>WindFarmAvPrice!H34</f>
        <v>38.426810795449008</v>
      </c>
      <c r="I23" s="16">
        <f>WindFarmAvPrice!I34</f>
        <v>41.585863561016964</v>
      </c>
      <c r="J23" s="16">
        <f>WindFarmAvPrice!J34</f>
        <v>41.256699496468023</v>
      </c>
      <c r="K23" s="16">
        <f>WindFarmAvPrice!K34</f>
        <v>40.647070169242532</v>
      </c>
      <c r="L23" s="16">
        <f>WindFarmAvPrice!L34</f>
        <v>40.069345077912168</v>
      </c>
      <c r="M23" s="16">
        <f>WindFarmAvPrice!M34</f>
        <v>43.197674265457778</v>
      </c>
      <c r="N23" s="16">
        <f>WindFarmAvPrice!N34</f>
        <v>48.570011888967919</v>
      </c>
      <c r="O23" s="16">
        <f>WindFarmAvPrice!O34</f>
        <v>46.853771867723083</v>
      </c>
      <c r="P23" s="16">
        <f>WindFarmAvPrice!P34</f>
        <v>46.375578502078362</v>
      </c>
      <c r="Q23" s="16">
        <f>WindFarmAvPrice!Q34</f>
        <v>48.263068197892395</v>
      </c>
      <c r="R23" s="16">
        <f>WindFarmAvPrice!R34</f>
        <v>44.929200086073564</v>
      </c>
      <c r="S23" s="16">
        <f>WindFarmAvPrice!S34</f>
        <v>46.816362420657228</v>
      </c>
      <c r="T23" s="16">
        <f>WindFarmAvPrice!T34</f>
        <v>43.159292976307157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112.4350084654686</v>
      </c>
      <c r="G28" s="4">
        <f t="shared" si="3"/>
        <v>96.484112519943821</v>
      </c>
      <c r="H28" s="4">
        <f t="shared" si="3"/>
        <v>95.952702798220884</v>
      </c>
      <c r="I28" s="4">
        <f t="shared" si="3"/>
        <v>102.00590061374228</v>
      </c>
      <c r="J28" s="4">
        <f t="shared" si="3"/>
        <v>102.80523215262511</v>
      </c>
      <c r="K28" s="4">
        <f t="shared" si="3"/>
        <v>95.26777759556218</v>
      </c>
      <c r="L28" s="4">
        <f t="shared" si="3"/>
        <v>105.51070207967986</v>
      </c>
      <c r="M28" s="4">
        <f t="shared" si="3"/>
        <v>104.10344993436067</v>
      </c>
      <c r="N28" s="4">
        <f t="shared" ref="N28:T28" si="4">N17+N6</f>
        <v>112.1433914120849</v>
      </c>
      <c r="O28" s="4">
        <f t="shared" si="4"/>
        <v>102.86308071396179</v>
      </c>
      <c r="P28" s="4">
        <f t="shared" si="4"/>
        <v>105.3002930098847</v>
      </c>
      <c r="Q28" s="4">
        <f t="shared" si="4"/>
        <v>109.98321472087724</v>
      </c>
      <c r="R28" s="4">
        <f t="shared" si="4"/>
        <v>107.63420333210478</v>
      </c>
      <c r="S28" s="4">
        <f t="shared" si="4"/>
        <v>114.51335729134897</v>
      </c>
      <c r="T28" s="4">
        <f t="shared" si="4"/>
        <v>111.5852444780049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98.960265782103278</v>
      </c>
      <c r="G29" s="4">
        <f t="shared" si="5"/>
        <v>85.385585787373614</v>
      </c>
      <c r="H29" s="4">
        <f t="shared" si="5"/>
        <v>80.906478881280435</v>
      </c>
      <c r="I29" s="4">
        <f t="shared" si="5"/>
        <v>85.697321236209859</v>
      </c>
      <c r="J29" s="4">
        <f t="shared" si="5"/>
        <v>85.58067593359749</v>
      </c>
      <c r="K29" s="4">
        <f t="shared" si="5"/>
        <v>81.617424296463213</v>
      </c>
      <c r="L29" s="4">
        <f t="shared" si="5"/>
        <v>86.144655662023197</v>
      </c>
      <c r="M29" s="4">
        <f t="shared" si="5"/>
        <v>87.993607755850647</v>
      </c>
      <c r="N29" s="4">
        <f t="shared" ref="N29:T29" si="6">N18+N7</f>
        <v>89.912118864630088</v>
      </c>
      <c r="O29" s="4">
        <f t="shared" si="6"/>
        <v>84.563326931974188</v>
      </c>
      <c r="P29" s="4">
        <f t="shared" si="6"/>
        <v>89.648944811475431</v>
      </c>
      <c r="Q29" s="4">
        <f t="shared" si="6"/>
        <v>92.384266626872602</v>
      </c>
      <c r="R29" s="4">
        <f t="shared" si="6"/>
        <v>91.563403390005902</v>
      </c>
      <c r="S29" s="4">
        <f t="shared" si="6"/>
        <v>97.024006312820333</v>
      </c>
      <c r="T29" s="4">
        <f t="shared" si="6"/>
        <v>96.859666349395255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86.47431571140784</v>
      </c>
      <c r="G30" s="6">
        <f t="shared" si="5"/>
        <v>74.237379444107319</v>
      </c>
      <c r="H30" s="6">
        <f t="shared" si="5"/>
        <v>69.990818298375942</v>
      </c>
      <c r="I30" s="6">
        <f t="shared" si="5"/>
        <v>75.332924932281372</v>
      </c>
      <c r="J30" s="6">
        <f t="shared" si="5"/>
        <v>75.61201848712669</v>
      </c>
      <c r="K30" s="6">
        <f t="shared" si="5"/>
        <v>72.265661846740628</v>
      </c>
      <c r="L30" s="6">
        <f t="shared" si="5"/>
        <v>75.312049026329817</v>
      </c>
      <c r="M30" s="6">
        <f t="shared" si="5"/>
        <v>76.926834200393813</v>
      </c>
      <c r="N30" s="6">
        <f t="shared" ref="N30:T30" si="7">N19+N8</f>
        <v>79.785388818600623</v>
      </c>
      <c r="O30" s="6">
        <f t="shared" si="7"/>
        <v>75.80778651267569</v>
      </c>
      <c r="P30" s="6">
        <f t="shared" si="7"/>
        <v>81.815435109525851</v>
      </c>
      <c r="Q30" s="6">
        <f t="shared" si="7"/>
        <v>85.988963185355715</v>
      </c>
      <c r="R30" s="6">
        <f t="shared" si="7"/>
        <v>86.432340526207426</v>
      </c>
      <c r="S30" s="6">
        <f t="shared" si="7"/>
        <v>93.723751508310087</v>
      </c>
      <c r="T30" s="6">
        <f t="shared" si="7"/>
        <v>93.424053798007961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75.482085272583859</v>
      </c>
      <c r="G31" s="71">
        <f t="shared" si="5"/>
        <v>66.196212727554027</v>
      </c>
      <c r="H31" s="71">
        <f t="shared" si="5"/>
        <v>63.427092168550011</v>
      </c>
      <c r="I31" s="71">
        <f t="shared" si="5"/>
        <v>67.777648228049188</v>
      </c>
      <c r="J31" s="71">
        <f t="shared" si="5"/>
        <v>68.492784319769626</v>
      </c>
      <c r="K31" s="71">
        <f t="shared" si="5"/>
        <v>65.920904255851241</v>
      </c>
      <c r="L31" s="71">
        <f t="shared" si="5"/>
        <v>69.035464254380116</v>
      </c>
      <c r="M31" s="71">
        <f t="shared" si="5"/>
        <v>70.006413019849958</v>
      </c>
      <c r="N31" s="71">
        <f t="shared" ref="N31:T31" si="8">N20+N9</f>
        <v>72.389878768259337</v>
      </c>
      <c r="O31" s="71">
        <f t="shared" si="8"/>
        <v>68.955348072423135</v>
      </c>
      <c r="P31" s="71">
        <f t="shared" si="8"/>
        <v>75.064673261075868</v>
      </c>
      <c r="Q31" s="71">
        <f t="shared" si="8"/>
        <v>79.607440414590016</v>
      </c>
      <c r="R31" s="71">
        <f t="shared" si="8"/>
        <v>81.068547934988146</v>
      </c>
      <c r="S31" s="71">
        <f t="shared" si="8"/>
        <v>88.896008405940449</v>
      </c>
      <c r="T31" s="71">
        <f t="shared" si="8"/>
        <v>88.337647314406738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70.826254821529119</v>
      </c>
      <c r="G32" s="6">
        <f t="shared" si="5"/>
        <v>60.821386241726302</v>
      </c>
      <c r="H32" s="6">
        <f t="shared" si="5"/>
        <v>58.425346661032464</v>
      </c>
      <c r="I32" s="6">
        <f t="shared" si="5"/>
        <v>61.350368366842247</v>
      </c>
      <c r="J32" s="6">
        <f t="shared" si="5"/>
        <v>62.965952528719356</v>
      </c>
      <c r="K32" s="6">
        <f t="shared" si="5"/>
        <v>60.105636352053892</v>
      </c>
      <c r="L32" s="6">
        <f t="shared" si="5"/>
        <v>63.024435616961902</v>
      </c>
      <c r="M32" s="6">
        <f t="shared" si="5"/>
        <v>64.062166179452362</v>
      </c>
      <c r="N32" s="6">
        <f t="shared" ref="N32:T32" si="9">N21+N10</f>
        <v>65.913388691938493</v>
      </c>
      <c r="O32" s="6">
        <f t="shared" si="9"/>
        <v>62.670902608413527</v>
      </c>
      <c r="P32" s="6">
        <f t="shared" si="9"/>
        <v>67.110398252300129</v>
      </c>
      <c r="Q32" s="6">
        <f t="shared" si="9"/>
        <v>70.499009429341328</v>
      </c>
      <c r="R32" s="6">
        <f t="shared" si="9"/>
        <v>70.094023062262593</v>
      </c>
      <c r="S32" s="6">
        <f t="shared" si="9"/>
        <v>75.756644322661813</v>
      </c>
      <c r="T32" s="6">
        <f t="shared" si="9"/>
        <v>74.262569546561224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62.508537067937169</v>
      </c>
      <c r="G33" s="4">
        <f t="shared" si="5"/>
        <v>53.759008711564064</v>
      </c>
      <c r="H33" s="4">
        <f t="shared" si="5"/>
        <v>50.414345838781543</v>
      </c>
      <c r="I33" s="4">
        <f t="shared" si="5"/>
        <v>56.737998071817145</v>
      </c>
      <c r="J33" s="4">
        <f t="shared" si="5"/>
        <v>56.937436313819816</v>
      </c>
      <c r="K33" s="4">
        <f t="shared" si="5"/>
        <v>53.124194904139273</v>
      </c>
      <c r="L33" s="4">
        <f t="shared" si="5"/>
        <v>56.148987130373229</v>
      </c>
      <c r="M33" s="4">
        <f t="shared" si="5"/>
        <v>56.215101288202035</v>
      </c>
      <c r="N33" s="4">
        <f t="shared" ref="N33:T33" si="10">N22+N11</f>
        <v>58.725112412352395</v>
      </c>
      <c r="O33" s="4">
        <f t="shared" si="10"/>
        <v>55.494391879069148</v>
      </c>
      <c r="P33" s="4">
        <f t="shared" si="10"/>
        <v>57.849236032338894</v>
      </c>
      <c r="Q33" s="4">
        <f t="shared" si="10"/>
        <v>58.72932059284426</v>
      </c>
      <c r="R33" s="4">
        <f t="shared" si="10"/>
        <v>54.779122251743047</v>
      </c>
      <c r="S33" s="4">
        <f t="shared" si="10"/>
        <v>58.001429477470673</v>
      </c>
      <c r="T33" s="4">
        <f t="shared" si="10"/>
        <v>55.147535000779683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50.666076551835154</v>
      </c>
      <c r="G34" s="4">
        <f t="shared" si="5"/>
        <v>42.125943229085912</v>
      </c>
      <c r="H34" s="4">
        <f t="shared" si="5"/>
        <v>43.160255841033234</v>
      </c>
      <c r="I34" s="4">
        <f t="shared" si="5"/>
        <v>46.409815423867677</v>
      </c>
      <c r="J34" s="4">
        <f t="shared" si="5"/>
        <v>45.978317232673113</v>
      </c>
      <c r="K34" s="4">
        <f t="shared" si="5"/>
        <v>45.053488723791943</v>
      </c>
      <c r="L34" s="4">
        <f t="shared" si="5"/>
        <v>44.500851994372297</v>
      </c>
      <c r="M34" s="4">
        <f t="shared" si="5"/>
        <v>47.001983481759481</v>
      </c>
      <c r="N34" s="4">
        <f t="shared" ref="N34:T34" si="11">N23+N12</f>
        <v>48.570011888967919</v>
      </c>
      <c r="O34" s="4">
        <f t="shared" si="11"/>
        <v>46.853771867723083</v>
      </c>
      <c r="P34" s="4">
        <f t="shared" si="11"/>
        <v>46.375578502078362</v>
      </c>
      <c r="Q34" s="4">
        <f t="shared" si="11"/>
        <v>48.263068197892395</v>
      </c>
      <c r="R34" s="4">
        <f t="shared" si="11"/>
        <v>44.929200086073564</v>
      </c>
      <c r="S34" s="4">
        <f t="shared" si="11"/>
        <v>46.816362420657228</v>
      </c>
      <c r="T34" s="4">
        <f t="shared" si="11"/>
        <v>43.159292976307157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78.698839113236829</v>
      </c>
      <c r="G35" s="6">
        <f t="shared" si="12"/>
        <v>67.763178306147523</v>
      </c>
      <c r="H35" s="6">
        <f t="shared" si="12"/>
        <v>64.425102971865158</v>
      </c>
      <c r="I35" s="6">
        <f t="shared" si="12"/>
        <v>68.84876441553979</v>
      </c>
      <c r="J35" s="6">
        <f t="shared" si="12"/>
        <v>69.614534597847722</v>
      </c>
      <c r="K35" s="6">
        <f t="shared" si="12"/>
        <v>66.401851548439566</v>
      </c>
      <c r="L35" s="6">
        <f t="shared" si="12"/>
        <v>69.5799343905923</v>
      </c>
      <c r="M35" s="6">
        <f t="shared" si="12"/>
        <v>70.774793720030971</v>
      </c>
      <c r="N35" s="6">
        <f t="shared" ref="N35:T35" si="13">SUMPRODUCT($A$28:$A$34,N28:N34)/SUM($A$28:$A$34)</f>
        <v>73.147478081553999</v>
      </c>
      <c r="O35" s="6">
        <f t="shared" si="13"/>
        <v>69.409935307616479</v>
      </c>
      <c r="P35" s="6">
        <f t="shared" si="13"/>
        <v>74.429206854815945</v>
      </c>
      <c r="Q35" s="6">
        <f t="shared" si="13"/>
        <v>77.940468644314748</v>
      </c>
      <c r="R35" s="6">
        <f t="shared" si="13"/>
        <v>77.658738266764203</v>
      </c>
      <c r="S35" s="6">
        <f t="shared" si="13"/>
        <v>83.894016724498485</v>
      </c>
      <c r="T35" s="6">
        <f t="shared" si="13"/>
        <v>82.896797870121986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H13" workbookViewId="0">
      <selection activeCell="K21" sqref="K21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112.4350084654686</v>
      </c>
      <c r="G6" s="16">
        <f>PPAPrice!G28</f>
        <v>96.484112519943821</v>
      </c>
      <c r="H6" s="16">
        <f>PPAPrice!H28</f>
        <v>95.952702798220884</v>
      </c>
      <c r="I6" s="16">
        <f>PPAPrice!I28</f>
        <v>102.00590061374228</v>
      </c>
      <c r="J6" s="16">
        <f>PPAPrice!J28</f>
        <v>102.80523215262511</v>
      </c>
      <c r="K6" s="16">
        <f>PPAPrice!K28</f>
        <v>95.26777759556218</v>
      </c>
      <c r="L6" s="16">
        <f>PPAPrice!L28</f>
        <v>105.51070207967986</v>
      </c>
      <c r="M6" s="16">
        <f>PPAPrice!M28</f>
        <v>104.10344993436067</v>
      </c>
      <c r="N6" s="16">
        <f>PPAPrice!N28</f>
        <v>112.1433914120849</v>
      </c>
      <c r="O6" s="16">
        <f>PPAPrice!O28</f>
        <v>102.86308071396179</v>
      </c>
      <c r="P6" s="16">
        <f>PPAPrice!P28</f>
        <v>105.3002930098847</v>
      </c>
      <c r="Q6" s="16">
        <f>PPAPrice!Q28</f>
        <v>109.98321472087724</v>
      </c>
      <c r="R6" s="16">
        <f>PPAPrice!R28</f>
        <v>107.63420333210478</v>
      </c>
      <c r="S6" s="16">
        <f>PPAPrice!S28</f>
        <v>114.51335729134897</v>
      </c>
      <c r="T6" s="16">
        <f>PPAPrice!T28</f>
        <v>111.5852444780049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98.960265782103278</v>
      </c>
      <c r="G7" s="16">
        <f>PPAPrice!G29</f>
        <v>85.385585787373614</v>
      </c>
      <c r="H7" s="16">
        <f>PPAPrice!H29</f>
        <v>80.906478881280435</v>
      </c>
      <c r="I7" s="16">
        <f>PPAPrice!I29</f>
        <v>85.697321236209859</v>
      </c>
      <c r="J7" s="16">
        <f>PPAPrice!J29</f>
        <v>85.58067593359749</v>
      </c>
      <c r="K7" s="16">
        <f>PPAPrice!K29</f>
        <v>81.617424296463213</v>
      </c>
      <c r="L7" s="16">
        <f>PPAPrice!L29</f>
        <v>86.144655662023197</v>
      </c>
      <c r="M7" s="16">
        <f>PPAPrice!M29</f>
        <v>87.993607755850647</v>
      </c>
      <c r="N7" s="16">
        <f>PPAPrice!N29</f>
        <v>89.912118864630088</v>
      </c>
      <c r="O7" s="16">
        <f>PPAPrice!O29</f>
        <v>84.563326931974188</v>
      </c>
      <c r="P7" s="16">
        <f>PPAPrice!P29</f>
        <v>89.648944811475431</v>
      </c>
      <c r="Q7" s="16">
        <f>PPAPrice!Q29</f>
        <v>92.384266626872602</v>
      </c>
      <c r="R7" s="16">
        <f>PPAPrice!R29</f>
        <v>91.563403390005902</v>
      </c>
      <c r="S7" s="16">
        <f>PPAPrice!S29</f>
        <v>97.024006312820333</v>
      </c>
      <c r="T7" s="16">
        <f>PPAPrice!T29</f>
        <v>96.859666349395255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86.47431571140784</v>
      </c>
      <c r="G8" s="66">
        <f>PPAPrice!G30</f>
        <v>74.237379444107319</v>
      </c>
      <c r="H8" s="66">
        <f>PPAPrice!H30</f>
        <v>69.990818298375942</v>
      </c>
      <c r="I8" s="66">
        <f>PPAPrice!I30</f>
        <v>75.332924932281372</v>
      </c>
      <c r="J8" s="66">
        <f>PPAPrice!J30</f>
        <v>75.61201848712669</v>
      </c>
      <c r="K8" s="66">
        <f>PPAPrice!K30</f>
        <v>72.265661846740628</v>
      </c>
      <c r="L8" s="66">
        <f>PPAPrice!L30</f>
        <v>75.312049026329817</v>
      </c>
      <c r="M8" s="66">
        <f>PPAPrice!M30</f>
        <v>76.926834200393813</v>
      </c>
      <c r="N8" s="66">
        <f>PPAPrice!N30</f>
        <v>79.785388818600623</v>
      </c>
      <c r="O8" s="66">
        <f>PPAPrice!O30</f>
        <v>75.80778651267569</v>
      </c>
      <c r="P8" s="66">
        <f>PPAPrice!P30</f>
        <v>81.815435109525851</v>
      </c>
      <c r="Q8" s="66">
        <f>PPAPrice!Q30</f>
        <v>85.988963185355715</v>
      </c>
      <c r="R8" s="66">
        <f>PPAPrice!R30</f>
        <v>86.432340526207426</v>
      </c>
      <c r="S8" s="66">
        <f>PPAPrice!S30</f>
        <v>93.723751508310087</v>
      </c>
      <c r="T8" s="66">
        <f>PPAPrice!T30</f>
        <v>93.424053798007961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75.482085272583859</v>
      </c>
      <c r="G9" s="68">
        <f>PPAPrice!G31</f>
        <v>66.196212727554027</v>
      </c>
      <c r="H9" s="68">
        <f>PPAPrice!H31</f>
        <v>63.427092168550011</v>
      </c>
      <c r="I9" s="68">
        <f>PPAPrice!I31</f>
        <v>67.777648228049188</v>
      </c>
      <c r="J9" s="68">
        <f>PPAPrice!J31</f>
        <v>68.492784319769626</v>
      </c>
      <c r="K9" s="68">
        <f>PPAPrice!K31</f>
        <v>65.920904255851241</v>
      </c>
      <c r="L9" s="68">
        <f>PPAPrice!L31</f>
        <v>69.035464254380116</v>
      </c>
      <c r="M9" s="68">
        <f>PPAPrice!M31</f>
        <v>70.006413019849958</v>
      </c>
      <c r="N9" s="68">
        <f>PPAPrice!N31</f>
        <v>72.389878768259337</v>
      </c>
      <c r="O9" s="68">
        <f>PPAPrice!O31</f>
        <v>68.955348072423135</v>
      </c>
      <c r="P9" s="68">
        <f>PPAPrice!P31</f>
        <v>75.064673261075868</v>
      </c>
      <c r="Q9" s="68">
        <f>PPAPrice!Q31</f>
        <v>79.607440414590016</v>
      </c>
      <c r="R9" s="68">
        <f>PPAPrice!R31</f>
        <v>81.068547934988146</v>
      </c>
      <c r="S9" s="68">
        <f>PPAPrice!S31</f>
        <v>88.896008405940449</v>
      </c>
      <c r="T9" s="68">
        <f>PPAPrice!T31</f>
        <v>88.337647314406738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70.826254821529119</v>
      </c>
      <c r="G10" s="66">
        <f>PPAPrice!G32</f>
        <v>60.821386241726302</v>
      </c>
      <c r="H10" s="66">
        <f>PPAPrice!H32</f>
        <v>58.425346661032464</v>
      </c>
      <c r="I10" s="66">
        <f>PPAPrice!I32</f>
        <v>61.350368366842247</v>
      </c>
      <c r="J10" s="66">
        <f>PPAPrice!J32</f>
        <v>62.965952528719356</v>
      </c>
      <c r="K10" s="66">
        <f>PPAPrice!K32</f>
        <v>60.105636352053892</v>
      </c>
      <c r="L10" s="66">
        <f>PPAPrice!L32</f>
        <v>63.024435616961902</v>
      </c>
      <c r="M10" s="66">
        <f>PPAPrice!M32</f>
        <v>64.062166179452362</v>
      </c>
      <c r="N10" s="66">
        <f>PPAPrice!N32</f>
        <v>65.913388691938493</v>
      </c>
      <c r="O10" s="66">
        <f>PPAPrice!O32</f>
        <v>62.670902608413527</v>
      </c>
      <c r="P10" s="66">
        <f>PPAPrice!P32</f>
        <v>67.110398252300129</v>
      </c>
      <c r="Q10" s="66">
        <f>PPAPrice!Q32</f>
        <v>70.499009429341328</v>
      </c>
      <c r="R10" s="66">
        <f>PPAPrice!R32</f>
        <v>70.094023062262593</v>
      </c>
      <c r="S10" s="66">
        <f>PPAPrice!S32</f>
        <v>75.756644322661813</v>
      </c>
      <c r="T10" s="66">
        <f>PPAPrice!T32</f>
        <v>74.262569546561224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62.508537067937169</v>
      </c>
      <c r="G11" s="16">
        <f>PPAPrice!G33</f>
        <v>53.759008711564064</v>
      </c>
      <c r="H11" s="16">
        <f>PPAPrice!H33</f>
        <v>50.414345838781543</v>
      </c>
      <c r="I11" s="16">
        <f>PPAPrice!I33</f>
        <v>56.737998071817145</v>
      </c>
      <c r="J11" s="16">
        <f>PPAPrice!J33</f>
        <v>56.937436313819816</v>
      </c>
      <c r="K11" s="16">
        <f>PPAPrice!K33</f>
        <v>53.124194904139273</v>
      </c>
      <c r="L11" s="16">
        <f>PPAPrice!L33</f>
        <v>56.148987130373229</v>
      </c>
      <c r="M11" s="16">
        <f>PPAPrice!M33</f>
        <v>56.215101288202035</v>
      </c>
      <c r="N11" s="16">
        <f>PPAPrice!N33</f>
        <v>58.725112412352395</v>
      </c>
      <c r="O11" s="16">
        <f>PPAPrice!O33</f>
        <v>55.494391879069148</v>
      </c>
      <c r="P11" s="16">
        <f>PPAPrice!P33</f>
        <v>57.849236032338894</v>
      </c>
      <c r="Q11" s="16">
        <f>PPAPrice!Q33</f>
        <v>58.72932059284426</v>
      </c>
      <c r="R11" s="16">
        <f>PPAPrice!R33</f>
        <v>54.779122251743047</v>
      </c>
      <c r="S11" s="16">
        <f>PPAPrice!S33</f>
        <v>58.001429477470673</v>
      </c>
      <c r="T11" s="16">
        <f>PPAPrice!T33</f>
        <v>55.147535000779683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50.666076551835154</v>
      </c>
      <c r="G12" s="16">
        <f>PPAPrice!G34</f>
        <v>42.125943229085912</v>
      </c>
      <c r="H12" s="16">
        <f>PPAPrice!H34</f>
        <v>43.160255841033234</v>
      </c>
      <c r="I12" s="16">
        <f>PPAPrice!I34</f>
        <v>46.409815423867677</v>
      </c>
      <c r="J12" s="16">
        <f>PPAPrice!J34</f>
        <v>45.978317232673113</v>
      </c>
      <c r="K12" s="16">
        <f>PPAPrice!K34</f>
        <v>45.053488723791943</v>
      </c>
      <c r="L12" s="16">
        <f>PPAPrice!L34</f>
        <v>44.500851994372297</v>
      </c>
      <c r="M12" s="16">
        <f>PPAPrice!M34</f>
        <v>47.001983481759481</v>
      </c>
      <c r="N12" s="16">
        <f>PPAPrice!N34</f>
        <v>48.570011888967919</v>
      </c>
      <c r="O12" s="16">
        <f>PPAPrice!O34</f>
        <v>46.853771867723083</v>
      </c>
      <c r="P12" s="16">
        <f>PPAPrice!P34</f>
        <v>46.375578502078362</v>
      </c>
      <c r="Q12" s="16">
        <f>PPAPrice!Q34</f>
        <v>48.263068197892395</v>
      </c>
      <c r="R12" s="16">
        <f>PPAPrice!R34</f>
        <v>44.929200086073564</v>
      </c>
      <c r="S12" s="16">
        <f>PPAPrice!S34</f>
        <v>46.816362420657228</v>
      </c>
      <c r="T12" s="16">
        <f>PPAPrice!T34</f>
        <v>43.159292976307157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28566039.744818877</v>
      </c>
      <c r="G28" s="73">
        <f t="shared" si="4"/>
        <v>19179000.014053375</v>
      </c>
      <c r="H28" s="73">
        <f t="shared" si="4"/>
        <v>17868473.066819534</v>
      </c>
      <c r="I28" s="73">
        <f t="shared" si="4"/>
        <v>20198920.864350058</v>
      </c>
      <c r="J28" s="73">
        <f t="shared" si="4"/>
        <v>19936177.535937529</v>
      </c>
      <c r="K28" s="73">
        <f t="shared" si="4"/>
        <v>15337436.277853223</v>
      </c>
      <c r="L28" s="73">
        <f t="shared" si="4"/>
        <v>19481992.949251581</v>
      </c>
      <c r="M28" s="73">
        <f t="shared" si="4"/>
        <v>17886255.53799111</v>
      </c>
      <c r="N28" s="73">
        <f t="shared" si="4"/>
        <v>21222987.588811122</v>
      </c>
      <c r="O28" s="73">
        <f t="shared" si="4"/>
        <v>15585977.455912219</v>
      </c>
      <c r="P28" s="73">
        <f t="shared" si="4"/>
        <v>15915952.604049928</v>
      </c>
      <c r="Q28" s="73">
        <f t="shared" si="4"/>
        <v>17732706.391014211</v>
      </c>
      <c r="R28" s="73">
        <f t="shared" si="4"/>
        <v>15716901.963889744</v>
      </c>
      <c r="S28" s="73">
        <f t="shared" si="4"/>
        <v>17875575.947479371</v>
      </c>
      <c r="T28" s="73">
        <f t="shared" si="4"/>
        <v>15250655.251416072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20053397.867657121</v>
      </c>
      <c r="G29" s="73">
        <f t="shared" si="5"/>
        <v>12814810.71424228</v>
      </c>
      <c r="H29" s="73">
        <f t="shared" si="5"/>
        <v>9961058.1589274127</v>
      </c>
      <c r="I29" s="73">
        <f t="shared" si="5"/>
        <v>11532909.938074911</v>
      </c>
      <c r="J29" s="73">
        <f t="shared" si="5"/>
        <v>10758120.660301276</v>
      </c>
      <c r="K29" s="73">
        <f t="shared" si="5"/>
        <v>8057175.3353429055</v>
      </c>
      <c r="L29" s="73">
        <f t="shared" si="5"/>
        <v>9423805.4455061052</v>
      </c>
      <c r="M29" s="73">
        <f t="shared" si="5"/>
        <v>9515582.5627922751</v>
      </c>
      <c r="N29" s="73">
        <f t="shared" si="5"/>
        <v>9635499.1025566719</v>
      </c>
      <c r="O29" s="73">
        <f t="shared" si="5"/>
        <v>6236745.1591145787</v>
      </c>
      <c r="P29" s="73">
        <f t="shared" si="5"/>
        <v>7784870.6926454268</v>
      </c>
      <c r="Q29" s="73">
        <f t="shared" si="5"/>
        <v>8247096.3216619203</v>
      </c>
      <c r="R29" s="73">
        <f t="shared" si="5"/>
        <v>6934097.1145695476</v>
      </c>
      <c r="S29" s="73">
        <f t="shared" si="5"/>
        <v>8626862.6573712379</v>
      </c>
      <c r="T29" s="73">
        <f t="shared" si="5"/>
        <v>7607636.5542755835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13614829.827161105</v>
      </c>
      <c r="G30" s="74">
        <f t="shared" si="5"/>
        <v>7218284.8792932946</v>
      </c>
      <c r="H30" s="74">
        <f t="shared" si="5"/>
        <v>4539891.0110584283</v>
      </c>
      <c r="I30" s="74">
        <f t="shared" si="5"/>
        <v>6326278.8234031145</v>
      </c>
      <c r="J30" s="74">
        <f t="shared" si="5"/>
        <v>5754159.7703516325</v>
      </c>
      <c r="K30" s="74">
        <f t="shared" si="5"/>
        <v>3445083.0533897723</v>
      </c>
      <c r="L30" s="74">
        <f t="shared" si="5"/>
        <v>4093810.301794888</v>
      </c>
      <c r="M30" s="74">
        <f t="shared" si="5"/>
        <v>4081392.8966298793</v>
      </c>
      <c r="N30" s="74">
        <f t="shared" si="5"/>
        <v>4604346.5847855303</v>
      </c>
      <c r="O30" s="74">
        <f t="shared" si="5"/>
        <v>1936866.5914465815</v>
      </c>
      <c r="P30" s="74">
        <f t="shared" si="5"/>
        <v>3919283.3456996391</v>
      </c>
      <c r="Q30" s="74">
        <f t="shared" si="5"/>
        <v>4997956.4359967588</v>
      </c>
      <c r="R30" s="74">
        <f t="shared" si="5"/>
        <v>4341984.449229572</v>
      </c>
      <c r="S30" s="74">
        <f t="shared" si="5"/>
        <v>6827473.3529346166</v>
      </c>
      <c r="T30" s="74">
        <f t="shared" si="5"/>
        <v>5768308.2970377356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8293069.7662406433</v>
      </c>
      <c r="G31" s="75">
        <f t="shared" si="5"/>
        <v>3378289.3586946107</v>
      </c>
      <c r="H31" s="75">
        <f t="shared" si="5"/>
        <v>1430178.1618219099</v>
      </c>
      <c r="I31" s="75">
        <f t="shared" si="5"/>
        <v>2732337.2261213772</v>
      </c>
      <c r="J31" s="75">
        <f t="shared" si="5"/>
        <v>2360271.5198300397</v>
      </c>
      <c r="K31" s="75">
        <f t="shared" si="5"/>
        <v>450112.74974998517</v>
      </c>
      <c r="L31" s="75">
        <f t="shared" si="5"/>
        <v>1133246.753158882</v>
      </c>
      <c r="M31" s="75">
        <f t="shared" si="5"/>
        <v>815233.20998466131</v>
      </c>
      <c r="N31" s="75">
        <f t="shared" si="5"/>
        <v>1123380.6811438939</v>
      </c>
      <c r="O31" s="75">
        <f t="shared" si="5"/>
        <v>-1257263.4575877923</v>
      </c>
      <c r="P31" s="75">
        <f t="shared" si="5"/>
        <v>728591.40818381193</v>
      </c>
      <c r="Q31" s="75">
        <f t="shared" si="5"/>
        <v>1966981.3243338447</v>
      </c>
      <c r="R31" s="75">
        <f t="shared" si="5"/>
        <v>1773963.765345963</v>
      </c>
      <c r="S31" s="75">
        <f t="shared" si="5"/>
        <v>4498067.7678679843</v>
      </c>
      <c r="T31" s="75">
        <f t="shared" si="5"/>
        <v>3320850.586539072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6033638.4153489191</v>
      </c>
      <c r="G32" s="74">
        <f t="shared" si="5"/>
        <v>893047.68047220027</v>
      </c>
      <c r="H32" s="74">
        <f t="shared" si="5"/>
        <v>-843059.41301123507</v>
      </c>
      <c r="I32" s="74">
        <f t="shared" si="5"/>
        <v>-208190.00192690329</v>
      </c>
      <c r="J32" s="74">
        <f t="shared" si="5"/>
        <v>-176601.45051009255</v>
      </c>
      <c r="K32" s="74">
        <f t="shared" si="5"/>
        <v>-2179699.6429688591</v>
      </c>
      <c r="L32" s="74">
        <f t="shared" si="5"/>
        <v>-1585438.3504815095</v>
      </c>
      <c r="M32" s="74">
        <f t="shared" si="5"/>
        <v>-1869742.4435727561</v>
      </c>
      <c r="N32" s="74">
        <f t="shared" si="5"/>
        <v>-1804927.3843646443</v>
      </c>
      <c r="O32" s="74">
        <f t="shared" si="5"/>
        <v>-4062355.4014722859</v>
      </c>
      <c r="P32" s="74">
        <f t="shared" si="5"/>
        <v>-2853425.8454408487</v>
      </c>
      <c r="Q32" s="74">
        <f t="shared" si="5"/>
        <v>-2159960.03066881</v>
      </c>
      <c r="R32" s="74">
        <f t="shared" si="5"/>
        <v>-3188705.9654844566</v>
      </c>
      <c r="S32" s="74">
        <f t="shared" si="5"/>
        <v>-1508892.3548298583</v>
      </c>
      <c r="T32" s="74">
        <f t="shared" si="5"/>
        <v>-3070802.367702004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2223356.5953277797</v>
      </c>
      <c r="G33" s="73">
        <f t="shared" si="5"/>
        <v>-2209087.8546852884</v>
      </c>
      <c r="H33" s="73">
        <f t="shared" si="5"/>
        <v>-4303959.8452489674</v>
      </c>
      <c r="I33" s="73">
        <f t="shared" si="5"/>
        <v>-2207695.911829025</v>
      </c>
      <c r="J33" s="73">
        <f t="shared" si="5"/>
        <v>-2794438.0940456348</v>
      </c>
      <c r="K33" s="73">
        <f t="shared" si="5"/>
        <v>-5132296.1457995558</v>
      </c>
      <c r="L33" s="73">
        <f t="shared" si="5"/>
        <v>-4505686.4820962176</v>
      </c>
      <c r="M33" s="73">
        <f t="shared" si="5"/>
        <v>-5227854.3334779413</v>
      </c>
      <c r="N33" s="73">
        <f t="shared" si="5"/>
        <v>-4880119.1157569261</v>
      </c>
      <c r="O33" s="73">
        <f t="shared" si="5"/>
        <v>-7060683.2993704639</v>
      </c>
      <c r="P33" s="73">
        <f t="shared" si="5"/>
        <v>-6779571.9407612178</v>
      </c>
      <c r="Q33" s="73">
        <f t="shared" si="5"/>
        <v>-7185166.4120985391</v>
      </c>
      <c r="R33" s="73">
        <f t="shared" si="5"/>
        <v>-9707664.7343042735</v>
      </c>
      <c r="S33" s="73">
        <f t="shared" si="5"/>
        <v>-9172255.2525620945</v>
      </c>
      <c r="T33" s="73">
        <f t="shared" si="5"/>
        <v>-11236875.037547985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-2760843.3567973408</v>
      </c>
      <c r="G34" s="73">
        <f t="shared" si="5"/>
        <v>-6993263.6765145119</v>
      </c>
      <c r="H34" s="73">
        <f t="shared" si="5"/>
        <v>-7141502.280683673</v>
      </c>
      <c r="I34" s="73">
        <f t="shared" si="5"/>
        <v>-6348354.2618838204</v>
      </c>
      <c r="J34" s="73">
        <f t="shared" si="5"/>
        <v>-7214547.3325086534</v>
      </c>
      <c r="K34" s="73">
        <f t="shared" si="5"/>
        <v>-8178576.4177831905</v>
      </c>
      <c r="L34" s="73">
        <f t="shared" si="5"/>
        <v>-9001497.1029015407</v>
      </c>
      <c r="M34" s="73">
        <f t="shared" si="5"/>
        <v>-8758339.8664946537</v>
      </c>
      <c r="N34" s="73">
        <f t="shared" si="5"/>
        <v>-8930676.1942317523</v>
      </c>
      <c r="O34" s="73">
        <f t="shared" si="5"/>
        <v>-10319823.414104834</v>
      </c>
      <c r="P34" s="73">
        <f t="shared" si="5"/>
        <v>-11325679.457185889</v>
      </c>
      <c r="Q34" s="73">
        <f t="shared" si="5"/>
        <v>-11220367.735248208</v>
      </c>
      <c r="R34" s="73">
        <f t="shared" si="5"/>
        <v>-13173363.950045982</v>
      </c>
      <c r="S34" s="73">
        <f t="shared" si="5"/>
        <v>-13192398.134270061</v>
      </c>
      <c r="T34" s="73">
        <f t="shared" si="5"/>
        <v>-15712078.242718162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9916997.1262300704</v>
      </c>
      <c r="G35" s="74">
        <f t="shared" si="6"/>
        <v>4220054.735712192</v>
      </c>
      <c r="H35" s="74">
        <f t="shared" si="6"/>
        <v>2005155.8076344277</v>
      </c>
      <c r="I35" s="74">
        <f t="shared" si="6"/>
        <v>3343446.761955407</v>
      </c>
      <c r="J35" s="74">
        <f t="shared" si="6"/>
        <v>2991995.7434511348</v>
      </c>
      <c r="K35" s="74">
        <f t="shared" si="6"/>
        <v>784223.32587714051</v>
      </c>
      <c r="L35" s="74">
        <f t="shared" si="6"/>
        <v>1498541.0229353164</v>
      </c>
      <c r="M35" s="74">
        <f t="shared" si="6"/>
        <v>1288291.0283111529</v>
      </c>
      <c r="N35" s="74">
        <f t="shared" si="6"/>
        <v>1593983.8443763542</v>
      </c>
      <c r="O35" s="74">
        <f t="shared" si="6"/>
        <v>-932076.46844251943</v>
      </c>
      <c r="P35" s="74">
        <f t="shared" si="6"/>
        <v>569565.38721094455</v>
      </c>
      <c r="Q35" s="74">
        <f t="shared" si="6"/>
        <v>1343909.9244241479</v>
      </c>
      <c r="R35" s="74">
        <f t="shared" si="6"/>
        <v>367625.91581403313</v>
      </c>
      <c r="S35" s="74">
        <f t="shared" si="6"/>
        <v>2342227.3074538447</v>
      </c>
      <c r="T35" s="74">
        <f t="shared" si="6"/>
        <v>990418.65420870378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topLeftCell="B1" workbookViewId="0">
      <selection activeCell="C16" sqref="C1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[1]MarinusSnowyYallourn!BB4</f>
        <v>24.064397308113612</v>
      </c>
      <c r="F6" s="80">
        <f>[1]MarinusSnowyYallourn!BC4</f>
        <v>34.824210954398474</v>
      </c>
      <c r="G6" s="80">
        <f>[1]MarinusSnowyYallourn!BD4</f>
        <v>32.745468956196106</v>
      </c>
      <c r="H6" s="80">
        <f>[1]MarinusSnowyYallourn!BE4</f>
        <v>33.214349310556187</v>
      </c>
      <c r="I6" s="80">
        <f>[1]MarinusSnowyYallourn!BF4</f>
        <v>39.174250601805191</v>
      </c>
      <c r="J6" s="80">
        <f>[1]MarinusSnowyYallourn!BG4</f>
        <v>44.224580779242373</v>
      </c>
      <c r="K6" s="80">
        <f>[1]MarinusSnowyYallourn!BH4</f>
        <v>32.37940701740353</v>
      </c>
      <c r="L6" s="80">
        <f>[1]MarinusSnowyYallourn!BI4</f>
        <v>40.820160185173684</v>
      </c>
      <c r="M6" s="80">
        <f>[1]MarinusSnowyYallourn!BJ4</f>
        <v>40.568721661726833</v>
      </c>
      <c r="N6" s="80">
        <f>[1]MarinusSnowyYallourn!BK4</f>
        <v>51.357197298021077</v>
      </c>
      <c r="O6" s="80">
        <f>[1]MarinusSnowyYallourn!BL4</f>
        <v>46.800083254621399</v>
      </c>
      <c r="P6" s="80">
        <f>[1]MarinusSnowyYallourn!BM4</f>
        <v>54.503907565929872</v>
      </c>
      <c r="Q6" s="80">
        <f>[1]MarinusSnowyYallourn!BN4</f>
        <v>54.941860142447666</v>
      </c>
      <c r="R6" s="80">
        <f>[1]MarinusSnowyYallourn!BO4</f>
        <v>64.761768196880752</v>
      </c>
      <c r="S6" s="80">
        <f>[1]MarinusSnowyYallourn!BP4</f>
        <v>65.307496171602978</v>
      </c>
      <c r="T6" s="80">
        <f>[1]MarinusSnowyYallourn!BQ4</f>
        <v>75.353244193562517</v>
      </c>
    </row>
    <row r="7" spans="1:21" x14ac:dyDescent="0.3">
      <c r="A7" s="3">
        <v>0.05</v>
      </c>
      <c r="B7" s="3">
        <v>0.95</v>
      </c>
      <c r="C7" s="14"/>
      <c r="D7" s="14"/>
      <c r="E7" s="80">
        <f>[1]MarinusSnowyYallourn!BB5</f>
        <v>10.781204701455694</v>
      </c>
      <c r="F7" s="80">
        <f>[1]MarinusSnowyYallourn!BC5</f>
        <v>14.789384980725577</v>
      </c>
      <c r="G7" s="80">
        <f>[1]MarinusSnowyYallourn!BD5</f>
        <v>15.38170295604737</v>
      </c>
      <c r="H7" s="80">
        <f>[1]MarinusSnowyYallourn!BE5</f>
        <v>15.702339618086462</v>
      </c>
      <c r="I7" s="80">
        <f>[1]MarinusSnowyYallourn!BF5</f>
        <v>18.654348148996103</v>
      </c>
      <c r="J7" s="80">
        <f>[1]MarinusSnowyYallourn!BG5</f>
        <v>18.514103246504654</v>
      </c>
      <c r="K7" s="80">
        <f>[1]MarinusSnowyYallourn!BH5</f>
        <v>17.286831388484543</v>
      </c>
      <c r="L7" s="80">
        <f>[1]MarinusSnowyYallourn!BI5</f>
        <v>19.619941061640802</v>
      </c>
      <c r="M7" s="80">
        <f>[1]MarinusSnowyYallourn!BJ5</f>
        <v>19.324064507152777</v>
      </c>
      <c r="N7" s="80">
        <f>[1]MarinusSnowyYallourn!BK5</f>
        <v>24.35591463722243</v>
      </c>
      <c r="O7" s="80">
        <f>[1]MarinusSnowyYallourn!BL5</f>
        <v>23.303643947636985</v>
      </c>
      <c r="P7" s="80">
        <f>[1]MarinusSnowyYallourn!BM5</f>
        <v>27.364688515657299</v>
      </c>
      <c r="Q7" s="80">
        <f>[1]MarinusSnowyYallourn!BN5</f>
        <v>30.180227907890245</v>
      </c>
      <c r="R7" s="80">
        <f>[1]MarinusSnowyYallourn!BO5</f>
        <v>35.733943772774033</v>
      </c>
      <c r="S7" s="80">
        <f>[1]MarinusSnowyYallourn!BP5</f>
        <v>39.76689384930291</v>
      </c>
      <c r="T7" s="80">
        <f>[1]MarinusSnowyYallourn!BQ5</f>
        <v>42.816183070379275</v>
      </c>
    </row>
    <row r="8" spans="1:21" x14ac:dyDescent="0.3">
      <c r="A8" s="3">
        <v>0.25</v>
      </c>
      <c r="B8" s="5">
        <v>0.75</v>
      </c>
      <c r="C8" s="46"/>
      <c r="D8" s="46"/>
      <c r="E8" s="78">
        <f>[1]MarinusSnowyYallourn!BB6</f>
        <v>4.605302661421133</v>
      </c>
      <c r="F8" s="78">
        <f>[1]MarinusSnowyYallourn!BC6</f>
        <v>6.331291369721793</v>
      </c>
      <c r="G8" s="78">
        <f>[1]MarinusSnowyYallourn!BD6</f>
        <v>6.6280700642255113</v>
      </c>
      <c r="H8" s="78">
        <f>[1]MarinusSnowyYallourn!BE6</f>
        <v>6.4164788082402886</v>
      </c>
      <c r="I8" s="78">
        <f>[1]MarinusSnowyYallourn!BF6</f>
        <v>8.0001921957737139</v>
      </c>
      <c r="J8" s="78">
        <f>[1]MarinusSnowyYallourn!BG6</f>
        <v>8.1314787239444151</v>
      </c>
      <c r="K8" s="78">
        <f>[1]MarinusSnowyYallourn!BH6</f>
        <v>7.4609897719116134</v>
      </c>
      <c r="L8" s="78">
        <f>[1]MarinusSnowyYallourn!BI6</f>
        <v>8.0727494592541831</v>
      </c>
      <c r="M8" s="78">
        <f>[1]MarinusSnowyYallourn!BJ6</f>
        <v>8.4411136595581162</v>
      </c>
      <c r="N8" s="78">
        <f>[1]MarinusSnowyYallourn!BK6</f>
        <v>10.559718888574611</v>
      </c>
      <c r="O8" s="78">
        <f>[1]MarinusSnowyYallourn!BL6</f>
        <v>9.8084740439880562</v>
      </c>
      <c r="P8" s="78">
        <f>[1]MarinusSnowyYallourn!BM6</f>
        <v>11.60634136828779</v>
      </c>
      <c r="Q8" s="78">
        <f>[1]MarinusSnowyYallourn!BN6</f>
        <v>12.454215603010216</v>
      </c>
      <c r="R8" s="78">
        <f>[1]MarinusSnowyYallourn!BO6</f>
        <v>13.744408902622265</v>
      </c>
      <c r="S8" s="78">
        <f>[1]MarinusSnowyYallourn!BP6</f>
        <v>15.693745662565174</v>
      </c>
      <c r="T8" s="78">
        <f>[1]MarinusSnowyYallourn!BQ6</f>
        <v>16.55169289027716</v>
      </c>
    </row>
    <row r="9" spans="1:21" x14ac:dyDescent="0.3">
      <c r="A9" s="3">
        <v>0.5</v>
      </c>
      <c r="B9" s="7">
        <v>0.5</v>
      </c>
      <c r="C9" s="41"/>
      <c r="D9" s="41"/>
      <c r="E9" s="79">
        <f>[1]MarinusSnowyYallourn!BB7</f>
        <v>3.0182943055123701E-4</v>
      </c>
      <c r="F9" s="79">
        <f>[1]MarinusSnowyYallourn!BC7</f>
        <v>0</v>
      </c>
      <c r="G9" s="79">
        <f>[1]MarinusSnowyYallourn!BD7</f>
        <v>-3.5527136788005009E-15</v>
      </c>
      <c r="H9" s="79">
        <f>[1]MarinusSnowyYallourn!BE7</f>
        <v>-7.1054273576010019E-15</v>
      </c>
      <c r="I9" s="79">
        <f>[1]MarinusSnowyYallourn!BF7</f>
        <v>6.183405575426093E-2</v>
      </c>
      <c r="J9" s="79">
        <f>[1]MarinusSnowyYallourn!BG7</f>
        <v>2.6350874604375463E-2</v>
      </c>
      <c r="K9" s="79">
        <f>[1]MarinusSnowyYallourn!BH7</f>
        <v>-6.3235425946011503E-2</v>
      </c>
      <c r="L9" s="79">
        <f>[1]MarinusSnowyYallourn!BI7</f>
        <v>-0.16172332171846193</v>
      </c>
      <c r="M9" s="79">
        <f>[1]MarinusSnowyYallourn!BJ7</f>
        <v>-0.2162227677004438</v>
      </c>
      <c r="N9" s="79">
        <f>[1]MarinusSnowyYallourn!BK7</f>
        <v>-5.7494655556688201E-2</v>
      </c>
      <c r="O9" s="79">
        <f>[1]MarinusSnowyYallourn!BL7</f>
        <v>-4.4445157591006534E-2</v>
      </c>
      <c r="P9" s="79">
        <f>[1]MarinusSnowyYallourn!BM7</f>
        <v>7.9439924244439908E-3</v>
      </c>
      <c r="Q9" s="79">
        <f>[1]MarinusSnowyYallourn!BN7</f>
        <v>-0.33925228045757194</v>
      </c>
      <c r="R9" s="79">
        <f>[1]MarinusSnowyYallourn!BO7</f>
        <v>-0.31255972248131059</v>
      </c>
      <c r="S9" s="79">
        <f>[1]MarinusSnowyYallourn!BP7</f>
        <v>-8.7156185669989839E-2</v>
      </c>
      <c r="T9" s="79">
        <f>[1]MarinusSnowyYallourn!BQ7</f>
        <v>-0.40384641676492805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[1]MarinusSnowyYallourn!BB8</f>
        <v>-5.1885847431415577</v>
      </c>
      <c r="F10" s="78">
        <f>[1]MarinusSnowyYallourn!BC8</f>
        <v>-7.2027770480994064</v>
      </c>
      <c r="G10" s="78">
        <f>[1]MarinusSnowyYallourn!BD8</f>
        <v>-6.7772630564819245</v>
      </c>
      <c r="H10" s="78">
        <f>[1]MarinusSnowyYallourn!BE8</f>
        <v>-6.5667118317594024</v>
      </c>
      <c r="I10" s="78">
        <f>[1]MarinusSnowyYallourn!BF8</f>
        <v>-8.3956532594818505</v>
      </c>
      <c r="J10" s="78">
        <f>[1]MarinusSnowyYallourn!BG8</f>
        <v>-8.4603023528879149</v>
      </c>
      <c r="K10" s="78">
        <f>[1]MarinusSnowyYallourn!BH8</f>
        <v>-7.7299191556004203</v>
      </c>
      <c r="L10" s="78">
        <f>[1]MarinusSnowyYallourn!BI8</f>
        <v>-9.0723304976551269</v>
      </c>
      <c r="M10" s="78">
        <f>[1]MarinusSnowyYallourn!BJ8</f>
        <v>-9.4962908796269119</v>
      </c>
      <c r="N10" s="78">
        <f>[1]MarinusSnowyYallourn!BK8</f>
        <v>-11.336212990157904</v>
      </c>
      <c r="O10" s="78">
        <f>[1]MarinusSnowyYallourn!BL8</f>
        <v>-11.124832716583526</v>
      </c>
      <c r="P10" s="78">
        <f>[1]MarinusSnowyYallourn!BM8</f>
        <v>-11.282454125896443</v>
      </c>
      <c r="Q10" s="78">
        <f>[1]MarinusSnowyYallourn!BN8</f>
        <v>-10.977855250899736</v>
      </c>
      <c r="R10" s="78">
        <f>[1]MarinusSnowyYallourn!BO8</f>
        <v>-10.09182650327363</v>
      </c>
      <c r="S10" s="78">
        <f>[1]MarinusSnowyYallourn!BP8</f>
        <v>-9.4169390573055303</v>
      </c>
      <c r="T10" s="78">
        <f>[1]MarinusSnowyYallourn!BQ8</f>
        <v>-10.464403695783343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[1]MarinusSnowyYallourn!BB9</f>
        <v>-12.801640963837713</v>
      </c>
      <c r="F11" s="80">
        <f>[1]MarinusSnowyYallourn!BC9</f>
        <v>-17.558054301490856</v>
      </c>
      <c r="G11" s="80">
        <f>[1]MarinusSnowyYallourn!BD9</f>
        <v>-16.908445100988182</v>
      </c>
      <c r="H11" s="80">
        <f>[1]MarinusSnowyYallourn!BE9</f>
        <v>-16.29695605078745</v>
      </c>
      <c r="I11" s="80">
        <f>[1]MarinusSnowyYallourn!BF9</f>
        <v>-20.864861723321599</v>
      </c>
      <c r="J11" s="80">
        <f>[1]MarinusSnowyYallourn!BG9</f>
        <v>-20.927181877876102</v>
      </c>
      <c r="K11" s="80">
        <f>[1]MarinusSnowyYallourn!BH9</f>
        <v>-18.996444309674146</v>
      </c>
      <c r="L11" s="80">
        <f>[1]MarinusSnowyYallourn!BI9</f>
        <v>-21.748537489527674</v>
      </c>
      <c r="M11" s="80">
        <f>[1]MarinusSnowyYallourn!BJ9</f>
        <v>-22.771677476694503</v>
      </c>
      <c r="N11" s="80">
        <f>[1]MarinusSnowyYallourn!BK9</f>
        <v>-28.808528165914435</v>
      </c>
      <c r="O11" s="80">
        <f>[1]MarinusSnowyYallourn!BL9</f>
        <v>-27.049793847719815</v>
      </c>
      <c r="P11" s="80">
        <f>[1]MarinusSnowyYallourn!BM9</f>
        <v>-26.219311313458832</v>
      </c>
      <c r="Q11" s="80">
        <f>[1]MarinusSnowyYallourn!BN9</f>
        <v>-24.493641969354233</v>
      </c>
      <c r="R11" s="80">
        <f>[1]MarinusSnowyYallourn!BO9</f>
        <v>-21.894130632941955</v>
      </c>
      <c r="S11" s="80">
        <f>[1]MarinusSnowyYallourn!BP9</f>
        <v>-18.963122702035388</v>
      </c>
      <c r="T11" s="80">
        <f>[1]MarinusSnowyYallourn!BQ9</f>
        <v>-20.782079094533341</v>
      </c>
    </row>
    <row r="12" spans="1:21" x14ac:dyDescent="0.3">
      <c r="A12" s="3">
        <v>1</v>
      </c>
      <c r="B12" s="3">
        <v>0</v>
      </c>
      <c r="C12" s="14"/>
      <c r="D12" s="14"/>
      <c r="E12" s="80">
        <f>[1]MarinusSnowyYallourn!BB10</f>
        <v>-30.055145199297023</v>
      </c>
      <c r="F12" s="80">
        <f>[1]MarinusSnowyYallourn!BC10</f>
        <v>-45.408315085106345</v>
      </c>
      <c r="G12" s="80">
        <f>[1]MarinusSnowyYallourn!BD10</f>
        <v>-33.946503329341738</v>
      </c>
      <c r="H12" s="80">
        <f>[1]MarinusSnowyYallourn!BE10</f>
        <v>-44.122657542284799</v>
      </c>
      <c r="I12" s="80">
        <f>[1]MarinusSnowyYallourn!BF10</f>
        <v>-47.651908053983256</v>
      </c>
      <c r="J12" s="80">
        <f>[1]MarinusSnowyYallourn!BG10</f>
        <v>-53.624244201966384</v>
      </c>
      <c r="K12" s="80">
        <f>[1]MarinusSnowyYallourn!BH10</f>
        <v>-42.008745300183804</v>
      </c>
      <c r="L12" s="80">
        <f>[1]MarinusSnowyYallourn!BI10</f>
        <v>-54.367756594731134</v>
      </c>
      <c r="M12" s="80">
        <f>[1]MarinusSnowyYallourn!BJ10</f>
        <v>-54.207993741680099</v>
      </c>
      <c r="N12" s="80">
        <f>[1]MarinusSnowyYallourn!BK10</f>
        <v>-63.015767470699245</v>
      </c>
      <c r="O12" s="80">
        <f>[1]MarinusSnowyYallourn!BL10</f>
        <v>-68.795412198626039</v>
      </c>
      <c r="P12" s="80">
        <f>[1]MarinusSnowyYallourn!BM10</f>
        <v>-51.55544368490915</v>
      </c>
      <c r="Q12" s="80">
        <f>[1]MarinusSnowyYallourn!BN10</f>
        <v>-55.43572605446326</v>
      </c>
      <c r="R12" s="80">
        <f>[1]MarinusSnowyYallourn!BO10</f>
        <v>-53.86140268053579</v>
      </c>
      <c r="S12" s="80">
        <f>[1]MarinusSnowyYallourn!BP10</f>
        <v>-45.815053756992654</v>
      </c>
      <c r="T12" s="80">
        <f>[1]MarinusSnowyYallourn!BQ10</f>
        <v>-54.476169335664707</v>
      </c>
    </row>
    <row r="13" spans="1:21" x14ac:dyDescent="0.3">
      <c r="B13" s="9" t="s">
        <v>19</v>
      </c>
      <c r="C13" s="66"/>
      <c r="D13" s="66"/>
      <c r="E13" s="81">
        <f>[1]MarinusSnowyYallourn!BB11</f>
        <v>-0.39985770535543019</v>
      </c>
      <c r="F13" s="81">
        <f>[1]MarinusSnowyYallourn!BC11</f>
        <v>-0.57044308373977071</v>
      </c>
      <c r="G13" s="81">
        <f>[1]MarinusSnowyYallourn!BD11</f>
        <v>-0.29307349001254862</v>
      </c>
      <c r="H13" s="81">
        <f>[1]MarinusSnowyYallourn!BE11</f>
        <v>-0.13335664060592062</v>
      </c>
      <c r="I13" s="81">
        <f>[1]MarinusSnowyYallourn!BF11</f>
        <v>-0.39338176571961864</v>
      </c>
      <c r="J13" s="81">
        <f>[1]MarinusSnowyYallourn!BG11</f>
        <v>-0.44289048017038196</v>
      </c>
      <c r="K13" s="81">
        <f>[1]MarinusSnowyYallourn!BH11</f>
        <v>-0.33517402769128668</v>
      </c>
      <c r="L13" s="81">
        <f>[1]MarinusSnowyYallourn!BI11</f>
        <v>-0.55423948240251353</v>
      </c>
      <c r="M13" s="81">
        <f>[1]MarinusSnowyYallourn!BJ11</f>
        <v>-0.71435737693724044</v>
      </c>
      <c r="N13" s="81">
        <f>[1]MarinusSnowyYallourn!BK11</f>
        <v>-0.78120621288520187</v>
      </c>
      <c r="O13" s="81">
        <f>[1]MarinusSnowyYallourn!BL11</f>
        <v>-0.83789467994384237</v>
      </c>
      <c r="P13" s="81">
        <f>[1]MarinusSnowyYallourn!BM11</f>
        <v>0.26484655680979213</v>
      </c>
      <c r="Q13" s="81">
        <f>[1]MarinusSnowyYallourn!BN11</f>
        <v>1.0245664980603584</v>
      </c>
      <c r="R13" s="81">
        <f>[1]MarinusSnowyYallourn!BO11</f>
        <v>2.6277812181610907</v>
      </c>
      <c r="S13" s="81">
        <f>[1]MarinusSnowyYallourn!BP11</f>
        <v>4.27771657775184</v>
      </c>
      <c r="T13" s="81">
        <f>[1]MarinusSnowyYallourn!BQ11</f>
        <v>4.364092380472802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10540206.020953761</v>
      </c>
      <c r="F28" s="73">
        <f t="shared" ref="F28:T28" si="3">F17*F6</f>
        <v>15253004.398026532</v>
      </c>
      <c r="G28" s="73">
        <f t="shared" si="3"/>
        <v>14381809.96556133</v>
      </c>
      <c r="H28" s="73">
        <f t="shared" si="3"/>
        <v>14547884.998023611</v>
      </c>
      <c r="I28" s="73">
        <f t="shared" si="3"/>
        <v>17158321.763590675</v>
      </c>
      <c r="J28" s="73">
        <f t="shared" si="3"/>
        <v>19370366.381308161</v>
      </c>
      <c r="K28" s="73">
        <f t="shared" si="3"/>
        <v>14221035.56204363</v>
      </c>
      <c r="L28" s="73">
        <f t="shared" si="3"/>
        <v>17879230.161106072</v>
      </c>
      <c r="M28" s="73">
        <f t="shared" si="3"/>
        <v>17769100.087836351</v>
      </c>
      <c r="N28" s="73">
        <f t="shared" si="3"/>
        <v>22494452.416533232</v>
      </c>
      <c r="O28" s="73">
        <f t="shared" si="3"/>
        <v>20554596.565429717</v>
      </c>
      <c r="P28" s="73">
        <f t="shared" si="3"/>
        <v>23872711.513877284</v>
      </c>
      <c r="Q28" s="73">
        <f t="shared" si="3"/>
        <v>24064534.742392078</v>
      </c>
      <c r="R28" s="73">
        <f t="shared" si="3"/>
        <v>28365654.470233768</v>
      </c>
      <c r="S28" s="73">
        <f t="shared" si="3"/>
        <v>28683052.318568029</v>
      </c>
      <c r="T28" s="73">
        <f t="shared" si="3"/>
        <v>33004720.956780382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4722167.6592375943</v>
      </c>
      <c r="F29" s="73">
        <f t="shared" si="4"/>
        <v>6477750.6215578029</v>
      </c>
      <c r="G29" s="73">
        <f t="shared" si="4"/>
        <v>6755643.9382960051</v>
      </c>
      <c r="H29" s="73">
        <f t="shared" si="4"/>
        <v>6877624.7527218703</v>
      </c>
      <c r="I29" s="73">
        <f t="shared" si="4"/>
        <v>8170604.4892602935</v>
      </c>
      <c r="J29" s="73">
        <f t="shared" si="4"/>
        <v>8109177.2219690382</v>
      </c>
      <c r="K29" s="73">
        <f t="shared" si="4"/>
        <v>7592376.3458224116</v>
      </c>
      <c r="L29" s="73">
        <f t="shared" si="4"/>
        <v>8593534.1849986706</v>
      </c>
      <c r="M29" s="73">
        <f t="shared" si="4"/>
        <v>8463940.2541329153</v>
      </c>
      <c r="N29" s="73">
        <f t="shared" si="4"/>
        <v>10667890.611103425</v>
      </c>
      <c r="O29" s="73">
        <f t="shared" si="4"/>
        <v>10234960.421802163</v>
      </c>
      <c r="P29" s="73">
        <f t="shared" si="4"/>
        <v>11985733.569857897</v>
      </c>
      <c r="Q29" s="73">
        <f t="shared" si="4"/>
        <v>13218939.823655928</v>
      </c>
      <c r="R29" s="73">
        <f t="shared" si="4"/>
        <v>15651467.372475026</v>
      </c>
      <c r="S29" s="73">
        <f t="shared" si="4"/>
        <v>17465619.778613839</v>
      </c>
      <c r="T29" s="73">
        <f t="shared" si="4"/>
        <v>18753488.184826121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2017122.5657024563</v>
      </c>
      <c r="F30" s="74">
        <f t="shared" si="4"/>
        <v>2773105.6199381454</v>
      </c>
      <c r="G30" s="74">
        <f t="shared" si="4"/>
        <v>2911048.3722078446</v>
      </c>
      <c r="H30" s="74">
        <f t="shared" si="4"/>
        <v>2810417.7180092465</v>
      </c>
      <c r="I30" s="74">
        <f t="shared" si="4"/>
        <v>3504084.1817488866</v>
      </c>
      <c r="J30" s="74">
        <f t="shared" si="4"/>
        <v>3561587.6810876536</v>
      </c>
      <c r="K30" s="74">
        <f t="shared" si="4"/>
        <v>3276866.7078235806</v>
      </c>
      <c r="L30" s="74">
        <f t="shared" si="4"/>
        <v>3535864.2631533323</v>
      </c>
      <c r="M30" s="74">
        <f t="shared" si="4"/>
        <v>3697207.7828864548</v>
      </c>
      <c r="N30" s="74">
        <f t="shared" si="4"/>
        <v>4625156.8731956799</v>
      </c>
      <c r="O30" s="74">
        <f t="shared" si="4"/>
        <v>4307881.8001195546</v>
      </c>
      <c r="P30" s="74">
        <f t="shared" si="4"/>
        <v>5083577.5193100525</v>
      </c>
      <c r="Q30" s="74">
        <f t="shared" si="4"/>
        <v>5454946.4341184748</v>
      </c>
      <c r="R30" s="74">
        <f t="shared" si="4"/>
        <v>6020051.0993485516</v>
      </c>
      <c r="S30" s="74">
        <f t="shared" si="4"/>
        <v>6892693.0949986242</v>
      </c>
      <c r="T30" s="74">
        <f t="shared" si="4"/>
        <v>7249641.4859413961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132.20129058144181</v>
      </c>
      <c r="F31" s="75">
        <f t="shared" si="4"/>
        <v>0</v>
      </c>
      <c r="G31" s="75">
        <f t="shared" si="4"/>
        <v>-1.56035184772918E-9</v>
      </c>
      <c r="H31" s="75">
        <f t="shared" si="4"/>
        <v>-3.1121771826292388E-9</v>
      </c>
      <c r="I31" s="75">
        <f t="shared" si="4"/>
        <v>27083.316420366289</v>
      </c>
      <c r="J31" s="75">
        <f t="shared" si="4"/>
        <v>11541.683076716452</v>
      </c>
      <c r="K31" s="75">
        <f t="shared" si="4"/>
        <v>-27772.999075488253</v>
      </c>
      <c r="L31" s="75">
        <f t="shared" si="4"/>
        <v>-70834.814912686328</v>
      </c>
      <c r="M31" s="75">
        <f t="shared" si="4"/>
        <v>-94705.572252794387</v>
      </c>
      <c r="N31" s="75">
        <f t="shared" si="4"/>
        <v>-25182.659133829431</v>
      </c>
      <c r="O31" s="75">
        <f t="shared" si="4"/>
        <v>-19520.313213970068</v>
      </c>
      <c r="P31" s="75">
        <f t="shared" si="4"/>
        <v>3479.4686819064682</v>
      </c>
      <c r="Q31" s="75">
        <f t="shared" si="4"/>
        <v>-148592.49884041652</v>
      </c>
      <c r="R31" s="75">
        <f t="shared" si="4"/>
        <v>-136901.15844681405</v>
      </c>
      <c r="S31" s="75">
        <f t="shared" si="4"/>
        <v>-38278.996746259538</v>
      </c>
      <c r="T31" s="75">
        <f t="shared" si="4"/>
        <v>-176884.73054303849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-2272600.1174960025</v>
      </c>
      <c r="F32" s="74">
        <f t="shared" si="4"/>
        <v>-3154816.34706754</v>
      </c>
      <c r="G32" s="74">
        <f t="shared" si="4"/>
        <v>-2976573.9344068612</v>
      </c>
      <c r="H32" s="74">
        <f t="shared" si="4"/>
        <v>-2876219.7823106181</v>
      </c>
      <c r="I32" s="74">
        <f t="shared" si="4"/>
        <v>-3677296.1276530507</v>
      </c>
      <c r="J32" s="74">
        <f t="shared" si="4"/>
        <v>-3705612.4305649069</v>
      </c>
      <c r="K32" s="74">
        <f t="shared" si="4"/>
        <v>-3394980.4931397047</v>
      </c>
      <c r="L32" s="74">
        <f t="shared" si="4"/>
        <v>-3973680.7579729455</v>
      </c>
      <c r="M32" s="74">
        <f t="shared" si="4"/>
        <v>-4159375.4052765872</v>
      </c>
      <c r="N32" s="74">
        <f t="shared" si="4"/>
        <v>-4965261.2896891618</v>
      </c>
      <c r="O32" s="74">
        <f t="shared" si="4"/>
        <v>-4886026.5291234851</v>
      </c>
      <c r="P32" s="74">
        <f t="shared" si="4"/>
        <v>-4941714.907142642</v>
      </c>
      <c r="Q32" s="74">
        <f t="shared" si="4"/>
        <v>-4808300.599894085</v>
      </c>
      <c r="R32" s="74">
        <f t="shared" si="4"/>
        <v>-4420220.0084338496</v>
      </c>
      <c r="S32" s="74">
        <f t="shared" si="4"/>
        <v>-4135919.6339685889</v>
      </c>
      <c r="T32" s="74">
        <f t="shared" si="4"/>
        <v>-4583408.8187531037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-5607118.7421609182</v>
      </c>
      <c r="F33" s="73">
        <f t="shared" si="4"/>
        <v>-7690427.784052995</v>
      </c>
      <c r="G33" s="73">
        <f t="shared" si="4"/>
        <v>-7426189.0883540092</v>
      </c>
      <c r="H33" s="73">
        <f t="shared" si="4"/>
        <v>-7138066.7502449034</v>
      </c>
      <c r="I33" s="73">
        <f t="shared" si="4"/>
        <v>-9138809.434814861</v>
      </c>
      <c r="J33" s="73">
        <f t="shared" si="4"/>
        <v>-9166105.6625097319</v>
      </c>
      <c r="K33" s="73">
        <f t="shared" si="4"/>
        <v>-8343238.3408088852</v>
      </c>
      <c r="L33" s="73">
        <f t="shared" si="4"/>
        <v>-9525859.4204131216</v>
      </c>
      <c r="M33" s="73">
        <f t="shared" si="4"/>
        <v>-9973994.7347921915</v>
      </c>
      <c r="N33" s="73">
        <f t="shared" si="4"/>
        <v>-12618135.336670522</v>
      </c>
      <c r="O33" s="73">
        <f t="shared" si="4"/>
        <v>-11880269.457918543</v>
      </c>
      <c r="P33" s="73">
        <f t="shared" si="4"/>
        <v>-11484058.355294969</v>
      </c>
      <c r="Q33" s="73">
        <f t="shared" si="4"/>
        <v>-10728215.182577154</v>
      </c>
      <c r="R33" s="73">
        <f t="shared" si="4"/>
        <v>-9589629.2172285765</v>
      </c>
      <c r="S33" s="73">
        <f t="shared" si="4"/>
        <v>-8328603.4907339429</v>
      </c>
      <c r="T33" s="73">
        <f t="shared" si="4"/>
        <v>-9102550.6434056032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-13164153.597292095</v>
      </c>
      <c r="F34" s="73">
        <f t="shared" si="4"/>
        <v>-19888842.00727658</v>
      </c>
      <c r="G34" s="73">
        <f t="shared" si="4"/>
        <v>-14909304.262246892</v>
      </c>
      <c r="H34" s="73">
        <f t="shared" si="4"/>
        <v>-19325724.003520742</v>
      </c>
      <c r="I34" s="73">
        <f t="shared" si="4"/>
        <v>-20871535.727644667</v>
      </c>
      <c r="J34" s="73">
        <f t="shared" si="4"/>
        <v>-23487418.960461278</v>
      </c>
      <c r="K34" s="73">
        <f t="shared" si="4"/>
        <v>-18450240.935840726</v>
      </c>
      <c r="L34" s="73">
        <f t="shared" si="4"/>
        <v>-23813077.388492238</v>
      </c>
      <c r="M34" s="73">
        <f t="shared" si="4"/>
        <v>-23743101.258855883</v>
      </c>
      <c r="N34" s="73">
        <f t="shared" si="4"/>
        <v>-27600906.15216627</v>
      </c>
      <c r="O34" s="73">
        <f t="shared" si="4"/>
        <v>-30214945.037636556</v>
      </c>
      <c r="P34" s="73">
        <f t="shared" si="4"/>
        <v>-22581284.333990209</v>
      </c>
      <c r="Q34" s="73">
        <f t="shared" si="4"/>
        <v>-24280848.011854909</v>
      </c>
      <c r="R34" s="73">
        <f t="shared" si="4"/>
        <v>-23591294.374074675</v>
      </c>
      <c r="S34" s="73">
        <f t="shared" si="4"/>
        <v>-20121971.610071175</v>
      </c>
      <c r="T34" s="73">
        <f t="shared" si="4"/>
        <v>-23860562.169021141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-175137.67494567842</v>
      </c>
      <c r="F35" s="74">
        <f t="shared" si="4"/>
        <v>-249854.07067801958</v>
      </c>
      <c r="G35" s="74">
        <f t="shared" si="4"/>
        <v>-128717.87681351135</v>
      </c>
      <c r="H35" s="74">
        <f t="shared" si="4"/>
        <v>-58410.208585393229</v>
      </c>
      <c r="I35" s="74">
        <f t="shared" si="4"/>
        <v>-172301.21338519297</v>
      </c>
      <c r="J35" s="74">
        <f t="shared" si="4"/>
        <v>-193986.03031462731</v>
      </c>
      <c r="K35" s="74">
        <f t="shared" si="4"/>
        <v>-147208.43296201312</v>
      </c>
      <c r="L35" s="74">
        <f t="shared" si="4"/>
        <v>-242756.89329230093</v>
      </c>
      <c r="M35" s="74">
        <f t="shared" si="4"/>
        <v>-312888.5310985113</v>
      </c>
      <c r="N35" s="74">
        <f t="shared" si="4"/>
        <v>-342168.32124371844</v>
      </c>
      <c r="O35" s="74">
        <f t="shared" si="4"/>
        <v>-368003.34343133558</v>
      </c>
      <c r="P35" s="74">
        <f t="shared" si="4"/>
        <v>116002.79188268895</v>
      </c>
      <c r="Q35" s="74">
        <f t="shared" si="4"/>
        <v>448760.12615043699</v>
      </c>
      <c r="R35" s="74">
        <f t="shared" si="4"/>
        <v>1150968.1735545576</v>
      </c>
      <c r="S35" s="74">
        <f t="shared" si="4"/>
        <v>1878773.120948608</v>
      </c>
      <c r="T35" s="74">
        <f t="shared" si="4"/>
        <v>1911472.4626470872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F1" workbookViewId="0">
      <selection activeCell="K19" sqref="K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-2.0813555004723372E-2</v>
      </c>
      <c r="N6" s="14">
        <f>'Spot Prices'!N29</f>
        <v>1.493855324879978E-2</v>
      </c>
      <c r="O6" s="14">
        <f>'Spot Prices'!O29</f>
        <v>-5.1361607487565131E-2</v>
      </c>
      <c r="P6" s="14">
        <f>'Spot Prices'!P29</f>
        <v>-5.1361607487565242E-2</v>
      </c>
      <c r="Q6" s="14">
        <f>'Spot Prices'!Q29</f>
        <v>-5.1361607487565353E-2</v>
      </c>
      <c r="R6" s="14">
        <f>'Spot Prices'!R29</f>
        <v>-5.1361607487565353E-2</v>
      </c>
      <c r="S6" s="14">
        <f>'Spot Prices'!S29</f>
        <v>-5.1361607487565464E-2</v>
      </c>
      <c r="T6" s="14">
        <f>'Spot Prices'!T29</f>
        <v>-5.1361607487565353E-2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-6.8917614596644472E-2</v>
      </c>
      <c r="N7" s="14">
        <f>'Spot Prices'!N30</f>
        <v>-1.0223248406081464E-2</v>
      </c>
      <c r="O7" s="14">
        <f>'Spot Prices'!O30</f>
        <v>-6.787049059471717E-2</v>
      </c>
      <c r="P7" s="14">
        <f>'Spot Prices'!P30</f>
        <v>-6.7870490594717281E-2</v>
      </c>
      <c r="Q7" s="14">
        <f>'Spot Prices'!Q30</f>
        <v>-6.787049059471717E-2</v>
      </c>
      <c r="R7" s="14">
        <f>'Spot Prices'!R30</f>
        <v>-6.787049059471717E-2</v>
      </c>
      <c r="S7" s="14">
        <f>'Spot Prices'!S30</f>
        <v>-6.787049059471717E-2</v>
      </c>
      <c r="T7" s="14">
        <f>'Spot Prices'!T30</f>
        <v>-6.7870490594717281E-2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-8.0105495261009962E-2</v>
      </c>
      <c r="N8" s="46">
        <f>'Spot Prices'!N31</f>
        <v>-1.6561137969228645E-2</v>
      </c>
      <c r="O8" s="46">
        <f>'Spot Prices'!O31</f>
        <v>-7.3409370016755293E-2</v>
      </c>
      <c r="P8" s="46">
        <f>'Spot Prices'!P31</f>
        <v>-7.3409370016755293E-2</v>
      </c>
      <c r="Q8" s="46">
        <f>'Spot Prices'!Q31</f>
        <v>-7.3409370016755293E-2</v>
      </c>
      <c r="R8" s="46">
        <f>'Spot Prices'!R31</f>
        <v>-7.3409370016755071E-2</v>
      </c>
      <c r="S8" s="46">
        <f>'Spot Prices'!S31</f>
        <v>-7.3409370016755182E-2</v>
      </c>
      <c r="T8" s="46">
        <f>'Spot Prices'!T31</f>
        <v>-7.3409370016755182E-2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-8.6733081036943105E-2</v>
      </c>
      <c r="N9" s="41">
        <f>'Spot Prices'!N32</f>
        <v>-1.7926037181399734E-2</v>
      </c>
      <c r="O9" s="41">
        <f>'Spot Prices'!O32</f>
        <v>-7.9794559451775493E-2</v>
      </c>
      <c r="P9" s="41">
        <f>'Spot Prices'!P32</f>
        <v>-7.9794559451775604E-2</v>
      </c>
      <c r="Q9" s="41">
        <f>'Spot Prices'!Q32</f>
        <v>-7.9794559451775493E-2</v>
      </c>
      <c r="R9" s="41">
        <f>'Spot Prices'!R32</f>
        <v>-7.9794559451775382E-2</v>
      </c>
      <c r="S9" s="41">
        <f>'Spot Prices'!S32</f>
        <v>-7.9794559451775382E-2</v>
      </c>
      <c r="T9" s="41">
        <f>'Spot Prices'!T32</f>
        <v>-7.9794559451775382E-2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-8.8692259540020468E-2</v>
      </c>
      <c r="N10" s="46">
        <f>'Spot Prices'!N33</f>
        <v>-1.9008458418999008E-2</v>
      </c>
      <c r="O10" s="46">
        <f>'Spot Prices'!O33</f>
        <v>-8.1556227749532306E-2</v>
      </c>
      <c r="P10" s="46">
        <f>'Spot Prices'!P33</f>
        <v>-8.1556227749532306E-2</v>
      </c>
      <c r="Q10" s="46">
        <f>'Spot Prices'!Q33</f>
        <v>-8.1556227749532417E-2</v>
      </c>
      <c r="R10" s="46">
        <f>'Spot Prices'!R33</f>
        <v>-8.1556227749532417E-2</v>
      </c>
      <c r="S10" s="46">
        <f>'Spot Prices'!S33</f>
        <v>-8.1556227749532417E-2</v>
      </c>
      <c r="T10" s="46">
        <f>'Spot Prices'!T33</f>
        <v>-8.1556227749532528E-2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-9.511303196447185E-2</v>
      </c>
      <c r="N11" s="14">
        <f>'Spot Prices'!N34</f>
        <v>-2.1978398889982209E-2</v>
      </c>
      <c r="O11" s="14">
        <f>'Spot Prices'!O34</f>
        <v>-8.5196784099391132E-2</v>
      </c>
      <c r="P11" s="14">
        <f>'Spot Prices'!P34</f>
        <v>-8.5196784099391243E-2</v>
      </c>
      <c r="Q11" s="14">
        <f>'Spot Prices'!Q34</f>
        <v>-8.5196784099391243E-2</v>
      </c>
      <c r="R11" s="14">
        <f>'Spot Prices'!R34</f>
        <v>-8.5196784099391243E-2</v>
      </c>
      <c r="S11" s="14">
        <f>'Spot Prices'!S34</f>
        <v>-8.5196784099391132E-2</v>
      </c>
      <c r="T11" s="14">
        <f>'Spot Prices'!T34</f>
        <v>-8.5196784099391243E-2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-0.11040269819796233</v>
      </c>
      <c r="N12" s="14">
        <f>'Spot Prices'!N35</f>
        <v>-3.3532054065283701E-2</v>
      </c>
      <c r="O12" s="14">
        <f>'Spot Prices'!O35</f>
        <v>-8.6316558206649852E-2</v>
      </c>
      <c r="P12" s="14">
        <f>'Spot Prices'!P35</f>
        <v>-8.6316558206649852E-2</v>
      </c>
      <c r="Q12" s="14">
        <f>'Spot Prices'!Q35</f>
        <v>-8.6316558206649741E-2</v>
      </c>
      <c r="R12" s="14">
        <f>'Spot Prices'!R35</f>
        <v>-8.6316558206649852E-2</v>
      </c>
      <c r="S12" s="14">
        <f>'Spot Prices'!S35</f>
        <v>-8.6316558206649741E-2</v>
      </c>
      <c r="T12" s="14">
        <f>'Spot Prices'!T35</f>
        <v>-8.6316558206649741E-2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-8.3255250004576009E-2</v>
      </c>
      <c r="N13" s="46">
        <f>'Spot Prices'!N36</f>
        <v>-1.7385861996949137E-2</v>
      </c>
      <c r="O13" s="46">
        <f>'Spot Prices'!O36</f>
        <v>-7.7689461531457726E-2</v>
      </c>
      <c r="P13" s="46">
        <f>'Spot Prices'!P36</f>
        <v>-7.7689461531457615E-2</v>
      </c>
      <c r="Q13" s="46">
        <f>'Spot Prices'!Q36</f>
        <v>-7.7689461531457504E-2</v>
      </c>
      <c r="R13" s="46">
        <f>'Spot Prices'!R36</f>
        <v>-7.7689461531457615E-2</v>
      </c>
      <c r="S13" s="46">
        <f>'Spot Prices'!S36</f>
        <v>-7.7689461531457504E-2</v>
      </c>
      <c r="T13" s="46">
        <f>'Spot Prices'!T36</f>
        <v>-7.7689461531457504E-2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13586219.454991076</v>
      </c>
      <c r="Q17" s="19">
        <f>'Spot Prices'!Q17/'Spot Prices'!P17*DualFuelCM!P17</f>
        <v>14190426.720113451</v>
      </c>
      <c r="R17" s="19">
        <f>'Spot Prices'!R17/'Spot Prices'!Q17*DualFuelCM!Q17</f>
        <v>13887348.890813014</v>
      </c>
      <c r="S17" s="19">
        <f>'Spot Prices'!S17/'Spot Prices'!R17*DualFuelCM!R17</f>
        <v>14774921.875497766</v>
      </c>
      <c r="T17" s="19">
        <f>'Spot Prices'!T17/'Spot Prices'!S17*DualFuelCM!S17</f>
        <v>14397126.314498426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9962832.4474748112</v>
      </c>
      <c r="Q18" s="19">
        <f>'Spot Prices'!Q18/'Spot Prices'!P18*DualFuelCM!P18</f>
        <v>10266813.191409191</v>
      </c>
      <c r="R18" s="19">
        <f>'Spot Prices'!R18/'Spot Prices'!Q18*DualFuelCM!Q18</f>
        <v>10175589.330287425</v>
      </c>
      <c r="S18" s="19">
        <f>'Spot Prices'!S18/'Spot Prices'!R18*DualFuelCM!R18</f>
        <v>10782434.978014756</v>
      </c>
      <c r="T18" s="19">
        <f>'Spot Prices'!T18/'Spot Prices'!S18*DualFuelCM!S18</f>
        <v>10764171.611686561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8393851.6378508434</v>
      </c>
      <c r="Q19" s="49">
        <f>'Spot Prices'!Q19/'Spot Prices'!P19*DualFuelCM!P19</f>
        <v>8822034.6014691871</v>
      </c>
      <c r="R19" s="49">
        <f>'Spot Prices'!R19/'Spot Prices'!Q19*DualFuelCM!Q19</f>
        <v>8867522.8838906139</v>
      </c>
      <c r="S19" s="49">
        <f>'Spot Prices'!S19/'Spot Prices'!R19*DualFuelCM!R19</f>
        <v>9615584.9327257033</v>
      </c>
      <c r="T19" s="49">
        <f>'Spot Prices'!T19/'Spot Prices'!S19*DualFuelCM!S19</f>
        <v>9584837.456859909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7363582.1862722188</v>
      </c>
      <c r="Q20" s="40">
        <f>'Spot Prices'!Q20/'Spot Prices'!P20*DualFuelCM!P20</f>
        <v>7809211.7725312058</v>
      </c>
      <c r="R20" s="40">
        <f>'Spot Prices'!R20/'Spot Prices'!Q20*DualFuelCM!Q20</f>
        <v>7952541.3154709609</v>
      </c>
      <c r="S20" s="40">
        <f>'Spot Prices'!S20/'Spot Prices'!R20*DualFuelCM!R20</f>
        <v>8720387.8401229512</v>
      </c>
      <c r="T20" s="40">
        <f>'Spot Prices'!T20/'Spot Prices'!S20*DualFuelCM!S20</f>
        <v>8665614.5678431243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6249172.2141394066</v>
      </c>
      <c r="Q21" s="49">
        <f>'Spot Prices'!Q21/'Spot Prices'!P21*DualFuelCM!P21</f>
        <v>6564712.210377804</v>
      </c>
      <c r="R21" s="49">
        <f>'Spot Prices'!R21/'Spot Prices'!Q21*DualFuelCM!Q21</f>
        <v>6527000.7734297011</v>
      </c>
      <c r="S21" s="49">
        <f>'Spot Prices'!S21/'Spot Prices'!R21*DualFuelCM!R21</f>
        <v>7054291.5712975115</v>
      </c>
      <c r="T21" s="49">
        <f>'Spot Prices'!T21/'Spot Prices'!S21*DualFuelCM!S21</f>
        <v>6915166.6246453831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4862207.0338787949</v>
      </c>
      <c r="Q22" s="19">
        <f>'Spot Prices'!Q22/'Spot Prices'!P22*DualFuelCM!P22</f>
        <v>4936177.8178335773</v>
      </c>
      <c r="R22" s="19">
        <f>'Spot Prices'!R22/'Spot Prices'!Q22*DualFuelCM!Q22</f>
        <v>4604165.0986235654</v>
      </c>
      <c r="S22" s="19">
        <f>'Spot Prices'!S22/'Spot Prices'!R22*DualFuelCM!R22</f>
        <v>4874998.8370240666</v>
      </c>
      <c r="T22" s="19">
        <f>'Spot Prices'!T22/'Spot Prices'!S22*DualFuelCM!S22</f>
        <v>4635130.0548199648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3038027.3624210474</v>
      </c>
      <c r="Q23" s="19">
        <f>'Spot Prices'!Q23/'Spot Prices'!P23*DualFuelCM!P23</f>
        <v>3161675.3152312497</v>
      </c>
      <c r="R23" s="19">
        <f>'Spot Prices'!R23/'Spot Prices'!Q23*DualFuelCM!Q23</f>
        <v>2943276.2596603381</v>
      </c>
      <c r="S23" s="19">
        <f>'Spot Prices'!S23/'Spot Prices'!R23*DualFuelCM!R23</f>
        <v>3066902.7672960027</v>
      </c>
      <c r="T23" s="19">
        <f>'Spot Prices'!T23/'Spot Prices'!S23*DualFuelCM!S23</f>
        <v>2827331.0487952502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7372220.9862384889</v>
      </c>
      <c r="Q24" s="49">
        <f>'Spot Prices'!Q24/'Spot Prices'!P24*DualFuelCM!P24</f>
        <v>7713356.8640185436</v>
      </c>
      <c r="R24" s="49">
        <f>'Spot Prices'!R24/'Spot Prices'!Q24*DualFuelCM!Q24</f>
        <v>7690860.5047107264</v>
      </c>
      <c r="S24" s="49">
        <f>'Spot Prices'!S24/'Spot Prices'!R24*DualFuelCM!R24</f>
        <v>8310341.1734927911</v>
      </c>
      <c r="T24" s="49">
        <f>'Spot Prices'!T24/'Spot Prices'!S24*DualFuelCM!S24</f>
        <v>8211368.9505181732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14282548.56147233</v>
      </c>
      <c r="G28" s="20">
        <f t="shared" si="2"/>
        <v>12631843.59317591</v>
      </c>
      <c r="H28" s="20">
        <f t="shared" si="2"/>
        <v>11914077.933210233</v>
      </c>
      <c r="I28" s="20">
        <f t="shared" si="2"/>
        <v>13130918.885505224</v>
      </c>
      <c r="J28" s="20">
        <f t="shared" si="2"/>
        <v>13307072.301646383</v>
      </c>
      <c r="K28" s="20">
        <f t="shared" si="2"/>
        <v>11890769.133047597</v>
      </c>
      <c r="L28" s="20">
        <f t="shared" si="2"/>
        <v>14727226.298298104</v>
      </c>
      <c r="M28" s="20">
        <f t="shared" si="2"/>
        <v>11531487.259489004</v>
      </c>
      <c r="N28" s="20">
        <f t="shared" si="2"/>
        <v>13573866.351268664</v>
      </c>
      <c r="O28" s="20">
        <f t="shared" si="2"/>
        <v>12590102.618491413</v>
      </c>
      <c r="P28" s="21">
        <f>(O28*'Spot Prices'!P5/'Spot Prices'!O5)*($E$26)</f>
        <v>12888409.384103904</v>
      </c>
      <c r="Q28" s="21">
        <f>(P28*'Spot Prices'!Q5/'Spot Prices'!P5)*($E$26)</f>
        <v>13461583.592833927</v>
      </c>
      <c r="R28" s="21">
        <f>(Q28*'Spot Prices'!R5/'Spot Prices'!Q5)*($E$26)</f>
        <v>13174072.328040201</v>
      </c>
      <c r="S28" s="21">
        <f>(R28*'Spot Prices'!S5/'Spot Prices'!R5)*($E$26)</f>
        <v>14016058.137469009</v>
      </c>
      <c r="T28" s="21">
        <f>(S28*'Spot Prices'!T5/'Spot Prices'!S5)*($E$26)</f>
        <v>13657666.763784265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10605758.384330196</v>
      </c>
      <c r="G29" s="20">
        <f t="shared" si="3"/>
        <v>9522709.557614902</v>
      </c>
      <c r="H29" s="20">
        <f t="shared" si="3"/>
        <v>9667857.4921227079</v>
      </c>
      <c r="I29" s="20">
        <f t="shared" si="3"/>
        <v>9904866.1262959298</v>
      </c>
      <c r="J29" s="20">
        <f t="shared" si="3"/>
        <v>9517378.4011404775</v>
      </c>
      <c r="K29" s="20">
        <f t="shared" si="3"/>
        <v>8654921.6209349912</v>
      </c>
      <c r="L29" s="20">
        <f t="shared" si="3"/>
        <v>9254498.4790716097</v>
      </c>
      <c r="M29" s="20">
        <f t="shared" si="3"/>
        <v>9061097.5305110849</v>
      </c>
      <c r="N29" s="20">
        <f t="shared" si="3"/>
        <v>9343268.0437815618</v>
      </c>
      <c r="O29" s="20">
        <f t="shared" si="3"/>
        <v>8759835.7346322481</v>
      </c>
      <c r="P29" s="21">
        <f>(O29*'Spot Prices'!P6/'Spot Prices'!O6)*($E$26)</f>
        <v>9286650.1215517297</v>
      </c>
      <c r="Q29" s="21">
        <f>(P29*'Spot Prices'!Q6/'Spot Prices'!P6)*($E$26)</f>
        <v>9569999.5432639364</v>
      </c>
      <c r="R29" s="21">
        <f>(Q29*'Spot Prices'!R6/'Spot Prices'!Q6)*($E$26)</f>
        <v>9484967.0903504491</v>
      </c>
      <c r="S29" s="21">
        <f>(R29*'Spot Prices'!S6/'Spot Prices'!R6)*($E$26)</f>
        <v>10050625.826251255</v>
      </c>
      <c r="T29" s="21">
        <f>(S29*'Spot Prices'!T6/'Spot Prices'!S6)*($E$26)</f>
        <v>10033602.003555665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8772042.4174723849</v>
      </c>
      <c r="G30" s="51">
        <f t="shared" si="4"/>
        <v>7972799.9440439055</v>
      </c>
      <c r="H30" s="51">
        <f t="shared" si="4"/>
        <v>7760540.4459980298</v>
      </c>
      <c r="I30" s="51">
        <f t="shared" si="4"/>
        <v>8242660.7747434461</v>
      </c>
      <c r="J30" s="51">
        <f t="shared" si="4"/>
        <v>7837280.4400042631</v>
      </c>
      <c r="K30" s="51">
        <f t="shared" si="4"/>
        <v>7179088.5872498965</v>
      </c>
      <c r="L30" s="51">
        <f t="shared" si="4"/>
        <v>7509290.7372166738</v>
      </c>
      <c r="M30" s="51">
        <f t="shared" si="4"/>
        <v>7382150.5534569034</v>
      </c>
      <c r="N30" s="51">
        <f t="shared" si="4"/>
        <v>7522851.8492468111</v>
      </c>
      <c r="O30" s="51">
        <f t="shared" si="4"/>
        <v>7206555.9792784369</v>
      </c>
      <c r="P30" s="52">
        <f>(O30*'Spot Prices'!P7/'Spot Prices'!O7)*($E$26)</f>
        <v>7777664.2771021044</v>
      </c>
      <c r="Q30" s="52">
        <f>(P30*'Spot Prices'!Q7/'Spot Prices'!P7)*($E$26)</f>
        <v>8174414.5991093181</v>
      </c>
      <c r="R30" s="52">
        <f>(Q30*'Spot Prices'!R7/'Spot Prices'!Q7)*($E$26)</f>
        <v>8216563.6153750448</v>
      </c>
      <c r="S30" s="52">
        <f>(R30*'Spot Prices'!S7/'Spot Prices'!R7)*($E$26)</f>
        <v>8909710.9004717059</v>
      </c>
      <c r="T30" s="52">
        <f>(S30*'Spot Prices'!T7/'Spot Prices'!S7)*($E$26)</f>
        <v>8881220.5774388239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7676064.3492178209</v>
      </c>
      <c r="G31" s="43">
        <f t="shared" si="5"/>
        <v>6886435.3478624709</v>
      </c>
      <c r="H31" s="43">
        <f t="shared" si="5"/>
        <v>6796455.9793697046</v>
      </c>
      <c r="I31" s="43">
        <f t="shared" si="5"/>
        <v>7107941.66367561</v>
      </c>
      <c r="J31" s="43">
        <f t="shared" si="5"/>
        <v>6801978.8464209298</v>
      </c>
      <c r="K31" s="43">
        <f t="shared" si="5"/>
        <v>6341258.3884761389</v>
      </c>
      <c r="L31" s="43">
        <f t="shared" si="5"/>
        <v>6569111.4389363881</v>
      </c>
      <c r="M31" s="43">
        <f t="shared" si="5"/>
        <v>6422330.0719393827</v>
      </c>
      <c r="N31" s="43">
        <f t="shared" si="5"/>
        <v>6569024.7974168696</v>
      </c>
      <c r="O31" s="43">
        <f t="shared" si="5"/>
        <v>6224526.0887306361</v>
      </c>
      <c r="P31" s="44">
        <f>(O31*'Spot Prices'!P8/'Spot Prices'!O8)*($E$26)</f>
        <v>6776008.3897316856</v>
      </c>
      <c r="Q31" s="44">
        <f>(P31*'Spot Prices'!Q8/'Spot Prices'!P8)*($E$26)</f>
        <v>7186079.15947646</v>
      </c>
      <c r="R31" s="44">
        <f>(Q31*'Spot Prices'!R8/'Spot Prices'!Q8)*($E$26)</f>
        <v>7317971.7846809132</v>
      </c>
      <c r="S31" s="44">
        <f>(R31*'Spot Prices'!S8/'Spot Prices'!R8)*($E$26)</f>
        <v>8024548.3341717217</v>
      </c>
      <c r="T31" s="44">
        <f>(S31*'Spot Prices'!T8/'Spot Prices'!S8)*($E$26)</f>
        <v>7974145.6710231956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6677177.8644283172</v>
      </c>
      <c r="G32" s="51">
        <f t="shared" si="6"/>
        <v>5940972.726604389</v>
      </c>
      <c r="H32" s="51">
        <f t="shared" si="6"/>
        <v>5932505.958911472</v>
      </c>
      <c r="I32" s="51">
        <f t="shared" si="6"/>
        <v>6184139.8500278043</v>
      </c>
      <c r="J32" s="51">
        <f t="shared" si="6"/>
        <v>5903059.5583374519</v>
      </c>
      <c r="K32" s="51">
        <f t="shared" si="6"/>
        <v>5510037.0363926981</v>
      </c>
      <c r="L32" s="51">
        <f t="shared" si="6"/>
        <v>5651482.1519020386</v>
      </c>
      <c r="M32" s="51">
        <f t="shared" si="6"/>
        <v>5519823.9915324552</v>
      </c>
      <c r="N32" s="51">
        <f t="shared" si="6"/>
        <v>5702069.8748870669</v>
      </c>
      <c r="O32" s="51">
        <f t="shared" si="6"/>
        <v>5359832.2841764055</v>
      </c>
      <c r="P32" s="52">
        <f>(O32*'Spot Prices'!P9/'Spot Prices'!O9)*($E$26)</f>
        <v>5739513.3017970044</v>
      </c>
      <c r="Q32" s="52">
        <f>(P32*'Spot Prices'!Q9/'Spot Prices'!P9)*($E$26)</f>
        <v>6029319.0462380964</v>
      </c>
      <c r="R32" s="52">
        <f>(Q32*'Spot Prices'!R9/'Spot Prices'!Q9)*($E$26)</f>
        <v>5994683.2118304949</v>
      </c>
      <c r="S32" s="52">
        <f>(R32*'Spot Prices'!S9/'Spot Prices'!R9)*($E$26)</f>
        <v>6478970.1612971658</v>
      </c>
      <c r="T32" s="52">
        <f>(S32*'Spot Prices'!T9/'Spot Prices'!S9)*($E$26)</f>
        <v>6351191.7204798386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5431176.1808665041</v>
      </c>
      <c r="G33" s="20">
        <f t="shared" si="7"/>
        <v>4734983.6225482197</v>
      </c>
      <c r="H33" s="20">
        <f t="shared" si="7"/>
        <v>4736731.5419008378</v>
      </c>
      <c r="I33" s="20">
        <f t="shared" si="7"/>
        <v>4935465.0996654956</v>
      </c>
      <c r="J33" s="20">
        <f t="shared" si="7"/>
        <v>4713789.0752817364</v>
      </c>
      <c r="K33" s="20">
        <f t="shared" si="7"/>
        <v>4418998.6927409489</v>
      </c>
      <c r="L33" s="20">
        <f t="shared" si="7"/>
        <v>4586128.887381698</v>
      </c>
      <c r="M33" s="20">
        <f t="shared" si="7"/>
        <v>4368545.4038260588</v>
      </c>
      <c r="N33" s="20">
        <f t="shared" si="7"/>
        <v>4589121.5903195729</v>
      </c>
      <c r="O33" s="20">
        <f t="shared" si="7"/>
        <v>4266901.3151417365</v>
      </c>
      <c r="P33" s="21">
        <f>(O33*'Spot Prices'!P10/'Spot Prices'!O10)*($E$26)</f>
        <v>4447962.6309668822</v>
      </c>
      <c r="Q33" s="21">
        <f>(P33*'Spot Prices'!Q10/'Spot Prices'!P10)*($E$26)</f>
        <v>4515631.3420114061</v>
      </c>
      <c r="R33" s="21">
        <f>(Q33*'Spot Prices'!R10/'Spot Prices'!Q10)*($E$26)</f>
        <v>4211905.038758181</v>
      </c>
      <c r="S33" s="21">
        <f>(R33*'Spot Prices'!S10/'Spot Prices'!R10)*($E$26)</f>
        <v>4459664.6136213439</v>
      </c>
      <c r="T33" s="21">
        <f>(S33*'Spot Prices'!T10/'Spot Prices'!S10)*($E$26)</f>
        <v>4240231.8802668694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2852616.7960429494</v>
      </c>
      <c r="G34" s="20">
        <f t="shared" si="8"/>
        <v>3077308.0856124768</v>
      </c>
      <c r="H34" s="20">
        <f t="shared" si="8"/>
        <v>3177950.8709319332</v>
      </c>
      <c r="I34" s="20">
        <f t="shared" si="8"/>
        <v>2578477.2014296441</v>
      </c>
      <c r="J34" s="20">
        <f t="shared" si="8"/>
        <v>3059627.2874741633</v>
      </c>
      <c r="K34" s="20">
        <f t="shared" si="8"/>
        <v>2851094.2665637932</v>
      </c>
      <c r="L34" s="20">
        <f t="shared" si="8"/>
        <v>2362370.2372952858</v>
      </c>
      <c r="M34" s="20">
        <f t="shared" si="8"/>
        <v>2644798.2532105907</v>
      </c>
      <c r="N34" s="20">
        <f t="shared" si="8"/>
        <v>2608645.0373695013</v>
      </c>
      <c r="O34" s="20">
        <f t="shared" si="8"/>
        <v>2804417.4064594656</v>
      </c>
      <c r="P34" s="21">
        <f>(O34*'Spot Prices'!P11/'Spot Prices'!O11)*($E$26)</f>
        <v>2775795.2967592361</v>
      </c>
      <c r="Q34" s="21">
        <f>(P34*'Spot Prices'!Q11/'Spot Prices'!P11)*($E$26)</f>
        <v>2888770.3838535636</v>
      </c>
      <c r="R34" s="21">
        <f>(Q34*'Spot Prices'!R11/'Spot Prices'!Q11)*($E$26)</f>
        <v>2689222.7830751156</v>
      </c>
      <c r="S34" s="21">
        <f>(R34*'Spot Prices'!S11/'Spot Prices'!R11)*($E$26)</f>
        <v>2802178.2760685617</v>
      </c>
      <c r="T34" s="21">
        <f>(S34*'Spot Prices'!T11/'Spot Prices'!S11)*($E$26)</f>
        <v>2583285.5637524468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7794898.1236141296</v>
      </c>
      <c r="G35" s="51">
        <f t="shared" si="9"/>
        <v>6996193.5343917878</v>
      </c>
      <c r="H35" s="51">
        <f t="shared" si="9"/>
        <v>6932373.466122631</v>
      </c>
      <c r="I35" s="51">
        <f t="shared" si="9"/>
        <v>7240399.3097059596</v>
      </c>
      <c r="J35" s="51">
        <f t="shared" si="9"/>
        <v>6927732.7139653517</v>
      </c>
      <c r="K35" s="51">
        <f t="shared" si="9"/>
        <v>6396477.2504070178</v>
      </c>
      <c r="L35" s="51">
        <f t="shared" si="9"/>
        <v>6678103.8622216303</v>
      </c>
      <c r="M35" s="51">
        <f t="shared" si="9"/>
        <v>6513910.2669269675</v>
      </c>
      <c r="N35" s="51">
        <f t="shared" si="9"/>
        <v>6694038.4209893495</v>
      </c>
      <c r="O35" s="51">
        <f t="shared" si="9"/>
        <v>6333495.1094091982</v>
      </c>
      <c r="P35" s="52">
        <f>(O35*'Spot Prices'!P12/'Spot Prices'!O12)*($E$26)</f>
        <v>6799477.1075267084</v>
      </c>
      <c r="Q35" s="52">
        <f>(P35*'Spot Prices'!Q12/'Spot Prices'!P12)*($E$26)</f>
        <v>7114110.3226529704</v>
      </c>
      <c r="R35" s="52">
        <f>(Q35*'Spot Prices'!R12/'Spot Prices'!Q12)*($E$26)</f>
        <v>7093361.6933861952</v>
      </c>
      <c r="S35" s="52">
        <f>(R35*'Spot Prices'!S12/'Spot Prices'!R12)*($E$26)</f>
        <v>7664715.2425814336</v>
      </c>
      <c r="T35" s="52">
        <f>(S35*'Spot Prices'!T12/'Spot Prices'!S12)*($E$26)</f>
        <v>7573432.1183162853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-2.0813555004723372E-2</v>
      </c>
      <c r="N6" s="14">
        <f>'Spot Prices'!N29</f>
        <v>1.493855324879978E-2</v>
      </c>
      <c r="O6" s="14">
        <f>'Spot Prices'!O29</f>
        <v>-5.1361607487565131E-2</v>
      </c>
      <c r="P6" s="14">
        <f>'Spot Prices'!P29</f>
        <v>-5.1361607487565242E-2</v>
      </c>
      <c r="Q6" s="14">
        <f>'Spot Prices'!Q29</f>
        <v>-5.1361607487565353E-2</v>
      </c>
      <c r="R6" s="14">
        <f>'Spot Prices'!R29</f>
        <v>-5.1361607487565353E-2</v>
      </c>
      <c r="S6" s="14">
        <f>'Spot Prices'!S29</f>
        <v>-5.1361607487565464E-2</v>
      </c>
      <c r="T6" s="14">
        <f>'Spot Prices'!T29</f>
        <v>-5.1361607487565353E-2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-6.8917614596644472E-2</v>
      </c>
      <c r="N7" s="14">
        <f>'Spot Prices'!N30</f>
        <v>-1.0223248406081464E-2</v>
      </c>
      <c r="O7" s="14">
        <f>'Spot Prices'!O30</f>
        <v>-6.787049059471717E-2</v>
      </c>
      <c r="P7" s="14">
        <f>'Spot Prices'!P30</f>
        <v>-6.7870490594717281E-2</v>
      </c>
      <c r="Q7" s="14">
        <f>'Spot Prices'!Q30</f>
        <v>-6.787049059471717E-2</v>
      </c>
      <c r="R7" s="14">
        <f>'Spot Prices'!R30</f>
        <v>-6.787049059471717E-2</v>
      </c>
      <c r="S7" s="14">
        <f>'Spot Prices'!S30</f>
        <v>-6.787049059471717E-2</v>
      </c>
      <c r="T7" s="14">
        <f>'Spot Prices'!T30</f>
        <v>-6.7870490594717281E-2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-8.0105495261009962E-2</v>
      </c>
      <c r="N8" s="46">
        <f>'Spot Prices'!N31</f>
        <v>-1.6561137969228645E-2</v>
      </c>
      <c r="O8" s="46">
        <f>'Spot Prices'!O31</f>
        <v>-7.3409370016755293E-2</v>
      </c>
      <c r="P8" s="46">
        <f>'Spot Prices'!P31</f>
        <v>-7.3409370016755293E-2</v>
      </c>
      <c r="Q8" s="46">
        <f>'Spot Prices'!Q31</f>
        <v>-7.3409370016755293E-2</v>
      </c>
      <c r="R8" s="46">
        <f>'Spot Prices'!R31</f>
        <v>-7.3409370016755071E-2</v>
      </c>
      <c r="S8" s="46">
        <f>'Spot Prices'!S31</f>
        <v>-7.3409370016755182E-2</v>
      </c>
      <c r="T8" s="46">
        <f>'Spot Prices'!T31</f>
        <v>-7.3409370016755182E-2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-8.6733081036943105E-2</v>
      </c>
      <c r="N9" s="41">
        <f>'Spot Prices'!N32</f>
        <v>-1.7926037181399734E-2</v>
      </c>
      <c r="O9" s="41">
        <f>'Spot Prices'!O32</f>
        <v>-7.9794559451775493E-2</v>
      </c>
      <c r="P9" s="41">
        <f>'Spot Prices'!P32</f>
        <v>-7.9794559451775604E-2</v>
      </c>
      <c r="Q9" s="41">
        <f>'Spot Prices'!Q32</f>
        <v>-7.9794559451775493E-2</v>
      </c>
      <c r="R9" s="41">
        <f>'Spot Prices'!R32</f>
        <v>-7.9794559451775382E-2</v>
      </c>
      <c r="S9" s="41">
        <f>'Spot Prices'!S32</f>
        <v>-7.9794559451775382E-2</v>
      </c>
      <c r="T9" s="41">
        <f>'Spot Prices'!T32</f>
        <v>-7.9794559451775382E-2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-8.8692259540020468E-2</v>
      </c>
      <c r="N10" s="46">
        <f>'Spot Prices'!N33</f>
        <v>-1.9008458418999008E-2</v>
      </c>
      <c r="O10" s="46">
        <f>'Spot Prices'!O33</f>
        <v>-8.1556227749532306E-2</v>
      </c>
      <c r="P10" s="46">
        <f>'Spot Prices'!P33</f>
        <v>-8.1556227749532306E-2</v>
      </c>
      <c r="Q10" s="46">
        <f>'Spot Prices'!Q33</f>
        <v>-8.1556227749532417E-2</v>
      </c>
      <c r="R10" s="46">
        <f>'Spot Prices'!R33</f>
        <v>-8.1556227749532417E-2</v>
      </c>
      <c r="S10" s="46">
        <f>'Spot Prices'!S33</f>
        <v>-8.1556227749532417E-2</v>
      </c>
      <c r="T10" s="46">
        <f>'Spot Prices'!T33</f>
        <v>-8.1556227749532528E-2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-9.511303196447185E-2</v>
      </c>
      <c r="N11" s="14">
        <f>'Spot Prices'!N34</f>
        <v>-2.1978398889982209E-2</v>
      </c>
      <c r="O11" s="14">
        <f>'Spot Prices'!O34</f>
        <v>-8.5196784099391132E-2</v>
      </c>
      <c r="P11" s="14">
        <f>'Spot Prices'!P34</f>
        <v>-8.5196784099391243E-2</v>
      </c>
      <c r="Q11" s="14">
        <f>'Spot Prices'!Q34</f>
        <v>-8.5196784099391243E-2</v>
      </c>
      <c r="R11" s="14">
        <f>'Spot Prices'!R34</f>
        <v>-8.5196784099391243E-2</v>
      </c>
      <c r="S11" s="14">
        <f>'Spot Prices'!S34</f>
        <v>-8.5196784099391132E-2</v>
      </c>
      <c r="T11" s="14">
        <f>'Spot Prices'!T34</f>
        <v>-8.5196784099391243E-2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-0.11040269819796233</v>
      </c>
      <c r="N12" s="14">
        <f>'Spot Prices'!N35</f>
        <v>-3.3532054065283701E-2</v>
      </c>
      <c r="O12" s="14">
        <f>'Spot Prices'!O35</f>
        <v>-8.6316558206649852E-2</v>
      </c>
      <c r="P12" s="14">
        <f>'Spot Prices'!P35</f>
        <v>-8.6316558206649852E-2</v>
      </c>
      <c r="Q12" s="14">
        <f>'Spot Prices'!Q35</f>
        <v>-8.6316558206649741E-2</v>
      </c>
      <c r="R12" s="14">
        <f>'Spot Prices'!R35</f>
        <v>-8.6316558206649852E-2</v>
      </c>
      <c r="S12" s="14">
        <f>'Spot Prices'!S35</f>
        <v>-8.6316558206649741E-2</v>
      </c>
      <c r="T12" s="14">
        <f>'Spot Prices'!T35</f>
        <v>-8.6316558206649741E-2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-8.3255250004576009E-2</v>
      </c>
      <c r="N13" s="46">
        <f>'Spot Prices'!N36</f>
        <v>-1.7385861996949137E-2</v>
      </c>
      <c r="O13" s="46">
        <f>'Spot Prices'!O36</f>
        <v>-7.7689461531457726E-2</v>
      </c>
      <c r="P13" s="46">
        <f>'Spot Prices'!P36</f>
        <v>-7.7689461531457615E-2</v>
      </c>
      <c r="Q13" s="46">
        <f>'Spot Prices'!Q36</f>
        <v>-7.7689461531457504E-2</v>
      </c>
      <c r="R13" s="46">
        <f>'Spot Prices'!R36</f>
        <v>-7.7689461531457615E-2</v>
      </c>
      <c r="S13" s="46">
        <f>'Spot Prices'!S36</f>
        <v>-7.7689461531457504E-2</v>
      </c>
      <c r="T13" s="46">
        <f>'Spot Prices'!T36</f>
        <v>-7.7689461531457504E-2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242758.19884442649</v>
      </c>
      <c r="Q17" s="36">
        <f>'Spot Prices'!Q17/'Spot Prices'!P17*DualFuelMWh!P17</f>
        <v>253554.15778618649</v>
      </c>
      <c r="R17" s="36">
        <f>'Spot Prices'!R17/'Spot Prices'!Q17*DualFuelMWh!Q17</f>
        <v>248138.7713945274</v>
      </c>
      <c r="S17" s="36">
        <f>'Spot Prices'!S17/'Spot Prices'!R17*DualFuelMWh!R17</f>
        <v>263997.90128852363</v>
      </c>
      <c r="T17" s="36">
        <f>'Spot Prices'!T17/'Spot Prices'!S17*DualFuelMWh!S17</f>
        <v>257247.46050376748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204512.91207947052</v>
      </c>
      <c r="Q18" s="36">
        <f>'Spot Prices'!Q18/'Spot Prices'!P18*DualFuelMWh!P18</f>
        <v>210752.90331548304</v>
      </c>
      <c r="R18" s="36">
        <f>'Spot Prices'!R18/'Spot Prices'!Q18*DualFuelMWh!Q18</f>
        <v>208880.29754925094</v>
      </c>
      <c r="S18" s="36">
        <f>'Spot Prices'!S18/'Spot Prices'!R18*DualFuelMWh!R18</f>
        <v>221337.37451544296</v>
      </c>
      <c r="T18" s="36">
        <f>'Spot Prices'!T18/'Spot Prices'!S18*DualFuelMWh!S18</f>
        <v>220962.47167010803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186814.28896995043</v>
      </c>
      <c r="Q19" s="50">
        <f>'Spot Prices'!Q19/'Spot Prices'!P19*DualFuelMWh!P19</f>
        <v>196343.96608941496</v>
      </c>
      <c r="R19" s="50">
        <f>'Spot Prices'!R19/'Spot Prices'!Q19*DualFuelMWh!Q19</f>
        <v>197356.35724232779</v>
      </c>
      <c r="S19" s="50">
        <f>'Spot Prices'!S19/'Spot Prices'!R19*DualFuelMWh!R19</f>
        <v>214005.29098430093</v>
      </c>
      <c r="T19" s="50">
        <f>'Spot Prices'!T19/'Spot Prices'!S19*DualFuelMWh!S19</f>
        <v>213320.9724986623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172401.55442942888</v>
      </c>
      <c r="Q20" s="45">
        <f>'Spot Prices'!Q20/'Spot Prices'!P20*DualFuelMWh!P20</f>
        <v>182834.95918099396</v>
      </c>
      <c r="R20" s="45">
        <f>'Spot Prices'!R20/'Spot Prices'!Q20*DualFuelMWh!Q20</f>
        <v>186190.69493207178</v>
      </c>
      <c r="S20" s="45">
        <f>'Spot Prices'!S20/'Spot Prices'!R20*DualFuelMWh!R20</f>
        <v>204168.07755163804</v>
      </c>
      <c r="T20" s="45">
        <f>'Spot Prices'!T20/'Spot Prices'!S20*DualFuelMWh!S20</f>
        <v>202885.68576957402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153504.92759259013</v>
      </c>
      <c r="Q21" s="50">
        <f>'Spot Prices'!Q21/'Spot Prices'!P21*DualFuelMWh!P21</f>
        <v>161255.86525526931</v>
      </c>
      <c r="R21" s="50">
        <f>'Spot Prices'!R21/'Spot Prices'!Q21*DualFuelMWh!Q21</f>
        <v>160329.51994107984</v>
      </c>
      <c r="S21" s="50">
        <f>'Spot Prices'!S21/'Spot Prices'!R21*DualFuelMWh!R21</f>
        <v>173281.91314986328</v>
      </c>
      <c r="T21" s="50">
        <f>'Spot Prices'!T21/'Spot Prices'!S21*DualFuelMWh!S21</f>
        <v>169864.44214244938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130868.76911169235</v>
      </c>
      <c r="Q22" s="36">
        <f>'Spot Prices'!Q22/'Spot Prices'!P22*DualFuelMWh!P22</f>
        <v>132859.73029021436</v>
      </c>
      <c r="R22" s="36">
        <f>'Spot Prices'!R22/'Spot Prices'!Q22*DualFuelMWh!Q22</f>
        <v>123923.43950915764</v>
      </c>
      <c r="S22" s="36">
        <f>'Spot Prices'!S22/'Spot Prices'!R22*DualFuelMWh!R22</f>
        <v>131213.06698314793</v>
      </c>
      <c r="T22" s="36">
        <f>'Spot Prices'!T22/'Spot Prices'!S22*DualFuelMWh!S22</f>
        <v>124756.87701496198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97432.443036923505</v>
      </c>
      <c r="Q23" s="36">
        <f>'Spot Prices'!Q23/'Spot Prices'!P23*DualFuelMWh!P23</f>
        <v>101397.95113860549</v>
      </c>
      <c r="R23" s="36">
        <f>'Spot Prices'!R23/'Spot Prices'!Q23*DualFuelMWh!Q23</f>
        <v>94393.684552845356</v>
      </c>
      <c r="S23" s="36">
        <f>'Spot Prices'!S23/'Spot Prices'!R23*DualFuelMWh!R23</f>
        <v>98358.504887270086</v>
      </c>
      <c r="T23" s="36">
        <f>'Spot Prices'!T23/'Spot Prices'!S23*DualFuelMWh!S23</f>
        <v>90675.210752130763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170444.25030197756</v>
      </c>
      <c r="Q24" s="50">
        <f>'Spot Prices'!Q24/'Spot Prices'!P24*DualFuelMWh!P24</f>
        <v>178331.24243743654</v>
      </c>
      <c r="R24" s="50">
        <f>'Spot Prices'!R24/'Spot Prices'!Q24*DualFuelMWh!Q24</f>
        <v>177811.13118413821</v>
      </c>
      <c r="S24" s="50">
        <f>'Spot Prices'!S24/'Spot Prices'!R24*DualFuelMWh!R24</f>
        <v>192133.39829526018</v>
      </c>
      <c r="T24" s="50">
        <f>'Spot Prices'!T24/'Spot Prices'!S24*DualFuelMWh!S24</f>
        <v>189845.18062284935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232280.69761549291</v>
      </c>
      <c r="G28" s="15">
        <f t="shared" si="1"/>
        <v>232364.46240133373</v>
      </c>
      <c r="H28" s="15">
        <f t="shared" si="1"/>
        <v>237365.75072871131</v>
      </c>
      <c r="I28" s="15">
        <f t="shared" si="1"/>
        <v>238642.80406683721</v>
      </c>
      <c r="J28" s="15">
        <f t="shared" si="1"/>
        <v>232953.30644772126</v>
      </c>
      <c r="K28" s="15">
        <f t="shared" si="1"/>
        <v>207793.53818487661</v>
      </c>
      <c r="L28" s="15">
        <f t="shared" si="1"/>
        <v>229180.68283233469</v>
      </c>
      <c r="M28" s="15">
        <f t="shared" si="1"/>
        <v>216346.64284541487</v>
      </c>
      <c r="N28" s="15">
        <f t="shared" si="1"/>
        <v>234375.70034753234</v>
      </c>
      <c r="O28" s="15">
        <f t="shared" si="1"/>
        <v>224959.61036524276</v>
      </c>
      <c r="P28" s="36">
        <f>(O28*'Spot Prices'!P5/'Spot Prices'!O5)*($E$26)</f>
        <v>230289.74752099079</v>
      </c>
      <c r="Q28" s="36">
        <f>(P28*'Spot Prices'!Q5/'Spot Prices'!P5)*($E$26)</f>
        <v>240531.20865713223</v>
      </c>
      <c r="R28" s="36">
        <f>(Q28*'Spot Prices'!R5/'Spot Prices'!Q5)*($E$26)</f>
        <v>235393.96521571497</v>
      </c>
      <c r="S28" s="36">
        <f>(R28*'Spot Prices'!S5/'Spot Prices'!R5)*($E$26)</f>
        <v>250438.54470500143</v>
      </c>
      <c r="T28" s="36">
        <f>(S28*'Spot Prices'!T5/'Spot Prices'!S5)*($E$26)</f>
        <v>244034.81741020002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185510.63497207875</v>
      </c>
      <c r="G29" s="15">
        <f t="shared" si="2"/>
        <v>182238.81763030292</v>
      </c>
      <c r="H29" s="15">
        <f t="shared" si="2"/>
        <v>181191.09885800083</v>
      </c>
      <c r="I29" s="15">
        <f t="shared" si="2"/>
        <v>190750.30132349837</v>
      </c>
      <c r="J29" s="15">
        <f t="shared" si="2"/>
        <v>184060.79513665574</v>
      </c>
      <c r="K29" s="15">
        <f t="shared" si="2"/>
        <v>169315.01736933354</v>
      </c>
      <c r="L29" s="15">
        <f t="shared" si="2"/>
        <v>175770.09659217502</v>
      </c>
      <c r="M29" s="15">
        <f t="shared" si="2"/>
        <v>168592.41431738474</v>
      </c>
      <c r="N29" s="15">
        <f t="shared" si="2"/>
        <v>187137.74615096013</v>
      </c>
      <c r="O29" s="15">
        <f t="shared" si="2"/>
        <v>179818.29212449759</v>
      </c>
      <c r="P29" s="36">
        <f>(O29*'Spot Prices'!P6/'Spot Prices'!O6)*($E$26)</f>
        <v>190632.5204036826</v>
      </c>
      <c r="Q29" s="36">
        <f>(P29*'Spot Prices'!Q6/'Spot Prices'!P6)*($E$26)</f>
        <v>196449.00037320022</v>
      </c>
      <c r="R29" s="36">
        <f>(Q29*'Spot Prices'!R6/'Spot Prices'!Q6)*($E$26)</f>
        <v>194703.48927901281</v>
      </c>
      <c r="S29" s="36">
        <f>(R29*'Spot Prices'!S6/'Spot Prices'!R6)*($E$26)</f>
        <v>206315.09832013323</v>
      </c>
      <c r="T29" s="36">
        <f>(S29*'Spot Prices'!T6/'Spot Prices'!S6)*($E$26)</f>
        <v>205965.64031483652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165363.62180608601</v>
      </c>
      <c r="G30" s="47">
        <f t="shared" si="3"/>
        <v>162585.34908195847</v>
      </c>
      <c r="H30" s="47">
        <f t="shared" si="3"/>
        <v>161452.17849116927</v>
      </c>
      <c r="I30" s="47">
        <f t="shared" si="3"/>
        <v>171525.89158548304</v>
      </c>
      <c r="J30" s="47">
        <f t="shared" si="3"/>
        <v>164670.80921355996</v>
      </c>
      <c r="K30" s="47">
        <f t="shared" si="3"/>
        <v>151826.56453477198</v>
      </c>
      <c r="L30" s="47">
        <f t="shared" si="3"/>
        <v>155420.42828820646</v>
      </c>
      <c r="M30" s="47">
        <f t="shared" si="3"/>
        <v>150499.52442672342</v>
      </c>
      <c r="N30" s="47">
        <f t="shared" si="3"/>
        <v>165899.64532810173</v>
      </c>
      <c r="O30" s="47">
        <f t="shared" si="3"/>
        <v>160389.73397148922</v>
      </c>
      <c r="P30" s="50">
        <f>(O30*'Spot Prices'!P7/'Spot Prices'!O7)*($E$26)</f>
        <v>173100.3697065383</v>
      </c>
      <c r="Q30" s="50">
        <f>(P30*'Spot Prices'!Q7/'Spot Prices'!P7)*($E$26)</f>
        <v>181930.47923219984</v>
      </c>
      <c r="R30" s="50">
        <f>(Q30*'Spot Prices'!R7/'Spot Prices'!Q7)*($E$26)</f>
        <v>182868.55138836682</v>
      </c>
      <c r="S30" s="50">
        <f>(R30*'Spot Prices'!S7/'Spot Prices'!R7)*($E$26)</f>
        <v>198295.29739289099</v>
      </c>
      <c r="T30" s="50">
        <f>(S30*'Spot Prices'!T7/'Spot Prices'!S7)*($E$26)</f>
        <v>197661.21429617394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153994.11804740527</v>
      </c>
      <c r="G31" s="42">
        <f t="shared" si="4"/>
        <v>151352.77827751852</v>
      </c>
      <c r="H31" s="42">
        <f t="shared" si="4"/>
        <v>150357.18022816337</v>
      </c>
      <c r="I31" s="42">
        <f t="shared" si="4"/>
        <v>159646.29799846467</v>
      </c>
      <c r="J31" s="42">
        <f t="shared" si="4"/>
        <v>154293.10183796225</v>
      </c>
      <c r="K31" s="42">
        <f t="shared" si="4"/>
        <v>141302.67247050747</v>
      </c>
      <c r="L31" s="42">
        <f t="shared" si="4"/>
        <v>143975.776326736</v>
      </c>
      <c r="M31" s="42">
        <f t="shared" si="4"/>
        <v>139093.77102396291</v>
      </c>
      <c r="N31" s="42">
        <f t="shared" si="4"/>
        <v>153200.9479796247</v>
      </c>
      <c r="O31" s="42">
        <f t="shared" si="4"/>
        <v>145733.14266584645</v>
      </c>
      <c r="P31" s="45">
        <f>(O31*'Spot Prices'!P8/'Spot Prices'!O8)*($E$26)</f>
        <v>158644.84834493129</v>
      </c>
      <c r="Q31" s="45">
        <f>(P31*'Spot Prices'!Q8/'Spot Prices'!P8)*($E$26)</f>
        <v>168245.72416076317</v>
      </c>
      <c r="R31" s="45">
        <f>(Q31*'Spot Prices'!R8/'Spot Prices'!Q8)*($E$26)</f>
        <v>171333.69045594716</v>
      </c>
      <c r="S31" s="45">
        <f>(R31*'Spot Prices'!S8/'Spot Prices'!R8)*($E$26)</f>
        <v>187876.57574928913</v>
      </c>
      <c r="T31" s="45">
        <f>(S31*'Spot Prices'!T8/'Spot Prices'!S8)*($E$26)</f>
        <v>186696.51185451949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142776.55376542639</v>
      </c>
      <c r="G32" s="47">
        <f t="shared" si="5"/>
        <v>140805.49862296111</v>
      </c>
      <c r="H32" s="47">
        <f t="shared" si="5"/>
        <v>139649.58658002221</v>
      </c>
      <c r="I32" s="47">
        <f t="shared" si="5"/>
        <v>147931.94033921612</v>
      </c>
      <c r="J32" s="47">
        <f t="shared" si="5"/>
        <v>143790.43501435959</v>
      </c>
      <c r="K32" s="47">
        <f t="shared" si="5"/>
        <v>131059.23313532351</v>
      </c>
      <c r="L32" s="47">
        <f t="shared" si="5"/>
        <v>133286.17824993969</v>
      </c>
      <c r="M32" s="47">
        <f t="shared" si="5"/>
        <v>128629.83451778298</v>
      </c>
      <c r="N32" s="47">
        <f t="shared" si="5"/>
        <v>140577.38772235005</v>
      </c>
      <c r="O32" s="47">
        <f t="shared" si="5"/>
        <v>131659.14436304761</v>
      </c>
      <c r="P32" s="50">
        <f>(O32*'Spot Prices'!P9/'Spot Prices'!O9)*($E$26)</f>
        <v>140985.64475717337</v>
      </c>
      <c r="Q32" s="50">
        <f>(P32*'Spot Prices'!Q9/'Spot Prices'!P9)*($E$26)</f>
        <v>148104.44518256266</v>
      </c>
      <c r="R32" s="50">
        <f>(Q32*'Spot Prices'!R9/'Spot Prices'!Q9)*($E$26)</f>
        <v>147253.64909779193</v>
      </c>
      <c r="S32" s="50">
        <f>(R32*'Spot Prices'!S9/'Spot Prices'!R9)*($E$26)</f>
        <v>159149.69397613831</v>
      </c>
      <c r="T32" s="50">
        <f>(S32*'Spot Prices'!T9/'Spot Prices'!S9)*($E$26)</f>
        <v>156010.93901253247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127326.07312438733</v>
      </c>
      <c r="G33" s="15">
        <f t="shared" si="6"/>
        <v>125294.44836536968</v>
      </c>
      <c r="H33" s="15">
        <f t="shared" si="6"/>
        <v>124269.08010250954</v>
      </c>
      <c r="I33" s="15">
        <f t="shared" si="6"/>
        <v>130983.81869903269</v>
      </c>
      <c r="J33" s="15">
        <f t="shared" si="6"/>
        <v>128682.39507288796</v>
      </c>
      <c r="K33" s="15">
        <f t="shared" si="6"/>
        <v>117910.99733510727</v>
      </c>
      <c r="L33" s="15">
        <f t="shared" si="6"/>
        <v>117174.17119086441</v>
      </c>
      <c r="M33" s="15">
        <f t="shared" si="6"/>
        <v>112848.29542849131</v>
      </c>
      <c r="N33" s="15">
        <f t="shared" si="6"/>
        <v>122208.15125482166</v>
      </c>
      <c r="O33" s="15">
        <f t="shared" si="6"/>
        <v>114845.81366914709</v>
      </c>
      <c r="P33" s="36">
        <f>(O33*'Spot Prices'!P10/'Spot Prices'!O10)*($E$26)</f>
        <v>119719.17084433042</v>
      </c>
      <c r="Q33" s="36">
        <f>(P33*'Spot Prices'!Q10/'Spot Prices'!P10)*($E$26)</f>
        <v>121540.5085331756</v>
      </c>
      <c r="R33" s="36">
        <f>(Q33*'Spot Prices'!R10/'Spot Prices'!Q10)*($E$26)</f>
        <v>113365.56098844194</v>
      </c>
      <c r="S33" s="36">
        <f>(R33*'Spot Prices'!S10/'Spot Prices'!R10)*($E$26)</f>
        <v>120034.13564436568</v>
      </c>
      <c r="T33" s="36">
        <f>(S33*'Spot Prices'!T10/'Spot Prices'!S10)*($E$26)</f>
        <v>114127.99229900393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97334.981449714061</v>
      </c>
      <c r="G34" s="15">
        <f t="shared" si="7"/>
        <v>92911.648904265821</v>
      </c>
      <c r="H34" s="15">
        <f t="shared" si="7"/>
        <v>94590.785152598008</v>
      </c>
      <c r="I34" s="15">
        <f t="shared" si="7"/>
        <v>98837.471466645278</v>
      </c>
      <c r="J34" s="15">
        <f t="shared" si="7"/>
        <v>91108.351275440305</v>
      </c>
      <c r="K34" s="15">
        <f t="shared" si="7"/>
        <v>83134.88558885266</v>
      </c>
      <c r="L34" s="15">
        <f t="shared" si="7"/>
        <v>79381.254386708693</v>
      </c>
      <c r="M34" s="15">
        <f t="shared" si="7"/>
        <v>82564.170538290928</v>
      </c>
      <c r="N34" s="15">
        <f t="shared" si="7"/>
        <v>95656.430727573679</v>
      </c>
      <c r="O34" s="15">
        <f t="shared" si="7"/>
        <v>89940.348328156193</v>
      </c>
      <c r="P34" s="36">
        <f>(O34*'Spot Prices'!P11/'Spot Prices'!O11)*($E$26)</f>
        <v>89022.409896310797</v>
      </c>
      <c r="Q34" s="36">
        <f>(P34*'Spot Prices'!Q11/'Spot Prices'!P11)*($E$26)</f>
        <v>92645.628987115007</v>
      </c>
      <c r="R34" s="36">
        <f>(Q34*'Spot Prices'!R11/'Spot Prices'!Q11)*($E$26)</f>
        <v>86245.946585799524</v>
      </c>
      <c r="S34" s="36">
        <f>(R34*'Spot Prices'!S11/'Spot Prices'!R11)*($E$26)</f>
        <v>89868.537275048962</v>
      </c>
      <c r="T34" s="36">
        <f>(S34*'Spot Prices'!T11/'Spot Prices'!S11)*($E$26)</f>
        <v>82848.438645344198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154798.61548229732</v>
      </c>
      <c r="G35" s="47">
        <f t="shared" si="8"/>
        <v>152187.46983811943</v>
      </c>
      <c r="H35" s="47">
        <f t="shared" si="8"/>
        <v>151275.73390304405</v>
      </c>
      <c r="I35" s="47">
        <f t="shared" si="8"/>
        <v>160244.34752527453</v>
      </c>
      <c r="J35" s="47">
        <f t="shared" si="8"/>
        <v>154920.9041336173</v>
      </c>
      <c r="K35" s="47">
        <f t="shared" si="8"/>
        <v>142085.03340875267</v>
      </c>
      <c r="L35" s="47">
        <f t="shared" si="8"/>
        <v>144958.84581476814</v>
      </c>
      <c r="M35" s="47">
        <f t="shared" si="8"/>
        <v>139957.83162142831</v>
      </c>
      <c r="N35" s="47">
        <f t="shared" si="8"/>
        <v>153726.349853939</v>
      </c>
      <c r="O35" s="47">
        <f t="shared" si="8"/>
        <v>146429.11922059554</v>
      </c>
      <c r="P35" s="50">
        <f>(O35*'Spot Prices'!P12/'Spot Prices'!O12)*($E$26)</f>
        <v>157202.52827488392</v>
      </c>
      <c r="Q35" s="50">
        <f>(P35*'Spot Prices'!Q12/'Spot Prices'!P12)*($E$26)</f>
        <v>164476.78423823626</v>
      </c>
      <c r="R35" s="50">
        <f>(Q35*'Spot Prices'!R12/'Spot Prices'!Q12)*($E$26)</f>
        <v>163997.08014814311</v>
      </c>
      <c r="S35" s="50">
        <f>(R35*'Spot Prices'!S12/'Spot Prices'!R12)*($E$26)</f>
        <v>177206.65803949229</v>
      </c>
      <c r="T35" s="50">
        <f>(S35*'Spot Prices'!T12/'Spot Prices'!S12)*($E$26)</f>
        <v>175096.21076591781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F1" workbookViewId="0">
      <selection activeCell="K19" sqref="K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-2.0813555004723372E-2</v>
      </c>
      <c r="N6" s="14">
        <f>'Spot Prices'!N29</f>
        <v>1.493855324879978E-2</v>
      </c>
      <c r="O6" s="14">
        <f>'Spot Prices'!O29</f>
        <v>-5.1361607487565131E-2</v>
      </c>
      <c r="P6" s="14">
        <f>'Spot Prices'!P29</f>
        <v>-5.1361607487565242E-2</v>
      </c>
      <c r="Q6" s="14">
        <f>'Spot Prices'!Q29</f>
        <v>-5.1361607487565353E-2</v>
      </c>
      <c r="R6" s="14">
        <f>'Spot Prices'!R29</f>
        <v>-5.1361607487565353E-2</v>
      </c>
      <c r="S6" s="14">
        <f>'Spot Prices'!S29</f>
        <v>-5.1361607487565464E-2</v>
      </c>
      <c r="T6" s="14">
        <f>'Spot Prices'!T29</f>
        <v>-5.1361607487565353E-2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-6.8917614596644472E-2</v>
      </c>
      <c r="N7" s="14">
        <f>'Spot Prices'!N30</f>
        <v>-1.0223248406081464E-2</v>
      </c>
      <c r="O7" s="14">
        <f>'Spot Prices'!O30</f>
        <v>-6.787049059471717E-2</v>
      </c>
      <c r="P7" s="14">
        <f>'Spot Prices'!P30</f>
        <v>-6.7870490594717281E-2</v>
      </c>
      <c r="Q7" s="14">
        <f>'Spot Prices'!Q30</f>
        <v>-6.787049059471717E-2</v>
      </c>
      <c r="R7" s="14">
        <f>'Spot Prices'!R30</f>
        <v>-6.787049059471717E-2</v>
      </c>
      <c r="S7" s="14">
        <f>'Spot Prices'!S30</f>
        <v>-6.787049059471717E-2</v>
      </c>
      <c r="T7" s="14">
        <f>'Spot Prices'!T30</f>
        <v>-6.7870490594717281E-2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-8.0105495261009962E-2</v>
      </c>
      <c r="N8" s="46">
        <f>'Spot Prices'!N31</f>
        <v>-1.6561137969228645E-2</v>
      </c>
      <c r="O8" s="46">
        <f>'Spot Prices'!O31</f>
        <v>-7.3409370016755293E-2</v>
      </c>
      <c r="P8" s="46">
        <f>'Spot Prices'!P31</f>
        <v>-7.3409370016755293E-2</v>
      </c>
      <c r="Q8" s="46">
        <f>'Spot Prices'!Q31</f>
        <v>-7.3409370016755293E-2</v>
      </c>
      <c r="R8" s="46">
        <f>'Spot Prices'!R31</f>
        <v>-7.3409370016755071E-2</v>
      </c>
      <c r="S8" s="46">
        <f>'Spot Prices'!S31</f>
        <v>-7.3409370016755182E-2</v>
      </c>
      <c r="T8" s="46">
        <f>'Spot Prices'!T31</f>
        <v>-7.3409370016755182E-2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-8.6733081036943105E-2</v>
      </c>
      <c r="N9" s="41">
        <f>'Spot Prices'!N32</f>
        <v>-1.7926037181399734E-2</v>
      </c>
      <c r="O9" s="41">
        <f>'Spot Prices'!O32</f>
        <v>-7.9794559451775493E-2</v>
      </c>
      <c r="P9" s="41">
        <f>'Spot Prices'!P32</f>
        <v>-7.9794559451775604E-2</v>
      </c>
      <c r="Q9" s="41">
        <f>'Spot Prices'!Q32</f>
        <v>-7.9794559451775493E-2</v>
      </c>
      <c r="R9" s="41">
        <f>'Spot Prices'!R32</f>
        <v>-7.9794559451775382E-2</v>
      </c>
      <c r="S9" s="41">
        <f>'Spot Prices'!S32</f>
        <v>-7.9794559451775382E-2</v>
      </c>
      <c r="T9" s="41">
        <f>'Spot Prices'!T32</f>
        <v>-7.9794559451775382E-2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-8.8692259540020468E-2</v>
      </c>
      <c r="N10" s="46">
        <f>'Spot Prices'!N33</f>
        <v>-1.9008458418999008E-2</v>
      </c>
      <c r="O10" s="46">
        <f>'Spot Prices'!O33</f>
        <v>-8.1556227749532306E-2</v>
      </c>
      <c r="P10" s="46">
        <f>'Spot Prices'!P33</f>
        <v>-8.1556227749532306E-2</v>
      </c>
      <c r="Q10" s="46">
        <f>'Spot Prices'!Q33</f>
        <v>-8.1556227749532417E-2</v>
      </c>
      <c r="R10" s="46">
        <f>'Spot Prices'!R33</f>
        <v>-8.1556227749532417E-2</v>
      </c>
      <c r="S10" s="46">
        <f>'Spot Prices'!S33</f>
        <v>-8.1556227749532417E-2</v>
      </c>
      <c r="T10" s="46">
        <f>'Spot Prices'!T33</f>
        <v>-8.1556227749532528E-2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-9.511303196447185E-2</v>
      </c>
      <c r="N11" s="14">
        <f>'Spot Prices'!N34</f>
        <v>-2.1978398889982209E-2</v>
      </c>
      <c r="O11" s="14">
        <f>'Spot Prices'!O34</f>
        <v>-8.5196784099391132E-2</v>
      </c>
      <c r="P11" s="14">
        <f>'Spot Prices'!P34</f>
        <v>-8.5196784099391243E-2</v>
      </c>
      <c r="Q11" s="14">
        <f>'Spot Prices'!Q34</f>
        <v>-8.5196784099391243E-2</v>
      </c>
      <c r="R11" s="14">
        <f>'Spot Prices'!R34</f>
        <v>-8.5196784099391243E-2</v>
      </c>
      <c r="S11" s="14">
        <f>'Spot Prices'!S34</f>
        <v>-8.5196784099391132E-2</v>
      </c>
      <c r="T11" s="14">
        <f>'Spot Prices'!T34</f>
        <v>-8.5196784099391243E-2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-0.11040269819796233</v>
      </c>
      <c r="N12" s="14">
        <f>'Spot Prices'!N35</f>
        <v>-3.3532054065283701E-2</v>
      </c>
      <c r="O12" s="14">
        <f>'Spot Prices'!O35</f>
        <v>-8.6316558206649852E-2</v>
      </c>
      <c r="P12" s="14">
        <f>'Spot Prices'!P35</f>
        <v>-8.6316558206649852E-2</v>
      </c>
      <c r="Q12" s="14">
        <f>'Spot Prices'!Q35</f>
        <v>-8.6316558206649741E-2</v>
      </c>
      <c r="R12" s="14">
        <f>'Spot Prices'!R35</f>
        <v>-8.6316558206649852E-2</v>
      </c>
      <c r="S12" s="14">
        <f>'Spot Prices'!S35</f>
        <v>-8.6316558206649741E-2</v>
      </c>
      <c r="T12" s="14">
        <f>'Spot Prices'!T35</f>
        <v>-8.6316558206649741E-2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-8.3255250004576009E-2</v>
      </c>
      <c r="N13" s="46">
        <f>'Spot Prices'!N36</f>
        <v>-1.7385861996949137E-2</v>
      </c>
      <c r="O13" s="46">
        <f>'Spot Prices'!O36</f>
        <v>-7.7689461531457726E-2</v>
      </c>
      <c r="P13" s="46">
        <f>'Spot Prices'!P36</f>
        <v>-7.7689461531457615E-2</v>
      </c>
      <c r="Q13" s="46">
        <f>'Spot Prices'!Q36</f>
        <v>-7.7689461531457504E-2</v>
      </c>
      <c r="R13" s="46">
        <f>'Spot Prices'!R36</f>
        <v>-7.7689461531457615E-2</v>
      </c>
      <c r="S13" s="46">
        <f>'Spot Prices'!S36</f>
        <v>-7.7689461531457504E-2</v>
      </c>
      <c r="T13" s="46">
        <f>'Spot Prices'!T36</f>
        <v>-7.7689461531457504E-2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20106367.118112002</v>
      </c>
      <c r="Q17" s="19">
        <f>'Spot Prices'!Q17/'Spot Prices'!P17*'2hBatteryCM'!P17</f>
        <v>21000538.828515075</v>
      </c>
      <c r="R17" s="19">
        <f>'Spot Prices'!R17/'Spot Prices'!Q17*'2hBatteryCM'!Q17</f>
        <v>20552011.250886668</v>
      </c>
      <c r="S17" s="19">
        <f>'Spot Prices'!S17/'Spot Prices'!R17*'2hBatteryCM'!R17</f>
        <v>21865538.412236482</v>
      </c>
      <c r="T17" s="19">
        <f>'Spot Prices'!T17/'Spot Prices'!S17*'2hBatteryCM'!S17</f>
        <v>21306435.398317825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15823549.856845755</v>
      </c>
      <c r="Q18" s="19">
        <f>'Spot Prices'!Q18/'Spot Prices'!P18*'2hBatteryCM'!P18</f>
        <v>16306349.751607198</v>
      </c>
      <c r="R18" s="19">
        <f>'Spot Prices'!R18/'Spot Prices'!Q18*'2hBatteryCM'!Q18</f>
        <v>16161462.710476631</v>
      </c>
      <c r="S18" s="19">
        <f>'Spot Prices'!S18/'Spot Prices'!R18*'2hBatteryCM'!R18</f>
        <v>17125290.257797986</v>
      </c>
      <c r="T18" s="19">
        <f>'Spot Prices'!T18/'Spot Prices'!S18*'2hBatteryCM'!S18</f>
        <v>17096283.317334857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14008153.166509431</v>
      </c>
      <c r="Q19" s="49">
        <f>'Spot Prices'!Q19/'Spot Prices'!P19*'2hBatteryCM'!P19</f>
        <v>14722730.073088093</v>
      </c>
      <c r="R19" s="49">
        <f>'Spot Prices'!R19/'Spot Prices'!Q19*'2hBatteryCM'!Q19</f>
        <v>14798643.593475727</v>
      </c>
      <c r="S19" s="49">
        <f>'Spot Prices'!S19/'Spot Prices'!R19*'2hBatteryCM'!R19</f>
        <v>16047053.526155667</v>
      </c>
      <c r="T19" s="49">
        <f>'Spot Prices'!T19/'Spot Prices'!S19*'2hBatteryCM'!S19</f>
        <v>15995740.330498341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12481941.490000252</v>
      </c>
      <c r="Q20" s="40">
        <f>'Spot Prices'!Q20/'Spot Prices'!P20*'2hBatteryCM'!P20</f>
        <v>13237324.166690875</v>
      </c>
      <c r="R20" s="40">
        <f>'Spot Prices'!R20/'Spot Prices'!Q20*'2hBatteryCM'!Q20</f>
        <v>13480280.777143022</v>
      </c>
      <c r="S20" s="40">
        <f>'Spot Prices'!S20/'Spot Prices'!R20*'2hBatteryCM'!R20</f>
        <v>14781850.468573077</v>
      </c>
      <c r="T20" s="40">
        <f>'Spot Prices'!T20/'Spot Prices'!S20*'2hBatteryCM'!S20</f>
        <v>14689004.790679073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10626919.357774664</v>
      </c>
      <c r="Q21" s="49">
        <f>'Spot Prices'!Q21/'Spot Prices'!P21*'2hBatteryCM'!P21</f>
        <v>11163505.321366925</v>
      </c>
      <c r="R21" s="49">
        <f>'Spot Prices'!R21/'Spot Prices'!Q21*'2hBatteryCM'!Q21</f>
        <v>11099375.803795535</v>
      </c>
      <c r="S21" s="49">
        <f>'Spot Prices'!S21/'Spot Prices'!R21*'2hBatteryCM'!R21</f>
        <v>11996050.850509632</v>
      </c>
      <c r="T21" s="49">
        <f>'Spot Prices'!T21/'Spot Prices'!S21*'2hBatteryCM'!S21</f>
        <v>11759464.38144391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8381589.6824598154</v>
      </c>
      <c r="Q22" s="19">
        <f>'Spot Prices'!Q22/'Spot Prices'!P22*'2hBatteryCM'!P22</f>
        <v>8509102.3028149121</v>
      </c>
      <c r="R22" s="19">
        <f>'Spot Prices'!R22/'Spot Prices'!Q22*'2hBatteryCM'!Q22</f>
        <v>7936770.7746866029</v>
      </c>
      <c r="S22" s="19">
        <f>'Spot Prices'!S22/'Spot Prices'!R22*'2hBatteryCM'!R22</f>
        <v>8403640.5010521561</v>
      </c>
      <c r="T22" s="19">
        <f>'Spot Prices'!T22/'Spot Prices'!S22*'2hBatteryCM'!S22</f>
        <v>7990148.9125497527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5721034.4252520846</v>
      </c>
      <c r="Q23" s="19">
        <f>'Spot Prices'!Q23/'Spot Prices'!P23*'2hBatteryCM'!P23</f>
        <v>5953880.9767312584</v>
      </c>
      <c r="R23" s="19">
        <f>'Spot Prices'!R23/'Spot Prices'!Q23*'2hBatteryCM'!Q23</f>
        <v>5542604.7220078614</v>
      </c>
      <c r="S23" s="19">
        <f>'Spot Prices'!S23/'Spot Prices'!R23*'2hBatteryCM'!R23</f>
        <v>5775410.8891958008</v>
      </c>
      <c r="T23" s="19">
        <f>'Spot Prices'!T23/'Spot Prices'!S23*'2hBatteryCM'!S23</f>
        <v>5324263.5210669776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12309349.253685676</v>
      </c>
      <c r="Q24" s="49">
        <f>'Spot Prices'!Q24/'Spot Prices'!P24*'2hBatteryCM'!P24</f>
        <v>12878941.601825507</v>
      </c>
      <c r="R24" s="49">
        <f>'Spot Prices'!R24/'Spot Prices'!Q24*'2hBatteryCM'!Q24</f>
        <v>12841379.577549074</v>
      </c>
      <c r="S24" s="49">
        <f>'Spot Prices'!S24/'Spot Prices'!R24*'2hBatteryCM'!R24</f>
        <v>13875722.406145684</v>
      </c>
      <c r="T24" s="49">
        <f>'Spot Prices'!T24/'Spot Prices'!S24*'2hBatteryCM'!S24</f>
        <v>13710469.131551452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10650281.083637893</v>
      </c>
      <c r="G28" s="20">
        <f t="shared" ref="G28:T28" si="3">(G17*(1+G6))*(G$26)</f>
        <v>10617786.395739466</v>
      </c>
      <c r="H28" s="20">
        <f t="shared" si="3"/>
        <v>10112512.361588769</v>
      </c>
      <c r="I28" s="20">
        <f t="shared" si="3"/>
        <v>11744882.487899832</v>
      </c>
      <c r="J28" s="20">
        <f t="shared" si="3"/>
        <v>12798638.644403562</v>
      </c>
      <c r="K28" s="20">
        <f t="shared" si="3"/>
        <v>11933699.706052229</v>
      </c>
      <c r="L28" s="20">
        <f t="shared" si="3"/>
        <v>11043997.343756523</v>
      </c>
      <c r="M28" s="20">
        <f t="shared" si="3"/>
        <v>9914103.5010068305</v>
      </c>
      <c r="N28" s="20">
        <f t="shared" si="3"/>
        <v>11803731.139664926</v>
      </c>
      <c r="O28" s="20">
        <f t="shared" si="3"/>
        <v>10620356.818186473</v>
      </c>
      <c r="P28" s="21">
        <f t="shared" si="3"/>
        <v>10681256.19802676</v>
      </c>
      <c r="Q28" s="21">
        <f t="shared" si="3"/>
        <v>10957054.567897627</v>
      </c>
      <c r="R28" s="21">
        <f t="shared" si="3"/>
        <v>10528070.534606842</v>
      </c>
      <c r="S28" s="21">
        <f t="shared" si="3"/>
        <v>10993519.281725539</v>
      </c>
      <c r="T28" s="21">
        <f t="shared" si="3"/>
        <v>10712414.392008035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7794660.0205758605</v>
      </c>
      <c r="G29" s="20">
        <f t="shared" ref="G29:T29" si="5">(G18*(1+G7))*(G$26)</f>
        <v>7730988.8790378468</v>
      </c>
      <c r="H29" s="20">
        <f t="shared" si="5"/>
        <v>7582628.637416508</v>
      </c>
      <c r="I29" s="20">
        <f t="shared" si="5"/>
        <v>8871827.042916378</v>
      </c>
      <c r="J29" s="20">
        <f t="shared" si="5"/>
        <v>9235810.3453103136</v>
      </c>
      <c r="K29" s="20">
        <f t="shared" si="5"/>
        <v>8926719.969687812</v>
      </c>
      <c r="L29" s="20">
        <f t="shared" si="5"/>
        <v>7340053.1085019363</v>
      </c>
      <c r="M29" s="20">
        <f t="shared" si="5"/>
        <v>7443778.3621890154</v>
      </c>
      <c r="N29" s="20">
        <f t="shared" si="5"/>
        <v>8609439.3055646736</v>
      </c>
      <c r="O29" s="20">
        <f t="shared" si="5"/>
        <v>7930341.8965279395</v>
      </c>
      <c r="P29" s="21">
        <f t="shared" si="5"/>
        <v>8259774.7484625326</v>
      </c>
      <c r="Q29" s="21">
        <f t="shared" si="5"/>
        <v>8359796.3867861144</v>
      </c>
      <c r="R29" s="21">
        <f t="shared" si="5"/>
        <v>8134871.2060977109</v>
      </c>
      <c r="S29" s="21">
        <f t="shared" si="5"/>
        <v>8460383.8554048818</v>
      </c>
      <c r="T29" s="21">
        <f t="shared" si="5"/>
        <v>8446053.5960577596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6434219.2965804795</v>
      </c>
      <c r="G30" s="48">
        <f t="shared" ref="G30:T30" si="6">(G19*(1+G8))*(G$26)</f>
        <v>6388341.4487166665</v>
      </c>
      <c r="H30" s="48">
        <f t="shared" si="6"/>
        <v>6284817.0020929715</v>
      </c>
      <c r="I30" s="48">
        <f t="shared" si="6"/>
        <v>7335949.4857760295</v>
      </c>
      <c r="J30" s="48">
        <f t="shared" si="6"/>
        <v>7742566.1249687411</v>
      </c>
      <c r="K30" s="48">
        <f t="shared" si="6"/>
        <v>7577961.3462033384</v>
      </c>
      <c r="L30" s="48">
        <f t="shared" si="6"/>
        <v>6210147.8571997257</v>
      </c>
      <c r="M30" s="48">
        <f t="shared" si="6"/>
        <v>6351675.534211833</v>
      </c>
      <c r="N30" s="48">
        <f t="shared" si="6"/>
        <v>7340825.1317914594</v>
      </c>
      <c r="O30" s="48">
        <f t="shared" si="6"/>
        <v>6855232.8847647216</v>
      </c>
      <c r="P30" s="49">
        <f t="shared" si="6"/>
        <v>7268701.1417763438</v>
      </c>
      <c r="Q30" s="49">
        <f t="shared" si="6"/>
        <v>7503069.0534227761</v>
      </c>
      <c r="R30" s="49">
        <f t="shared" si="6"/>
        <v>7404633.624695139</v>
      </c>
      <c r="S30" s="49">
        <f t="shared" si="6"/>
        <v>7880596.2011729768</v>
      </c>
      <c r="T30" s="49">
        <f t="shared" si="6"/>
        <v>7855396.6482389718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5596920.5402043713</v>
      </c>
      <c r="G31" s="39">
        <f t="shared" ref="G31:T31" si="7">(G20*(1+G9))*(G$26)</f>
        <v>5521884.1697053621</v>
      </c>
      <c r="H31" s="39">
        <f t="shared" si="7"/>
        <v>5419108.4553625397</v>
      </c>
      <c r="I31" s="39">
        <f t="shared" si="7"/>
        <v>6246073.412937589</v>
      </c>
      <c r="J31" s="39">
        <f t="shared" si="7"/>
        <v>6646740.812319288</v>
      </c>
      <c r="K31" s="39">
        <f t="shared" si="7"/>
        <v>6616196.422309109</v>
      </c>
      <c r="L31" s="39">
        <f t="shared" si="7"/>
        <v>5435928.4203747734</v>
      </c>
      <c r="M31" s="39">
        <f t="shared" si="7"/>
        <v>5569058.5138342036</v>
      </c>
      <c r="N31" s="39">
        <f t="shared" si="7"/>
        <v>6396227.575091647</v>
      </c>
      <c r="O31" s="39">
        <f t="shared" si="7"/>
        <v>6014148.5532401586</v>
      </c>
      <c r="P31" s="40">
        <f t="shared" si="7"/>
        <v>6432132.2619135901</v>
      </c>
      <c r="Q31" s="40">
        <f t="shared" si="7"/>
        <v>6699581.7440691888</v>
      </c>
      <c r="R31" s="40">
        <f t="shared" si="7"/>
        <v>6698498.9640721139</v>
      </c>
      <c r="S31" s="40">
        <f t="shared" si="7"/>
        <v>7209239.7879521707</v>
      </c>
      <c r="T31" s="40">
        <f t="shared" si="7"/>
        <v>7163958.1260495624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4776887.8670569919</v>
      </c>
      <c r="G32" s="48">
        <f t="shared" ref="G32:T32" si="8">(G21*(1+G10))*(G$26)</f>
        <v>4709052.5751487203</v>
      </c>
      <c r="H32" s="48">
        <f t="shared" si="8"/>
        <v>4639143.5103227599</v>
      </c>
      <c r="I32" s="48">
        <f t="shared" si="8"/>
        <v>5218937.646146331</v>
      </c>
      <c r="J32" s="48">
        <f t="shared" si="8"/>
        <v>5561207.8535117395</v>
      </c>
      <c r="K32" s="48">
        <f t="shared" si="8"/>
        <v>5584672.6784461662</v>
      </c>
      <c r="L32" s="48">
        <f t="shared" si="8"/>
        <v>4663111.8737977147</v>
      </c>
      <c r="M32" s="48">
        <f t="shared" si="8"/>
        <v>4822113.9295829423</v>
      </c>
      <c r="N32" s="48">
        <f t="shared" si="8"/>
        <v>5514336.0726751238</v>
      </c>
      <c r="O32" s="48">
        <f t="shared" si="8"/>
        <v>5195303.7933522128</v>
      </c>
      <c r="P32" s="49">
        <f t="shared" si="8"/>
        <v>5465727.6253194036</v>
      </c>
      <c r="Q32" s="49">
        <f t="shared" si="8"/>
        <v>5639178.5663919225</v>
      </c>
      <c r="R32" s="49">
        <f t="shared" si="8"/>
        <v>5504842.3947463091</v>
      </c>
      <c r="S32" s="49">
        <f t="shared" si="8"/>
        <v>5839380.0434827618</v>
      </c>
      <c r="T32" s="49">
        <f t="shared" si="8"/>
        <v>5724215.6178533267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3828053.3807629962</v>
      </c>
      <c r="G33" s="20">
        <f t="shared" ref="G33:T33" si="9">(G22*(1+G11))*(G$26)</f>
        <v>3733560.4951521391</v>
      </c>
      <c r="H33" s="20">
        <f t="shared" si="9"/>
        <v>3651200.1407092484</v>
      </c>
      <c r="I33" s="20">
        <f t="shared" si="9"/>
        <v>4051617.0510973381</v>
      </c>
      <c r="J33" s="20">
        <f t="shared" si="9"/>
        <v>4285323.2526687356</v>
      </c>
      <c r="K33" s="20">
        <f t="shared" si="9"/>
        <v>4297382.2928011306</v>
      </c>
      <c r="L33" s="20">
        <f t="shared" si="9"/>
        <v>3594956.7985688788</v>
      </c>
      <c r="M33" s="20">
        <f t="shared" si="9"/>
        <v>3799984.2006349117</v>
      </c>
      <c r="N33" s="20">
        <f t="shared" si="9"/>
        <v>4462390.1368693886</v>
      </c>
      <c r="O33" s="20">
        <f t="shared" si="9"/>
        <v>4192570.781175809</v>
      </c>
      <c r="P33" s="21">
        <f t="shared" si="9"/>
        <v>4293802.9096892159</v>
      </c>
      <c r="Q33" s="21">
        <f t="shared" si="9"/>
        <v>4281284.7830732958</v>
      </c>
      <c r="R33" s="21">
        <f t="shared" si="9"/>
        <v>3920715.0514166052</v>
      </c>
      <c r="S33" s="21">
        <f t="shared" si="9"/>
        <v>4074468.9984866111</v>
      </c>
      <c r="T33" s="21">
        <f t="shared" si="9"/>
        <v>3873989.3779843901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1979152.4070384912</v>
      </c>
      <c r="G34" s="20">
        <f t="shared" ref="G34:T34" si="10">(G23*(1+G12))*(G$26)</f>
        <v>2192743.3980308427</v>
      </c>
      <c r="H34" s="20">
        <f t="shared" si="10"/>
        <v>2159918.1377168777</v>
      </c>
      <c r="I34" s="20">
        <f t="shared" si="10"/>
        <v>2047526.0539877163</v>
      </c>
      <c r="J34" s="20">
        <f t="shared" si="10"/>
        <v>2549108.4900179543</v>
      </c>
      <c r="K34" s="20">
        <f t="shared" si="10"/>
        <v>2587441.805533912</v>
      </c>
      <c r="L34" s="20">
        <f t="shared" si="10"/>
        <v>1929529.2074062664</v>
      </c>
      <c r="M34" s="20">
        <f t="shared" si="10"/>
        <v>2411807.4817775534</v>
      </c>
      <c r="N34" s="20">
        <f t="shared" si="10"/>
        <v>2994680.3277070802</v>
      </c>
      <c r="O34" s="20">
        <f t="shared" si="10"/>
        <v>3010234.9216620014</v>
      </c>
      <c r="P34" s="21">
        <f t="shared" si="10"/>
        <v>2927240.0775982365</v>
      </c>
      <c r="Q34" s="21">
        <f t="shared" si="10"/>
        <v>2991979.3545662733</v>
      </c>
      <c r="R34" s="21">
        <f t="shared" si="10"/>
        <v>2734660.5258082771</v>
      </c>
      <c r="S34" s="21">
        <f t="shared" si="10"/>
        <v>2796755.5684759421</v>
      </c>
      <c r="T34" s="21">
        <f t="shared" si="10"/>
        <v>2578286.4520399263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5665317.9589178516</v>
      </c>
      <c r="G35" s="20">
        <f t="shared" ref="G35:T35" si="11">(G24*(1+G13))*(G$26)</f>
        <v>5593784.7715639081</v>
      </c>
      <c r="H35" s="20">
        <f t="shared" si="11"/>
        <v>5499557.3860034766</v>
      </c>
      <c r="I35" s="20">
        <f t="shared" si="11"/>
        <v>6325319.5014899122</v>
      </c>
      <c r="J35" s="20">
        <f t="shared" si="11"/>
        <v>6688749.8381187338</v>
      </c>
      <c r="K35" s="20">
        <f t="shared" si="11"/>
        <v>6597857.2924654782</v>
      </c>
      <c r="L35" s="20">
        <f t="shared" si="11"/>
        <v>5444398.9476834023</v>
      </c>
      <c r="M35" s="20">
        <f t="shared" si="11"/>
        <v>5592650.9795327811</v>
      </c>
      <c r="N35" s="20">
        <f t="shared" si="11"/>
        <v>6450068.5267374404</v>
      </c>
      <c r="O35" s="20">
        <f t="shared" si="11"/>
        <v>6027747.3997240262</v>
      </c>
      <c r="P35" s="21">
        <f t="shared" si="11"/>
        <v>6357703.8214839427</v>
      </c>
      <c r="Q35" s="21">
        <f t="shared" si="11"/>
        <v>6533110.9600265278</v>
      </c>
      <c r="R35" s="21">
        <f t="shared" si="11"/>
        <v>6395619.4449380431</v>
      </c>
      <c r="S35" s="21">
        <f t="shared" si="11"/>
        <v>6782794.2521476895</v>
      </c>
      <c r="T35" s="21">
        <f t="shared" si="11"/>
        <v>6702014.3887101002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F1" workbookViewId="0">
      <selection activeCell="K21" sqref="K2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-2.0813555004723372E-2</v>
      </c>
      <c r="N6" s="14">
        <f>'Spot Prices'!N29</f>
        <v>1.493855324879978E-2</v>
      </c>
      <c r="O6" s="14">
        <f>'Spot Prices'!O29</f>
        <v>-5.1361607487565131E-2</v>
      </c>
      <c r="P6" s="14">
        <f>'Spot Prices'!P29</f>
        <v>-5.1361607487565242E-2</v>
      </c>
      <c r="Q6" s="14">
        <f>'Spot Prices'!Q29</f>
        <v>-5.1361607487565353E-2</v>
      </c>
      <c r="R6" s="14">
        <f>'Spot Prices'!R29</f>
        <v>-5.1361607487565353E-2</v>
      </c>
      <c r="S6" s="14">
        <f>'Spot Prices'!S29</f>
        <v>-5.1361607487565464E-2</v>
      </c>
      <c r="T6" s="14">
        <f>'Spot Prices'!T29</f>
        <v>-5.1361607487565353E-2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-6.8917614596644472E-2</v>
      </c>
      <c r="N7" s="14">
        <f>'Spot Prices'!N30</f>
        <v>-1.0223248406081464E-2</v>
      </c>
      <c r="O7" s="14">
        <f>'Spot Prices'!O30</f>
        <v>-6.787049059471717E-2</v>
      </c>
      <c r="P7" s="14">
        <f>'Spot Prices'!P30</f>
        <v>-6.7870490594717281E-2</v>
      </c>
      <c r="Q7" s="14">
        <f>'Spot Prices'!Q30</f>
        <v>-6.787049059471717E-2</v>
      </c>
      <c r="R7" s="14">
        <f>'Spot Prices'!R30</f>
        <v>-6.787049059471717E-2</v>
      </c>
      <c r="S7" s="14">
        <f>'Spot Prices'!S30</f>
        <v>-6.787049059471717E-2</v>
      </c>
      <c r="T7" s="14">
        <f>'Spot Prices'!T30</f>
        <v>-6.7870490594717281E-2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-8.0105495261009962E-2</v>
      </c>
      <c r="N8" s="46">
        <f>'Spot Prices'!N31</f>
        <v>-1.6561137969228645E-2</v>
      </c>
      <c r="O8" s="46">
        <f>'Spot Prices'!O31</f>
        <v>-7.3409370016755293E-2</v>
      </c>
      <c r="P8" s="46">
        <f>'Spot Prices'!P31</f>
        <v>-7.3409370016755293E-2</v>
      </c>
      <c r="Q8" s="46">
        <f>'Spot Prices'!Q31</f>
        <v>-7.3409370016755293E-2</v>
      </c>
      <c r="R8" s="46">
        <f>'Spot Prices'!R31</f>
        <v>-7.3409370016755071E-2</v>
      </c>
      <c r="S8" s="46">
        <f>'Spot Prices'!S31</f>
        <v>-7.3409370016755182E-2</v>
      </c>
      <c r="T8" s="46">
        <f>'Spot Prices'!T31</f>
        <v>-7.3409370016755182E-2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-8.6733081036943105E-2</v>
      </c>
      <c r="N9" s="41">
        <f>'Spot Prices'!N32</f>
        <v>-1.7926037181399734E-2</v>
      </c>
      <c r="O9" s="41">
        <f>'Spot Prices'!O32</f>
        <v>-7.9794559451775493E-2</v>
      </c>
      <c r="P9" s="41">
        <f>'Spot Prices'!P32</f>
        <v>-7.9794559451775604E-2</v>
      </c>
      <c r="Q9" s="41">
        <f>'Spot Prices'!Q32</f>
        <v>-7.9794559451775493E-2</v>
      </c>
      <c r="R9" s="41">
        <f>'Spot Prices'!R32</f>
        <v>-7.9794559451775382E-2</v>
      </c>
      <c r="S9" s="41">
        <f>'Spot Prices'!S32</f>
        <v>-7.9794559451775382E-2</v>
      </c>
      <c r="T9" s="41">
        <f>'Spot Prices'!T32</f>
        <v>-7.9794559451775382E-2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-8.8692259540020468E-2</v>
      </c>
      <c r="N10" s="46">
        <f>'Spot Prices'!N33</f>
        <v>-1.9008458418999008E-2</v>
      </c>
      <c r="O10" s="46">
        <f>'Spot Prices'!O33</f>
        <v>-8.1556227749532306E-2</v>
      </c>
      <c r="P10" s="46">
        <f>'Spot Prices'!P33</f>
        <v>-8.1556227749532306E-2</v>
      </c>
      <c r="Q10" s="46">
        <f>'Spot Prices'!Q33</f>
        <v>-8.1556227749532417E-2</v>
      </c>
      <c r="R10" s="46">
        <f>'Spot Prices'!R33</f>
        <v>-8.1556227749532417E-2</v>
      </c>
      <c r="S10" s="46">
        <f>'Spot Prices'!S33</f>
        <v>-8.1556227749532417E-2</v>
      </c>
      <c r="T10" s="46">
        <f>'Spot Prices'!T33</f>
        <v>-8.1556227749532528E-2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-9.511303196447185E-2</v>
      </c>
      <c r="N11" s="14">
        <f>'Spot Prices'!N34</f>
        <v>-2.1978398889982209E-2</v>
      </c>
      <c r="O11" s="14">
        <f>'Spot Prices'!O34</f>
        <v>-8.5196784099391132E-2</v>
      </c>
      <c r="P11" s="14">
        <f>'Spot Prices'!P34</f>
        <v>-8.5196784099391243E-2</v>
      </c>
      <c r="Q11" s="14">
        <f>'Spot Prices'!Q34</f>
        <v>-8.5196784099391243E-2</v>
      </c>
      <c r="R11" s="14">
        <f>'Spot Prices'!R34</f>
        <v>-8.5196784099391243E-2</v>
      </c>
      <c r="S11" s="14">
        <f>'Spot Prices'!S34</f>
        <v>-8.5196784099391132E-2</v>
      </c>
      <c r="T11" s="14">
        <f>'Spot Prices'!T34</f>
        <v>-8.5196784099391243E-2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-0.11040269819796233</v>
      </c>
      <c r="N12" s="14">
        <f>'Spot Prices'!N35</f>
        <v>-3.3532054065283701E-2</v>
      </c>
      <c r="O12" s="14">
        <f>'Spot Prices'!O35</f>
        <v>-8.6316558206649852E-2</v>
      </c>
      <c r="P12" s="14">
        <f>'Spot Prices'!P35</f>
        <v>-8.6316558206649852E-2</v>
      </c>
      <c r="Q12" s="14">
        <f>'Spot Prices'!Q35</f>
        <v>-8.6316558206649741E-2</v>
      </c>
      <c r="R12" s="14">
        <f>'Spot Prices'!R35</f>
        <v>-8.6316558206649852E-2</v>
      </c>
      <c r="S12" s="14">
        <f>'Spot Prices'!S35</f>
        <v>-8.6316558206649741E-2</v>
      </c>
      <c r="T12" s="14">
        <f>'Spot Prices'!T35</f>
        <v>-8.6316558206649741E-2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-8.3255250004576009E-2</v>
      </c>
      <c r="N13" s="46">
        <f>'Spot Prices'!N36</f>
        <v>-1.7385861996949137E-2</v>
      </c>
      <c r="O13" s="46">
        <f>'Spot Prices'!O36</f>
        <v>-7.7689461531457726E-2</v>
      </c>
      <c r="P13" s="46">
        <f>'Spot Prices'!P36</f>
        <v>-7.7689461531457615E-2</v>
      </c>
      <c r="Q13" s="46">
        <f>'Spot Prices'!Q36</f>
        <v>-7.7689461531457504E-2</v>
      </c>
      <c r="R13" s="46">
        <f>'Spot Prices'!R36</f>
        <v>-7.7689461531457615E-2</v>
      </c>
      <c r="S13" s="46">
        <f>'Spot Prices'!S36</f>
        <v>-7.7689461531457504E-2</v>
      </c>
      <c r="T13" s="46">
        <f>'Spot Prices'!T36</f>
        <v>-7.7689461531457504E-2</v>
      </c>
    </row>
    <row r="15" spans="2:20" x14ac:dyDescent="0.3">
      <c r="B15" s="32" t="str">
        <f>D39</f>
        <v>Dispatched Energy</v>
      </c>
      <c r="E15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75529.916466205235</v>
      </c>
      <c r="Q17" s="36">
        <f>'Spot Prices'!Q17/'Spot Prices'!P17*'2hBatteryMWh'!P17</f>
        <v>78888.887989825249</v>
      </c>
      <c r="R17" s="36">
        <f>'Spot Prices'!R17/'Spot Prices'!Q17*'2hBatteryMWh'!Q17</f>
        <v>77203.986372737694</v>
      </c>
      <c r="S17" s="36">
        <f>'Spot Prices'!S17/'Spot Prices'!R17*'2hBatteryMWh'!R17</f>
        <v>82138.273914094345</v>
      </c>
      <c r="T17" s="36">
        <f>'Spot Prices'!T17/'Spot Prices'!S17*'2hBatteryMWh'!S17</f>
        <v>80037.993754619922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67954.269292456913</v>
      </c>
      <c r="Q18" s="36">
        <f>'Spot Prices'!Q18/'Spot Prices'!P18*'2hBatteryMWh'!P18</f>
        <v>70027.654491088251</v>
      </c>
      <c r="R18" s="36">
        <f>'Spot Prices'!R18/'Spot Prices'!Q18*'2hBatteryMWh'!Q18</f>
        <v>69405.436777677111</v>
      </c>
      <c r="S18" s="36">
        <f>'Spot Prices'!S18/'Spot Prices'!R18*'2hBatteryMWh'!R18</f>
        <v>73544.596276948898</v>
      </c>
      <c r="T18" s="36">
        <f>'Spot Prices'!T18/'Spot Prices'!S18*'2hBatteryMWh'!S18</f>
        <v>73420.025908010546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62999.724489440981</v>
      </c>
      <c r="Q19" s="50">
        <f>'Spot Prices'!Q19/'Spot Prices'!P19*'2hBatteryMWh'!P19</f>
        <v>66213.434941194297</v>
      </c>
      <c r="R19" s="50">
        <f>'Spot Prices'!R19/'Spot Prices'!Q19*'2hBatteryMWh'!Q19</f>
        <v>66554.845462095691</v>
      </c>
      <c r="S19" s="50">
        <f>'Spot Prices'!S19/'Spot Prices'!R19*'2hBatteryMWh'!R19</f>
        <v>72169.395850990084</v>
      </c>
      <c r="T19" s="50">
        <f>'Spot Prices'!T19/'Spot Prices'!S19*'2hBatteryMWh'!S19</f>
        <v>71938.621875958663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57920.667638014478</v>
      </c>
      <c r="Q20" s="45">
        <f>'Spot Prices'!Q20/'Spot Prices'!P20*'2hBatteryMWh'!P20</f>
        <v>61425.913115343697</v>
      </c>
      <c r="R20" s="45">
        <f>'Spot Prices'!R20/'Spot Prices'!Q20*'2hBatteryMWh'!Q20</f>
        <v>62553.31858313339</v>
      </c>
      <c r="S20" s="45">
        <f>'Spot Prices'!S20/'Spot Prices'!R20*'2hBatteryMWh'!R20</f>
        <v>68593.066932012385</v>
      </c>
      <c r="T20" s="45">
        <f>'Spot Prices'!T20/'Spot Prices'!S20*'2hBatteryMWh'!S20</f>
        <v>68162.229817831641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51018.936188473999</v>
      </c>
      <c r="Q21" s="50">
        <f>'Spot Prices'!Q21/'Spot Prices'!P21*'2hBatteryMWh'!P21</f>
        <v>53595.039771693162</v>
      </c>
      <c r="R21" s="50">
        <f>'Spot Prices'!R21/'Spot Prices'!Q21*'2hBatteryMWh'!Q21</f>
        <v>53287.15941101472</v>
      </c>
      <c r="S21" s="50">
        <f>'Spot Prices'!S21/'Spot Prices'!R21*'2hBatteryMWh'!R21</f>
        <v>57592.020062529366</v>
      </c>
      <c r="T21" s="50">
        <f>'Spot Prices'!T21/'Spot Prices'!S21*'2hBatteryMWh'!S21</f>
        <v>56456.188542410622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41440.60501591293</v>
      </c>
      <c r="Q22" s="36">
        <f>'Spot Prices'!Q22/'Spot Prices'!P22*'2hBatteryMWh'!P22</f>
        <v>42071.058227639325</v>
      </c>
      <c r="R22" s="36">
        <f>'Spot Prices'!R22/'Spot Prices'!Q22*'2hBatteryMWh'!Q22</f>
        <v>39241.312833999575</v>
      </c>
      <c r="S22" s="36">
        <f>'Spot Prices'!S22/'Spot Prices'!R22*'2hBatteryMWh'!R22</f>
        <v>41549.629592178579</v>
      </c>
      <c r="T22" s="36">
        <f>'Spot Prices'!T22/'Spot Prices'!S22*'2hBatteryMWh'!S22</f>
        <v>39505.227247789218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29695.277532161999</v>
      </c>
      <c r="Q23" s="36">
        <f>'Spot Prices'!Q23/'Spot Prices'!P23*'2hBatteryMWh'!P23</f>
        <v>30903.877665393367</v>
      </c>
      <c r="R23" s="36">
        <f>'Spot Prices'!R23/'Spot Prices'!Q23*'2hBatteryMWh'!Q23</f>
        <v>28769.130411908474</v>
      </c>
      <c r="S23" s="36">
        <f>'Spot Prices'!S23/'Spot Prices'!R23*'2hBatteryMWh'!R23</f>
        <v>29977.520928723123</v>
      </c>
      <c r="T23" s="36">
        <f>'Spot Prices'!T23/'Spot Prices'!S23*'2hBatteryMWh'!S23</f>
        <v>27635.820930317754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56653.270542012928</v>
      </c>
      <c r="Q24" s="50">
        <f>'Spot Prices'!Q24/'Spot Prices'!P24*'2hBatteryMWh'!P24</f>
        <v>59274.795752873622</v>
      </c>
      <c r="R24" s="50">
        <f>'Spot Prices'!R24/'Spot Prices'!Q24*'2hBatteryMWh'!Q24</f>
        <v>59101.918090571431</v>
      </c>
      <c r="S24" s="50">
        <f>'Spot Prices'!S24/'Spot Prices'!R24*'2hBatteryMWh'!R24</f>
        <v>63862.438154954922</v>
      </c>
      <c r="T24" s="50">
        <f>'Spot Prices'!T24/'Spot Prices'!S24*'2hBatteryMWh'!S24</f>
        <v>63101.866797314928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38057.040586378826</v>
      </c>
      <c r="G28" s="15">
        <f t="shared" si="4"/>
        <v>41076.76119717519</v>
      </c>
      <c r="H28" s="15">
        <f t="shared" si="4"/>
        <v>40382.982625701654</v>
      </c>
      <c r="I28" s="15">
        <f t="shared" si="4"/>
        <v>46787.171772895643</v>
      </c>
      <c r="J28" s="15">
        <f t="shared" si="4"/>
        <v>48801.862855386789</v>
      </c>
      <c r="K28" s="15">
        <f t="shared" si="4"/>
        <v>46683.114382512293</v>
      </c>
      <c r="L28" s="15">
        <f t="shared" si="4"/>
        <v>38001.93909194359</v>
      </c>
      <c r="M28" s="15">
        <f t="shared" si="4"/>
        <v>38349.227085084778</v>
      </c>
      <c r="N28" s="15">
        <f t="shared" si="4"/>
        <v>41404.914584737322</v>
      </c>
      <c r="O28" s="15">
        <f t="shared" si="4"/>
        <v>39895.554408549964</v>
      </c>
      <c r="P28" s="36">
        <f t="shared" si="4"/>
        <v>40124.32398413567</v>
      </c>
      <c r="Q28" s="36">
        <f t="shared" si="4"/>
        <v>41160.365339368727</v>
      </c>
      <c r="R28" s="36">
        <f t="shared" si="4"/>
        <v>39548.879385220323</v>
      </c>
      <c r="S28" s="36">
        <f t="shared" si="4"/>
        <v>41297.345668694608</v>
      </c>
      <c r="T28" s="36">
        <f t="shared" si="4"/>
        <v>40241.370279710543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29683.070582991742</v>
      </c>
      <c r="G29" s="15">
        <f t="shared" si="5"/>
        <v>31690.056246004053</v>
      </c>
      <c r="H29" s="15">
        <f t="shared" si="5"/>
        <v>30650.143935801476</v>
      </c>
      <c r="I29" s="15">
        <f t="shared" si="5"/>
        <v>39116.262295395325</v>
      </c>
      <c r="J29" s="15">
        <f t="shared" si="5"/>
        <v>40938.741778153606</v>
      </c>
      <c r="K29" s="15">
        <f t="shared" si="5"/>
        <v>39307.025601898808</v>
      </c>
      <c r="L29" s="15">
        <f t="shared" si="5"/>
        <v>31586.5680414669</v>
      </c>
      <c r="M29" s="15">
        <f t="shared" si="5"/>
        <v>31664.17259934462</v>
      </c>
      <c r="N29" s="15">
        <f t="shared" si="5"/>
        <v>36543.678591018652</v>
      </c>
      <c r="O29" s="15">
        <f t="shared" si="5"/>
        <v>34056.870531157583</v>
      </c>
      <c r="P29" s="36">
        <f t="shared" si="5"/>
        <v>35471.6206306405</v>
      </c>
      <c r="Q29" s="36">
        <f t="shared" si="5"/>
        <v>35901.163774069406</v>
      </c>
      <c r="R29" s="36">
        <f t="shared" si="5"/>
        <v>34935.222096163183</v>
      </c>
      <c r="S29" s="36">
        <f t="shared" si="5"/>
        <v>36333.136876932236</v>
      </c>
      <c r="T29" s="36">
        <f t="shared" si="5"/>
        <v>36271.595546983219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22291.049568813363</v>
      </c>
      <c r="G30" s="47">
        <f t="shared" si="6"/>
        <v>24125.384104075543</v>
      </c>
      <c r="H30" s="47">
        <f t="shared" si="6"/>
        <v>23703.212798455232</v>
      </c>
      <c r="I30" s="47">
        <f t="shared" si="6"/>
        <v>32119.029275405985</v>
      </c>
      <c r="J30" s="47">
        <f t="shared" si="6"/>
        <v>35352.300325392862</v>
      </c>
      <c r="K30" s="47">
        <f t="shared" si="6"/>
        <v>34434.619478746703</v>
      </c>
      <c r="L30" s="47">
        <f t="shared" si="6"/>
        <v>27939.984947217996</v>
      </c>
      <c r="M30" s="47">
        <f t="shared" si="6"/>
        <v>28195.117969950854</v>
      </c>
      <c r="N30" s="47">
        <f t="shared" si="6"/>
        <v>32857.933972011379</v>
      </c>
      <c r="O30" s="47">
        <f t="shared" si="6"/>
        <v>30830.458370748169</v>
      </c>
      <c r="P30" s="50">
        <f t="shared" si="6"/>
        <v>32689.974465927498</v>
      </c>
      <c r="Q30" s="50">
        <f t="shared" si="6"/>
        <v>33744.011617533688</v>
      </c>
      <c r="R30" s="50">
        <f t="shared" si="6"/>
        <v>33301.311939986801</v>
      </c>
      <c r="S30" s="50">
        <f t="shared" si="6"/>
        <v>35441.887562551907</v>
      </c>
      <c r="T30" s="50">
        <f t="shared" si="6"/>
        <v>35328.556071010615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16980.517819293505</v>
      </c>
      <c r="G31" s="42">
        <f t="shared" si="7"/>
        <v>19064.213235395207</v>
      </c>
      <c r="H31" s="42">
        <f t="shared" si="7"/>
        <v>19049.634186696443</v>
      </c>
      <c r="I31" s="42">
        <f t="shared" si="7"/>
        <v>24133.805848922704</v>
      </c>
      <c r="J31" s="42">
        <f t="shared" si="7"/>
        <v>28904.631995601772</v>
      </c>
      <c r="K31" s="42">
        <f t="shared" si="7"/>
        <v>29714.372782586488</v>
      </c>
      <c r="L31" s="42">
        <f t="shared" si="7"/>
        <v>24785.110798837919</v>
      </c>
      <c r="M31" s="42">
        <f t="shared" si="7"/>
        <v>25358.325908115348</v>
      </c>
      <c r="N31" s="42">
        <f t="shared" si="7"/>
        <v>29590.756653107557</v>
      </c>
      <c r="O31" s="42">
        <f t="shared" si="7"/>
        <v>27907.797817906758</v>
      </c>
      <c r="P31" s="45">
        <f t="shared" si="7"/>
        <v>29847.391549184376</v>
      </c>
      <c r="Q31" s="45">
        <f t="shared" si="7"/>
        <v>31088.452691659993</v>
      </c>
      <c r="R31" s="45">
        <f t="shared" si="7"/>
        <v>31083.428205654676</v>
      </c>
      <c r="S31" s="45">
        <f t="shared" si="7"/>
        <v>33453.448088604942</v>
      </c>
      <c r="T31" s="45">
        <f t="shared" si="7"/>
        <v>33243.325000681558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14384.752033443423</v>
      </c>
      <c r="G32" s="47">
        <f t="shared" si="8"/>
        <v>15733.827214108245</v>
      </c>
      <c r="H32" s="47">
        <f t="shared" si="8"/>
        <v>15594.602605718836</v>
      </c>
      <c r="I32" s="47">
        <f t="shared" si="8"/>
        <v>18856.471615060058</v>
      </c>
      <c r="J32" s="47">
        <f t="shared" si="8"/>
        <v>21815.259353321439</v>
      </c>
      <c r="K32" s="47">
        <f t="shared" si="8"/>
        <v>23250.865903985221</v>
      </c>
      <c r="L32" s="47">
        <f t="shared" si="8"/>
        <v>20666.143451218446</v>
      </c>
      <c r="M32" s="47">
        <f t="shared" si="8"/>
        <v>22031.435218178998</v>
      </c>
      <c r="N32" s="47">
        <f t="shared" si="8"/>
        <v>26446.06194519873</v>
      </c>
      <c r="O32" s="47">
        <f t="shared" si="8"/>
        <v>24942.211735036468</v>
      </c>
      <c r="P32" s="50">
        <f t="shared" si="8"/>
        <v>26240.493557122856</v>
      </c>
      <c r="Q32" s="50">
        <f t="shared" si="8"/>
        <v>27073.216776005236</v>
      </c>
      <c r="R32" s="50">
        <f t="shared" si="8"/>
        <v>26428.280239060754</v>
      </c>
      <c r="S32" s="50">
        <f t="shared" si="8"/>
        <v>28034.367043609658</v>
      </c>
      <c r="T32" s="50">
        <f t="shared" si="8"/>
        <v>27481.47242904087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11847.167870599355</v>
      </c>
      <c r="G33" s="15">
        <f t="shared" si="9"/>
        <v>12520.662398611001</v>
      </c>
      <c r="H33" s="15">
        <f t="shared" si="9"/>
        <v>12186.463150000513</v>
      </c>
      <c r="I33" s="15">
        <f t="shared" si="9"/>
        <v>14322.225452165987</v>
      </c>
      <c r="J33" s="15">
        <f t="shared" si="9"/>
        <v>15989.316704805182</v>
      </c>
      <c r="K33" s="15">
        <f t="shared" si="9"/>
        <v>16043.072083397787</v>
      </c>
      <c r="L33" s="15">
        <f t="shared" si="9"/>
        <v>14195.911927505264</v>
      </c>
      <c r="M33" s="15">
        <f t="shared" si="9"/>
        <v>16539.184442918631</v>
      </c>
      <c r="N33" s="15">
        <f t="shared" si="9"/>
        <v>22015.673342477963</v>
      </c>
      <c r="O33" s="15">
        <f t="shared" si="9"/>
        <v>20729.083184250376</v>
      </c>
      <c r="P33" s="36">
        <f t="shared" si="9"/>
        <v>21229.599292957464</v>
      </c>
      <c r="Q33" s="36">
        <f t="shared" si="9"/>
        <v>21167.70664964242</v>
      </c>
      <c r="R33" s="36">
        <f t="shared" si="9"/>
        <v>19384.962755420504</v>
      </c>
      <c r="S33" s="36">
        <f t="shared" si="9"/>
        <v>20145.159428314153</v>
      </c>
      <c r="T33" s="36">
        <f t="shared" si="9"/>
        <v>19153.939733515821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7311.314396069477</v>
      </c>
      <c r="G34" s="15">
        <f t="shared" si="10"/>
        <v>7725.8344263055988</v>
      </c>
      <c r="H34" s="15">
        <f t="shared" si="10"/>
        <v>7365.2242419789909</v>
      </c>
      <c r="I34" s="15">
        <f t="shared" si="10"/>
        <v>8673.2248502151942</v>
      </c>
      <c r="J34" s="15">
        <f t="shared" si="10"/>
        <v>9081.350224218646</v>
      </c>
      <c r="K34" s="15">
        <f t="shared" si="10"/>
        <v>10147.286628007969</v>
      </c>
      <c r="L34" s="15">
        <f t="shared" si="10"/>
        <v>8756.0210639894212</v>
      </c>
      <c r="M34" s="15">
        <f t="shared" si="10"/>
        <v>12216.172547671033</v>
      </c>
      <c r="N34" s="15">
        <f t="shared" si="10"/>
        <v>16582.526059941189</v>
      </c>
      <c r="O34" s="15">
        <f t="shared" si="10"/>
        <v>15624.755034019974</v>
      </c>
      <c r="P34" s="36">
        <f t="shared" si="10"/>
        <v>15193.966693132927</v>
      </c>
      <c r="Q34" s="36">
        <f t="shared" si="10"/>
        <v>15529.99872054249</v>
      </c>
      <c r="R34" s="36">
        <f t="shared" si="10"/>
        <v>14194.374169763307</v>
      </c>
      <c r="S34" s="36">
        <f t="shared" si="10"/>
        <v>14516.681184251602</v>
      </c>
      <c r="T34" s="36">
        <f t="shared" si="10"/>
        <v>13382.707751730637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18637.400372019205</v>
      </c>
      <c r="G35" s="47">
        <f t="shared" si="11"/>
        <v>20319.239680214461</v>
      </c>
      <c r="H35" s="47">
        <f t="shared" si="11"/>
        <v>20017.2339798102</v>
      </c>
      <c r="I35" s="47">
        <f t="shared" si="11"/>
        <v>25514.884935485432</v>
      </c>
      <c r="J35" s="47">
        <f t="shared" si="11"/>
        <v>28676.725131186711</v>
      </c>
      <c r="K35" s="47">
        <f t="shared" si="11"/>
        <v>28722.645255261796</v>
      </c>
      <c r="L35" s="47">
        <f t="shared" si="11"/>
        <v>24041.816153760625</v>
      </c>
      <c r="M35" s="47">
        <f t="shared" si="11"/>
        <v>24909.15612233413</v>
      </c>
      <c r="N35" s="47">
        <f t="shared" si="11"/>
        <v>29523.601441417686</v>
      </c>
      <c r="O35" s="47">
        <f t="shared" si="11"/>
        <v>27742.457960824417</v>
      </c>
      <c r="P35" s="50">
        <f t="shared" si="11"/>
        <v>29261.06873738045</v>
      </c>
      <c r="Q35" s="50">
        <f t="shared" si="11"/>
        <v>30068.372833645157</v>
      </c>
      <c r="R35" s="50">
        <f t="shared" si="11"/>
        <v>29435.573825264852</v>
      </c>
      <c r="S35" s="50">
        <f t="shared" si="11"/>
        <v>31217.529852983542</v>
      </c>
      <c r="T35" s="50">
        <f t="shared" si="11"/>
        <v>30845.743874426938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-2.0813555004723372E-2</v>
      </c>
      <c r="N6" s="14">
        <f>'Spot Prices'!N29</f>
        <v>1.493855324879978E-2</v>
      </c>
      <c r="O6" s="14">
        <f>'Spot Prices'!O29</f>
        <v>-5.1361607487565131E-2</v>
      </c>
      <c r="P6" s="14">
        <f>'Spot Prices'!P29</f>
        <v>-5.1361607487565242E-2</v>
      </c>
      <c r="Q6" s="14">
        <f>'Spot Prices'!Q29</f>
        <v>-5.1361607487565353E-2</v>
      </c>
      <c r="R6" s="14">
        <f>'Spot Prices'!R29</f>
        <v>-5.1361607487565353E-2</v>
      </c>
      <c r="S6" s="14">
        <f>'Spot Prices'!S29</f>
        <v>-5.1361607487565464E-2</v>
      </c>
      <c r="T6" s="14">
        <f>'Spot Prices'!T29</f>
        <v>-5.1361607487565353E-2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-6.8917614596644472E-2</v>
      </c>
      <c r="N7" s="14">
        <f>'Spot Prices'!N30</f>
        <v>-1.0223248406081464E-2</v>
      </c>
      <c r="O7" s="14">
        <f>'Spot Prices'!O30</f>
        <v>-6.787049059471717E-2</v>
      </c>
      <c r="P7" s="14">
        <f>'Spot Prices'!P30</f>
        <v>-6.7870490594717281E-2</v>
      </c>
      <c r="Q7" s="14">
        <f>'Spot Prices'!Q30</f>
        <v>-6.787049059471717E-2</v>
      </c>
      <c r="R7" s="14">
        <f>'Spot Prices'!R30</f>
        <v>-6.787049059471717E-2</v>
      </c>
      <c r="S7" s="14">
        <f>'Spot Prices'!S30</f>
        <v>-6.787049059471717E-2</v>
      </c>
      <c r="T7" s="14">
        <f>'Spot Prices'!T30</f>
        <v>-6.7870490594717281E-2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-8.0105495261009962E-2</v>
      </c>
      <c r="N8" s="46">
        <f>'Spot Prices'!N31</f>
        <v>-1.6561137969228645E-2</v>
      </c>
      <c r="O8" s="46">
        <f>'Spot Prices'!O31</f>
        <v>-7.3409370016755293E-2</v>
      </c>
      <c r="P8" s="46">
        <f>'Spot Prices'!P31</f>
        <v>-7.3409370016755293E-2</v>
      </c>
      <c r="Q8" s="46">
        <f>'Spot Prices'!Q31</f>
        <v>-7.3409370016755293E-2</v>
      </c>
      <c r="R8" s="46">
        <f>'Spot Prices'!R31</f>
        <v>-7.3409370016755071E-2</v>
      </c>
      <c r="S8" s="46">
        <f>'Spot Prices'!S31</f>
        <v>-7.3409370016755182E-2</v>
      </c>
      <c r="T8" s="46">
        <f>'Spot Prices'!T31</f>
        <v>-7.3409370016755182E-2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-8.6733081036943105E-2</v>
      </c>
      <c r="N9" s="41">
        <f>'Spot Prices'!N32</f>
        <v>-1.7926037181399734E-2</v>
      </c>
      <c r="O9" s="41">
        <f>'Spot Prices'!O32</f>
        <v>-7.9794559451775493E-2</v>
      </c>
      <c r="P9" s="41">
        <f>'Spot Prices'!P32</f>
        <v>-7.9794559451775604E-2</v>
      </c>
      <c r="Q9" s="41">
        <f>'Spot Prices'!Q32</f>
        <v>-7.9794559451775493E-2</v>
      </c>
      <c r="R9" s="41">
        <f>'Spot Prices'!R32</f>
        <v>-7.9794559451775382E-2</v>
      </c>
      <c r="S9" s="41">
        <f>'Spot Prices'!S32</f>
        <v>-7.9794559451775382E-2</v>
      </c>
      <c r="T9" s="41">
        <f>'Spot Prices'!T32</f>
        <v>-7.9794559451775382E-2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-8.8692259540020468E-2</v>
      </c>
      <c r="N10" s="46">
        <f>'Spot Prices'!N33</f>
        <v>-1.9008458418999008E-2</v>
      </c>
      <c r="O10" s="46">
        <f>'Spot Prices'!O33</f>
        <v>-8.1556227749532306E-2</v>
      </c>
      <c r="P10" s="46">
        <f>'Spot Prices'!P33</f>
        <v>-8.1556227749532306E-2</v>
      </c>
      <c r="Q10" s="46">
        <f>'Spot Prices'!Q33</f>
        <v>-8.1556227749532417E-2</v>
      </c>
      <c r="R10" s="46">
        <f>'Spot Prices'!R33</f>
        <v>-8.1556227749532417E-2</v>
      </c>
      <c r="S10" s="46">
        <f>'Spot Prices'!S33</f>
        <v>-8.1556227749532417E-2</v>
      </c>
      <c r="T10" s="46">
        <f>'Spot Prices'!T33</f>
        <v>-8.1556227749532528E-2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-9.511303196447185E-2</v>
      </c>
      <c r="N11" s="14">
        <f>'Spot Prices'!N34</f>
        <v>-2.1978398889982209E-2</v>
      </c>
      <c r="O11" s="14">
        <f>'Spot Prices'!O34</f>
        <v>-8.5196784099391132E-2</v>
      </c>
      <c r="P11" s="14">
        <f>'Spot Prices'!P34</f>
        <v>-8.5196784099391243E-2</v>
      </c>
      <c r="Q11" s="14">
        <f>'Spot Prices'!Q34</f>
        <v>-8.5196784099391243E-2</v>
      </c>
      <c r="R11" s="14">
        <f>'Spot Prices'!R34</f>
        <v>-8.5196784099391243E-2</v>
      </c>
      <c r="S11" s="14">
        <f>'Spot Prices'!S34</f>
        <v>-8.5196784099391132E-2</v>
      </c>
      <c r="T11" s="14">
        <f>'Spot Prices'!T34</f>
        <v>-8.5196784099391243E-2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-0.11040269819796233</v>
      </c>
      <c r="N12" s="14">
        <f>'Spot Prices'!N35</f>
        <v>-3.3532054065283701E-2</v>
      </c>
      <c r="O12" s="14">
        <f>'Spot Prices'!O35</f>
        <v>-8.6316558206649852E-2</v>
      </c>
      <c r="P12" s="14">
        <f>'Spot Prices'!P35</f>
        <v>-8.6316558206649852E-2</v>
      </c>
      <c r="Q12" s="14">
        <f>'Spot Prices'!Q35</f>
        <v>-8.6316558206649741E-2</v>
      </c>
      <c r="R12" s="14">
        <f>'Spot Prices'!R35</f>
        <v>-8.6316558206649852E-2</v>
      </c>
      <c r="S12" s="14">
        <f>'Spot Prices'!S35</f>
        <v>-8.6316558206649741E-2</v>
      </c>
      <c r="T12" s="14">
        <f>'Spot Prices'!T35</f>
        <v>-8.6316558206649741E-2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-8.3255250004576009E-2</v>
      </c>
      <c r="N13" s="46">
        <f>'Spot Prices'!N36</f>
        <v>-1.7385861996949137E-2</v>
      </c>
      <c r="O13" s="46">
        <f>'Spot Prices'!O36</f>
        <v>-7.7689461531457726E-2</v>
      </c>
      <c r="P13" s="46">
        <f>'Spot Prices'!P36</f>
        <v>-7.7689461531457615E-2</v>
      </c>
      <c r="Q13" s="46">
        <f>'Spot Prices'!Q36</f>
        <v>-7.7689461531457504E-2</v>
      </c>
      <c r="R13" s="46">
        <f>'Spot Prices'!R36</f>
        <v>-7.7689461531457615E-2</v>
      </c>
      <c r="S13" s="46">
        <f>'Spot Prices'!S36</f>
        <v>-7.7689461531457504E-2</v>
      </c>
      <c r="T13" s="46">
        <f>'Spot Prices'!T36</f>
        <v>-7.7689461531457504E-2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377.64958233102618</v>
      </c>
      <c r="Q17" s="15">
        <f>'2hBatteryMWh'!Q17/200</f>
        <v>394.44443994912626</v>
      </c>
      <c r="R17" s="15">
        <f>'2hBatteryMWh'!R17/200</f>
        <v>386.0199318636885</v>
      </c>
      <c r="S17" s="15">
        <f>'2hBatteryMWh'!S17/200</f>
        <v>410.69136957047175</v>
      </c>
      <c r="T17" s="15">
        <f>'2hBatteryMWh'!T17/200</f>
        <v>400.18996877309962</v>
      </c>
      <c r="U17" s="37">
        <f>SUM(E17:T17)</f>
        <v>5106.2325424874116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339.77134646228455</v>
      </c>
      <c r="Q18" s="15">
        <f>'2hBatteryMWh'!Q18/200</f>
        <v>350.13827245544127</v>
      </c>
      <c r="R18" s="15">
        <f>'2hBatteryMWh'!R18/200</f>
        <v>347.02718388838554</v>
      </c>
      <c r="S18" s="15">
        <f>'2hBatteryMWh'!S18/200</f>
        <v>367.72298138474451</v>
      </c>
      <c r="T18" s="15">
        <f>'2hBatteryMWh'!T18/200</f>
        <v>367.10012954005271</v>
      </c>
      <c r="U18" s="37">
        <f t="shared" ref="U18:U24" si="0">SUM(E18:T18)</f>
        <v>4386.6479762309091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314.99862244720492</v>
      </c>
      <c r="Q19" s="47">
        <f>'2hBatteryMWh'!Q19/200</f>
        <v>331.06717470597147</v>
      </c>
      <c r="R19" s="47">
        <f>'2hBatteryMWh'!R19/200</f>
        <v>332.77422731047847</v>
      </c>
      <c r="S19" s="47">
        <f>'2hBatteryMWh'!S19/200</f>
        <v>360.84697925495044</v>
      </c>
      <c r="T19" s="47">
        <f>'2hBatteryMWh'!T19/200</f>
        <v>359.69310937979333</v>
      </c>
      <c r="U19" s="37">
        <f t="shared" si="0"/>
        <v>3937.271363098399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289.60333819007241</v>
      </c>
      <c r="Q20" s="42">
        <f>'2hBatteryMWh'!Q20/200</f>
        <v>307.12956557671851</v>
      </c>
      <c r="R20" s="42">
        <f>'2hBatteryMWh'!R20/200</f>
        <v>312.76659291566693</v>
      </c>
      <c r="S20" s="42">
        <f>'2hBatteryMWh'!S20/200</f>
        <v>342.9653346600619</v>
      </c>
      <c r="T20" s="42">
        <f>'2hBatteryMWh'!T20/200</f>
        <v>340.81114908915822</v>
      </c>
      <c r="U20" s="37">
        <f t="shared" si="0"/>
        <v>3501.0695429316779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255.09468094236999</v>
      </c>
      <c r="Q21" s="47">
        <f>'2hBatteryMWh'!Q21/200</f>
        <v>267.97519885846583</v>
      </c>
      <c r="R21" s="47">
        <f>'2hBatteryMWh'!R21/200</f>
        <v>266.43579705507358</v>
      </c>
      <c r="S21" s="47">
        <f>'2hBatteryMWh'!S21/200</f>
        <v>287.96010031264683</v>
      </c>
      <c r="T21" s="47">
        <f>'2hBatteryMWh'!T21/200</f>
        <v>282.2809427120531</v>
      </c>
      <c r="U21" s="37">
        <f t="shared" si="0"/>
        <v>2961.1249073806098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207.20302507956464</v>
      </c>
      <c r="Q22" s="15">
        <f>'2hBatteryMWh'!Q22/200</f>
        <v>210.35529113819663</v>
      </c>
      <c r="R22" s="15">
        <f>'2hBatteryMWh'!R22/200</f>
        <v>196.20656416999788</v>
      </c>
      <c r="S22" s="15">
        <f>'2hBatteryMWh'!S22/200</f>
        <v>207.74814796089288</v>
      </c>
      <c r="T22" s="15">
        <f>'2hBatteryMWh'!T22/200</f>
        <v>197.52613623894609</v>
      </c>
      <c r="U22" s="37">
        <f t="shared" si="0"/>
        <v>2258.3747270875979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148.47638766080999</v>
      </c>
      <c r="Q23" s="15">
        <f>'2hBatteryMWh'!Q23/200</f>
        <v>154.51938832696683</v>
      </c>
      <c r="R23" s="15">
        <f>'2hBatteryMWh'!R23/200</f>
        <v>143.84565205954237</v>
      </c>
      <c r="S23" s="15">
        <f>'2hBatteryMWh'!S23/200</f>
        <v>149.88760464361562</v>
      </c>
      <c r="T23" s="15">
        <f>'2hBatteryMWh'!T23/200</f>
        <v>138.17910465158877</v>
      </c>
      <c r="U23" s="37">
        <f t="shared" si="0"/>
        <v>1577.4631373425236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283.26635271006467</v>
      </c>
      <c r="Q24" s="47">
        <f>'2hBatteryMWh'!Q24/200</f>
        <v>296.37397876436813</v>
      </c>
      <c r="R24" s="47">
        <f>'2hBatteryMWh'!R24/200</f>
        <v>295.50959045285714</v>
      </c>
      <c r="S24" s="47">
        <f>'2hBatteryMWh'!S24/200</f>
        <v>319.31219077477459</v>
      </c>
      <c r="T24" s="47">
        <f>'2hBatteryMWh'!T24/200</f>
        <v>315.50933398657463</v>
      </c>
      <c r="U24" s="37">
        <f t="shared" si="0"/>
        <v>3429.5749381461392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190.28520293189413</v>
      </c>
      <c r="G28" s="15">
        <f>'2hBatteryMWh'!G28/200</f>
        <v>205.38380598587594</v>
      </c>
      <c r="H28" s="15">
        <f>'2hBatteryMWh'!H28/200</f>
        <v>201.91491312850826</v>
      </c>
      <c r="I28" s="15">
        <f>'2hBatteryMWh'!I28/200</f>
        <v>233.93585886447821</v>
      </c>
      <c r="J28" s="15">
        <f>'2hBatteryMWh'!J28/200</f>
        <v>244.00931427693394</v>
      </c>
      <c r="K28" s="15">
        <f>'2hBatteryMWh'!K28/200</f>
        <v>233.41557191256146</v>
      </c>
      <c r="L28" s="15">
        <f>'2hBatteryMWh'!L28/200</f>
        <v>190.00969545971796</v>
      </c>
      <c r="M28" s="15">
        <f>'2hBatteryMWh'!M28/200</f>
        <v>191.74613542542389</v>
      </c>
      <c r="N28" s="15">
        <f>'2hBatteryMWh'!N28/200</f>
        <v>207.02457292368661</v>
      </c>
      <c r="O28" s="15">
        <f>'2hBatteryMWh'!O28/200</f>
        <v>199.47777204274982</v>
      </c>
      <c r="P28" s="15">
        <f>'2hBatteryMWh'!P28/200</f>
        <v>200.62161992067834</v>
      </c>
      <c r="Q28" s="15">
        <f>'2hBatteryMWh'!Q28/200</f>
        <v>205.80182669684365</v>
      </c>
      <c r="R28" s="15">
        <f>'2hBatteryMWh'!R28/200</f>
        <v>197.74439692610162</v>
      </c>
      <c r="S28" s="15">
        <f>'2hBatteryMWh'!S28/200</f>
        <v>206.48672834347303</v>
      </c>
      <c r="T28" s="15">
        <f>'2hBatteryMWh'!T28/200</f>
        <v>201.20685139855271</v>
      </c>
      <c r="U28" s="37">
        <f>SUM(E28:T28)</f>
        <v>3223.6628370229259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148.4153529149587</v>
      </c>
      <c r="G29" s="15">
        <f>'2hBatteryMWh'!G29/200</f>
        <v>158.45028123002027</v>
      </c>
      <c r="H29" s="15">
        <f>'2hBatteryMWh'!H29/200</f>
        <v>153.25071967900737</v>
      </c>
      <c r="I29" s="15">
        <f>'2hBatteryMWh'!I29/200</f>
        <v>195.58131147697662</v>
      </c>
      <c r="J29" s="15">
        <f>'2hBatteryMWh'!J29/200</f>
        <v>204.69370889076802</v>
      </c>
      <c r="K29" s="15">
        <f>'2hBatteryMWh'!K29/200</f>
        <v>196.53512800949403</v>
      </c>
      <c r="L29" s="15">
        <f>'2hBatteryMWh'!L29/200</f>
        <v>157.93284020733449</v>
      </c>
      <c r="M29" s="15">
        <f>'2hBatteryMWh'!M29/200</f>
        <v>158.32086299672309</v>
      </c>
      <c r="N29" s="15">
        <f>'2hBatteryMWh'!N29/200</f>
        <v>182.71839295509326</v>
      </c>
      <c r="O29" s="15">
        <f>'2hBatteryMWh'!O29/200</f>
        <v>170.28435265578793</v>
      </c>
      <c r="P29" s="15">
        <f>'2hBatteryMWh'!P29/200</f>
        <v>177.35810315320251</v>
      </c>
      <c r="Q29" s="15">
        <f>'2hBatteryMWh'!Q29/200</f>
        <v>179.50581887034704</v>
      </c>
      <c r="R29" s="15">
        <f>'2hBatteryMWh'!R29/200</f>
        <v>174.67611048081591</v>
      </c>
      <c r="S29" s="15">
        <f>'2hBatteryMWh'!S29/200</f>
        <v>181.66568438466118</v>
      </c>
      <c r="T29" s="15">
        <f>'2hBatteryMWh'!T29/200</f>
        <v>181.35797773491609</v>
      </c>
      <c r="U29" s="37">
        <f t="shared" ref="U29:U35" si="2">SUM(E29:T29)</f>
        <v>2696.6287604276322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111.45524784406682</v>
      </c>
      <c r="G30" s="47">
        <f>'2hBatteryMWh'!G30/200</f>
        <v>120.62692052037772</v>
      </c>
      <c r="H30" s="47">
        <f>'2hBatteryMWh'!H30/200</f>
        <v>118.51606399227616</v>
      </c>
      <c r="I30" s="47">
        <f>'2hBatteryMWh'!I30/200</f>
        <v>160.59514637702992</v>
      </c>
      <c r="J30" s="47">
        <f>'2hBatteryMWh'!J30/200</f>
        <v>176.7615016269643</v>
      </c>
      <c r="K30" s="47">
        <f>'2hBatteryMWh'!K30/200</f>
        <v>172.17309739373351</v>
      </c>
      <c r="L30" s="47">
        <f>'2hBatteryMWh'!L30/200</f>
        <v>139.69992473608997</v>
      </c>
      <c r="M30" s="47">
        <f>'2hBatteryMWh'!M30/200</f>
        <v>140.97558984975427</v>
      </c>
      <c r="N30" s="47">
        <f>'2hBatteryMWh'!N30/200</f>
        <v>164.2896698600569</v>
      </c>
      <c r="O30" s="47">
        <f>'2hBatteryMWh'!O30/200</f>
        <v>154.15229185374085</v>
      </c>
      <c r="P30" s="47">
        <f>'2hBatteryMWh'!P30/200</f>
        <v>163.44987232963749</v>
      </c>
      <c r="Q30" s="47">
        <f>'2hBatteryMWh'!Q30/200</f>
        <v>168.72005808766843</v>
      </c>
      <c r="R30" s="47">
        <f>'2hBatteryMWh'!R30/200</f>
        <v>166.506559699934</v>
      </c>
      <c r="S30" s="47">
        <f>'2hBatteryMWh'!S30/200</f>
        <v>177.20943781275955</v>
      </c>
      <c r="T30" s="47">
        <f>'2hBatteryMWh'!T30/200</f>
        <v>176.64278035505308</v>
      </c>
      <c r="U30" s="37">
        <f t="shared" si="2"/>
        <v>2372.4667451649766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84.902589096467523</v>
      </c>
      <c r="G31" s="42">
        <f>'2hBatteryMWh'!G31/200</f>
        <v>95.321066176976032</v>
      </c>
      <c r="H31" s="42">
        <f>'2hBatteryMWh'!H31/200</f>
        <v>95.248170933482214</v>
      </c>
      <c r="I31" s="42">
        <f>'2hBatteryMWh'!I31/200</f>
        <v>120.66902924461353</v>
      </c>
      <c r="J31" s="42">
        <f>'2hBatteryMWh'!J31/200</f>
        <v>144.52315997800886</v>
      </c>
      <c r="K31" s="42">
        <f>'2hBatteryMWh'!K31/200</f>
        <v>148.57186391293243</v>
      </c>
      <c r="L31" s="42">
        <f>'2hBatteryMWh'!L31/200</f>
        <v>123.9255539941896</v>
      </c>
      <c r="M31" s="42">
        <f>'2hBatteryMWh'!M31/200</f>
        <v>126.79162954057674</v>
      </c>
      <c r="N31" s="42">
        <f>'2hBatteryMWh'!N31/200</f>
        <v>147.95378326553779</v>
      </c>
      <c r="O31" s="42">
        <f>'2hBatteryMWh'!O31/200</f>
        <v>139.5389890895338</v>
      </c>
      <c r="P31" s="42">
        <f>'2hBatteryMWh'!P31/200</f>
        <v>149.23695774592187</v>
      </c>
      <c r="Q31" s="42">
        <f>'2hBatteryMWh'!Q31/200</f>
        <v>155.44226345829998</v>
      </c>
      <c r="R31" s="42">
        <f>'2hBatteryMWh'!R31/200</f>
        <v>155.41714102827339</v>
      </c>
      <c r="S31" s="42">
        <f>'2hBatteryMWh'!S31/200</f>
        <v>167.26724044302472</v>
      </c>
      <c r="T31" s="42">
        <f>'2hBatteryMWh'!T31/200</f>
        <v>166.21662500340778</v>
      </c>
      <c r="U31" s="37">
        <f t="shared" si="2"/>
        <v>2072.2757976702624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71.923760167217111</v>
      </c>
      <c r="G32" s="47">
        <f>'2hBatteryMWh'!G32/200</f>
        <v>78.669136070541228</v>
      </c>
      <c r="H32" s="47">
        <f>'2hBatteryMWh'!H32/200</f>
        <v>77.973013028594181</v>
      </c>
      <c r="I32" s="47">
        <f>'2hBatteryMWh'!I32/200</f>
        <v>94.282358075300294</v>
      </c>
      <c r="J32" s="47">
        <f>'2hBatteryMWh'!J32/200</f>
        <v>109.07629676660719</v>
      </c>
      <c r="K32" s="47">
        <f>'2hBatteryMWh'!K32/200</f>
        <v>116.2543295199261</v>
      </c>
      <c r="L32" s="47">
        <f>'2hBatteryMWh'!L32/200</f>
        <v>103.33071725609223</v>
      </c>
      <c r="M32" s="47">
        <f>'2hBatteryMWh'!M32/200</f>
        <v>110.15717609089499</v>
      </c>
      <c r="N32" s="47">
        <f>'2hBatteryMWh'!N32/200</f>
        <v>132.23030972599364</v>
      </c>
      <c r="O32" s="47">
        <f>'2hBatteryMWh'!O32/200</f>
        <v>124.71105867518234</v>
      </c>
      <c r="P32" s="47">
        <f>'2hBatteryMWh'!P32/200</f>
        <v>131.20246778561429</v>
      </c>
      <c r="Q32" s="47">
        <f>'2hBatteryMWh'!Q32/200</f>
        <v>135.36608388002617</v>
      </c>
      <c r="R32" s="47">
        <f>'2hBatteryMWh'!R32/200</f>
        <v>132.14140119530376</v>
      </c>
      <c r="S32" s="47">
        <f>'2hBatteryMWh'!S32/200</f>
        <v>140.1718352180483</v>
      </c>
      <c r="T32" s="47">
        <f>'2hBatteryMWh'!T32/200</f>
        <v>137.40736214520436</v>
      </c>
      <c r="U32" s="37">
        <f t="shared" si="2"/>
        <v>1738.8014868685718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59.23583935299677</v>
      </c>
      <c r="G33" s="15">
        <f>'2hBatteryMWh'!G33/200</f>
        <v>62.603311993055001</v>
      </c>
      <c r="H33" s="15">
        <f>'2hBatteryMWh'!H33/200</f>
        <v>60.932315750002566</v>
      </c>
      <c r="I33" s="15">
        <f>'2hBatteryMWh'!I33/200</f>
        <v>71.611127260829932</v>
      </c>
      <c r="J33" s="15">
        <f>'2hBatteryMWh'!J33/200</f>
        <v>79.946583524025911</v>
      </c>
      <c r="K33" s="15">
        <f>'2hBatteryMWh'!K33/200</f>
        <v>80.215360416988929</v>
      </c>
      <c r="L33" s="15">
        <f>'2hBatteryMWh'!L33/200</f>
        <v>70.979559637526322</v>
      </c>
      <c r="M33" s="15">
        <f>'2hBatteryMWh'!M33/200</f>
        <v>82.695922214593153</v>
      </c>
      <c r="N33" s="15">
        <f>'2hBatteryMWh'!N33/200</f>
        <v>110.07836671238982</v>
      </c>
      <c r="O33" s="15">
        <f>'2hBatteryMWh'!O33/200</f>
        <v>103.64541592125188</v>
      </c>
      <c r="P33" s="15">
        <f>'2hBatteryMWh'!P33/200</f>
        <v>106.14799646478733</v>
      </c>
      <c r="Q33" s="15">
        <f>'2hBatteryMWh'!Q33/200</f>
        <v>105.8385332482121</v>
      </c>
      <c r="R33" s="15">
        <f>'2hBatteryMWh'!R33/200</f>
        <v>96.924813777102514</v>
      </c>
      <c r="S33" s="15">
        <f>'2hBatteryMWh'!S33/200</f>
        <v>100.72579714157077</v>
      </c>
      <c r="T33" s="15">
        <f>'2hBatteryMWh'!T33/200</f>
        <v>95.769698667579107</v>
      </c>
      <c r="U33" s="37">
        <f t="shared" si="2"/>
        <v>1322.8535503839223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36.556571980347385</v>
      </c>
      <c r="G34" s="15">
        <f>'2hBatteryMWh'!G34/200</f>
        <v>38.629172131527994</v>
      </c>
      <c r="H34" s="15">
        <f>'2hBatteryMWh'!H34/200</f>
        <v>36.826121209894957</v>
      </c>
      <c r="I34" s="15">
        <f>'2hBatteryMWh'!I34/200</f>
        <v>43.366124251075973</v>
      </c>
      <c r="J34" s="15">
        <f>'2hBatteryMWh'!J34/200</f>
        <v>45.40675112109323</v>
      </c>
      <c r="K34" s="15">
        <f>'2hBatteryMWh'!K34/200</f>
        <v>50.736433140039843</v>
      </c>
      <c r="L34" s="15">
        <f>'2hBatteryMWh'!L34/200</f>
        <v>43.780105319947104</v>
      </c>
      <c r="M34" s="15">
        <f>'2hBatteryMWh'!M34/200</f>
        <v>61.080862738355165</v>
      </c>
      <c r="N34" s="15">
        <f>'2hBatteryMWh'!N34/200</f>
        <v>82.912630299705938</v>
      </c>
      <c r="O34" s="15">
        <f>'2hBatteryMWh'!O34/200</f>
        <v>78.123775170099876</v>
      </c>
      <c r="P34" s="15">
        <f>'2hBatteryMWh'!P34/200</f>
        <v>75.969833465664635</v>
      </c>
      <c r="Q34" s="15">
        <f>'2hBatteryMWh'!Q34/200</f>
        <v>77.649993602712442</v>
      </c>
      <c r="R34" s="15">
        <f>'2hBatteryMWh'!R34/200</f>
        <v>70.971870848816536</v>
      </c>
      <c r="S34" s="15">
        <f>'2hBatteryMWh'!S34/200</f>
        <v>72.583405921258006</v>
      </c>
      <c r="T34" s="15">
        <f>'2hBatteryMWh'!T34/200</f>
        <v>66.913538758653189</v>
      </c>
      <c r="U34" s="37">
        <f t="shared" si="2"/>
        <v>901.54269743338409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93.187001860096018</v>
      </c>
      <c r="G35" s="47">
        <f>'2hBatteryMWh'!G35/200</f>
        <v>101.5961984010723</v>
      </c>
      <c r="H35" s="47">
        <f>'2hBatteryMWh'!H35/200</f>
        <v>100.086169899051</v>
      </c>
      <c r="I35" s="47">
        <f>'2hBatteryMWh'!I35/200</f>
        <v>127.57442467742716</v>
      </c>
      <c r="J35" s="47">
        <f>'2hBatteryMWh'!J35/200</f>
        <v>143.38362565593354</v>
      </c>
      <c r="K35" s="47">
        <f>'2hBatteryMWh'!K35/200</f>
        <v>143.61322627630898</v>
      </c>
      <c r="L35" s="47">
        <f>'2hBatteryMWh'!L35/200</f>
        <v>120.20908076880312</v>
      </c>
      <c r="M35" s="47">
        <f>'2hBatteryMWh'!M35/200</f>
        <v>124.54578061167065</v>
      </c>
      <c r="N35" s="47">
        <f>'2hBatteryMWh'!N35/200</f>
        <v>147.61800720708843</v>
      </c>
      <c r="O35" s="47">
        <f>'2hBatteryMWh'!O35/200</f>
        <v>138.71228980412209</v>
      </c>
      <c r="P35" s="47">
        <f>'2hBatteryMWh'!P35/200</f>
        <v>146.30534368690226</v>
      </c>
      <c r="Q35" s="47">
        <f>'2hBatteryMWh'!Q35/200</f>
        <v>150.34186416822578</v>
      </c>
      <c r="R35" s="47">
        <f>'2hBatteryMWh'!R35/200</f>
        <v>147.17786912632425</v>
      </c>
      <c r="S35" s="47">
        <f>'2hBatteryMWh'!S35/200</f>
        <v>156.0876492649177</v>
      </c>
      <c r="T35" s="47">
        <f>'2hBatteryMWh'!T35/200</f>
        <v>154.22871937213469</v>
      </c>
      <c r="U35" s="37">
        <f t="shared" si="2"/>
        <v>2047.6563909482918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5" workbookViewId="0">
      <selection activeCell="F256" sqref="F256"/>
    </sheetView>
  </sheetViews>
  <sheetFormatPr defaultRowHeight="15.05" x14ac:dyDescent="0.3"/>
  <cols>
    <col min="2" max="2" width="21.886718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MarinusSnowyYallourn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MarinusSnowyYallourn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10540206.020953761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MarinusSnowyYallourn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4722167.6592375943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MarinusSnowyYallourn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2017122.5657024563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MarinusSnowyYallourn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132.20129058144181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MarinusSnowyYallourn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-2272600.1174960025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MarinusSnowyYallourn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-5607118.7421609182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MarinusSnowyYallourn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-13164153.597292095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MarinusSnowyYallourn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-175137.67494567842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MarinusSnowyYallourn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28566039.744818877</v>
      </c>
      <c r="H13" s="73" cm="1">
        <f t="array" ref="H13">INDEX(SwapSold!$E$28:$T$35,Summary!K13,Summary!L13)</f>
        <v>15253004.398026532</v>
      </c>
      <c r="I13" s="20" cm="1">
        <f t="array" ref="I13">INDEX(DualFuelCM!$E$28:$T$35,Summary!K13,Summary!L13)</f>
        <v>14282548.56147233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MarinusSnowyYallourn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20053397.867657121</v>
      </c>
      <c r="H14" s="73" cm="1">
        <f t="array" ref="H14">INDEX(SwapSold!$E$28:$T$35,Summary!K14,Summary!L14)</f>
        <v>6477750.6215578029</v>
      </c>
      <c r="I14" s="20" cm="1">
        <f t="array" ref="I14">INDEX(DualFuelCM!$E$28:$T$35,Summary!K14,Summary!L14)</f>
        <v>10605758.384330196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MarinusSnowyYallourn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13614829.827161105</v>
      </c>
      <c r="H15" s="73" cm="1">
        <f t="array" ref="H15">INDEX(SwapSold!$E$28:$T$35,Summary!K15,Summary!L15)</f>
        <v>2773105.6199381454</v>
      </c>
      <c r="I15" s="20" cm="1">
        <f t="array" ref="I15">INDEX(DualFuelCM!$E$28:$T$35,Summary!K15,Summary!L15)</f>
        <v>8772042.4174723849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MarinusSnowyYallourn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8293069.7662406433</v>
      </c>
      <c r="H16" s="73" cm="1">
        <f t="array" ref="H16">INDEX(SwapSold!$E$28:$T$35,Summary!K16,Summary!L16)</f>
        <v>0</v>
      </c>
      <c r="I16" s="20" cm="1">
        <f t="array" ref="I16">INDEX(DualFuelCM!$E$28:$T$35,Summary!K16,Summary!L16)</f>
        <v>7676064.3492178209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MarinusSnowyYallourn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6033638.4153489191</v>
      </c>
      <c r="H17" s="73" cm="1">
        <f t="array" ref="H17">INDEX(SwapSold!$E$28:$T$35,Summary!K17,Summary!L17)</f>
        <v>-3154816.34706754</v>
      </c>
      <c r="I17" s="20" cm="1">
        <f t="array" ref="I17">INDEX(DualFuelCM!$E$28:$T$35,Summary!K17,Summary!L17)</f>
        <v>6677177.8644283172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MarinusSnowyYallourn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2223356.5953277797</v>
      </c>
      <c r="H18" s="73" cm="1">
        <f t="array" ref="H18">INDEX(SwapSold!$E$28:$T$35,Summary!K18,Summary!L18)</f>
        <v>-7690427.784052995</v>
      </c>
      <c r="I18" s="20" cm="1">
        <f t="array" ref="I18">INDEX(DualFuelCM!$E$28:$T$35,Summary!K18,Summary!L18)</f>
        <v>5431176.1808665041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MarinusSnowyYallourn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-2760843.3567973408</v>
      </c>
      <c r="H19" s="73" cm="1">
        <f t="array" ref="H19">INDEX(SwapSold!$E$28:$T$35,Summary!K19,Summary!L19)</f>
        <v>-19888842.00727658</v>
      </c>
      <c r="I19" s="20" cm="1">
        <f t="array" ref="I19">INDEX(DualFuelCM!$E$28:$T$35,Summary!K19,Summary!L19)</f>
        <v>2852616.7960429494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MarinusSnowyYallourn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9916997.1262300704</v>
      </c>
      <c r="H20" s="73" cm="1">
        <f t="array" ref="H20">INDEX(SwapSold!$E$28:$T$35,Summary!K20,Summary!L20)</f>
        <v>-249854.07067801958</v>
      </c>
      <c r="I20" s="20" cm="1">
        <f t="array" ref="I20">INDEX(DualFuelCM!$E$28:$T$35,Summary!K20,Summary!L20)</f>
        <v>7794898.1236141296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MarinusSnowyYallourn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19179000.014053375</v>
      </c>
      <c r="H21" s="73" cm="1">
        <f t="array" ref="H21">INDEX(SwapSold!$E$28:$T$35,Summary!K21,Summary!L21)</f>
        <v>14381809.96556133</v>
      </c>
      <c r="I21" s="20" cm="1">
        <f t="array" ref="I21">INDEX(DualFuelCM!$E$28:$T$35,Summary!K21,Summary!L21)</f>
        <v>12631843.59317591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MarinusSnowyYallourn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12814810.71424228</v>
      </c>
      <c r="H22" s="73" cm="1">
        <f t="array" ref="H22">INDEX(SwapSold!$E$28:$T$35,Summary!K22,Summary!L22)</f>
        <v>6755643.9382960051</v>
      </c>
      <c r="I22" s="20" cm="1">
        <f t="array" ref="I22">INDEX(DualFuelCM!$E$28:$T$35,Summary!K22,Summary!L22)</f>
        <v>9522709.557614902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MarinusSnowyYallourn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7218284.8792932946</v>
      </c>
      <c r="H23" s="73" cm="1">
        <f t="array" ref="H23">INDEX(SwapSold!$E$28:$T$35,Summary!K23,Summary!L23)</f>
        <v>2911048.3722078446</v>
      </c>
      <c r="I23" s="20" cm="1">
        <f t="array" ref="I23">INDEX(DualFuelCM!$E$28:$T$35,Summary!K23,Summary!L23)</f>
        <v>7972799.9440439055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MarinusSnowyYallourn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3378289.3586946107</v>
      </c>
      <c r="H24" s="73" cm="1">
        <f t="array" ref="H24">INDEX(SwapSold!$E$28:$T$35,Summary!K24,Summary!L24)</f>
        <v>-1.56035184772918E-9</v>
      </c>
      <c r="I24" s="20" cm="1">
        <f t="array" ref="I24">INDEX(DualFuelCM!$E$28:$T$35,Summary!K24,Summary!L24)</f>
        <v>6886435.3478624709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MarinusSnowyYallourn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893047.68047220027</v>
      </c>
      <c r="H25" s="73" cm="1">
        <f t="array" ref="H25">INDEX(SwapSold!$E$28:$T$35,Summary!K25,Summary!L25)</f>
        <v>-2976573.9344068612</v>
      </c>
      <c r="I25" s="20" cm="1">
        <f t="array" ref="I25">INDEX(DualFuelCM!$E$28:$T$35,Summary!K25,Summary!L25)</f>
        <v>5940972.726604389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MarinusSnowyYallourn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-2209087.8546852884</v>
      </c>
      <c r="H26" s="73" cm="1">
        <f t="array" ref="H26">INDEX(SwapSold!$E$28:$T$35,Summary!K26,Summary!L26)</f>
        <v>-7426189.0883540092</v>
      </c>
      <c r="I26" s="20" cm="1">
        <f t="array" ref="I26">INDEX(DualFuelCM!$E$28:$T$35,Summary!K26,Summary!L26)</f>
        <v>4734983.6225482197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MarinusSnowyYallourn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-6993263.6765145119</v>
      </c>
      <c r="H27" s="73" cm="1">
        <f t="array" ref="H27">INDEX(SwapSold!$E$28:$T$35,Summary!K27,Summary!L27)</f>
        <v>-14909304.262246892</v>
      </c>
      <c r="I27" s="20" cm="1">
        <f t="array" ref="I27">INDEX(DualFuelCM!$E$28:$T$35,Summary!K27,Summary!L27)</f>
        <v>3077308.0856124768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MarinusSnowyYallourn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4220054.735712192</v>
      </c>
      <c r="H28" s="73" cm="1">
        <f t="array" ref="H28">INDEX(SwapSold!$E$28:$T$35,Summary!K28,Summary!L28)</f>
        <v>-128717.87681351135</v>
      </c>
      <c r="I28" s="20" cm="1">
        <f t="array" ref="I28">INDEX(DualFuelCM!$E$28:$T$35,Summary!K28,Summary!L28)</f>
        <v>6996193.5343917878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MarinusSnowyYallourn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17868473.066819534</v>
      </c>
      <c r="H29" s="73" cm="1">
        <f t="array" ref="H29">INDEX(SwapSold!$E$28:$T$35,Summary!K29,Summary!L29)</f>
        <v>14547884.998023611</v>
      </c>
      <c r="I29" s="20" cm="1">
        <f t="array" ref="I29">INDEX(DualFuelCM!$E$28:$T$35,Summary!K29,Summary!L29)</f>
        <v>11914077.933210233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MarinusSnowyYallourn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9961058.1589274127</v>
      </c>
      <c r="H30" s="73" cm="1">
        <f t="array" ref="H30">INDEX(SwapSold!$E$28:$T$35,Summary!K30,Summary!L30)</f>
        <v>6877624.7527218703</v>
      </c>
      <c r="I30" s="20" cm="1">
        <f t="array" ref="I30">INDEX(DualFuelCM!$E$28:$T$35,Summary!K30,Summary!L30)</f>
        <v>9667857.4921227079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MarinusSnowyYallourn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4539891.0110584283</v>
      </c>
      <c r="H31" s="73" cm="1">
        <f t="array" ref="H31">INDEX(SwapSold!$E$28:$T$35,Summary!K31,Summary!L31)</f>
        <v>2810417.7180092465</v>
      </c>
      <c r="I31" s="20" cm="1">
        <f t="array" ref="I31">INDEX(DualFuelCM!$E$28:$T$35,Summary!K31,Summary!L31)</f>
        <v>7760540.4459980298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MarinusSnowyYallourn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1430178.1618219099</v>
      </c>
      <c r="H32" s="73" cm="1">
        <f t="array" ref="H32">INDEX(SwapSold!$E$28:$T$35,Summary!K32,Summary!L32)</f>
        <v>-3.1121771826292388E-9</v>
      </c>
      <c r="I32" s="20" cm="1">
        <f t="array" ref="I32">INDEX(DualFuelCM!$E$28:$T$35,Summary!K32,Summary!L32)</f>
        <v>6796455.9793697046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MarinusSnowyYallourn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-843059.41301123507</v>
      </c>
      <c r="H33" s="73" cm="1">
        <f t="array" ref="H33">INDEX(SwapSold!$E$28:$T$35,Summary!K33,Summary!L33)</f>
        <v>-2876219.7823106181</v>
      </c>
      <c r="I33" s="20" cm="1">
        <f t="array" ref="I33">INDEX(DualFuelCM!$E$28:$T$35,Summary!K33,Summary!L33)</f>
        <v>5932505.958911472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MarinusSnowyYallourn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-4303959.8452489674</v>
      </c>
      <c r="H34" s="73" cm="1">
        <f t="array" ref="H34">INDEX(SwapSold!$E$28:$T$35,Summary!K34,Summary!L34)</f>
        <v>-7138066.7502449034</v>
      </c>
      <c r="I34" s="20" cm="1">
        <f t="array" ref="I34">INDEX(DualFuelCM!$E$28:$T$35,Summary!K34,Summary!L34)</f>
        <v>4736731.5419008378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MarinusSnowyYallourn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-7141502.280683673</v>
      </c>
      <c r="H35" s="73" cm="1">
        <f t="array" ref="H35">INDEX(SwapSold!$E$28:$T$35,Summary!K35,Summary!L35)</f>
        <v>-19325724.003520742</v>
      </c>
      <c r="I35" s="20" cm="1">
        <f t="array" ref="I35">INDEX(DualFuelCM!$E$28:$T$35,Summary!K35,Summary!L35)</f>
        <v>3177950.8709319332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MarinusSnowyYallourn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2005155.8076344277</v>
      </c>
      <c r="H36" s="73" cm="1">
        <f t="array" ref="H36">INDEX(SwapSold!$E$28:$T$35,Summary!K36,Summary!L36)</f>
        <v>-58410.208585393229</v>
      </c>
      <c r="I36" s="20" cm="1">
        <f t="array" ref="I36">INDEX(DualFuelCM!$E$28:$T$35,Summary!K36,Summary!L36)</f>
        <v>6932373.466122631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MarinusSnowyYallourn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20198920.864350058</v>
      </c>
      <c r="H37" s="73" cm="1">
        <f t="array" ref="H37">INDEX(SwapSold!$E$28:$T$35,Summary!K37,Summary!L37)</f>
        <v>17158321.763590675</v>
      </c>
      <c r="I37" s="20" cm="1">
        <f t="array" ref="I37">INDEX(DualFuelCM!$E$28:$T$35,Summary!K37,Summary!L37)</f>
        <v>13130918.885505224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MarinusSnowyYallourn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11532909.938074911</v>
      </c>
      <c r="H38" s="73" cm="1">
        <f t="array" ref="H38">INDEX(SwapSold!$E$28:$T$35,Summary!K38,Summary!L38)</f>
        <v>8170604.4892602935</v>
      </c>
      <c r="I38" s="20" cm="1">
        <f t="array" ref="I38">INDEX(DualFuelCM!$E$28:$T$35,Summary!K38,Summary!L38)</f>
        <v>9904866.1262959298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MarinusSnowyYallourn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6326278.8234031145</v>
      </c>
      <c r="H39" s="73" cm="1">
        <f t="array" ref="H39">INDEX(SwapSold!$E$28:$T$35,Summary!K39,Summary!L39)</f>
        <v>3504084.1817488866</v>
      </c>
      <c r="I39" s="20" cm="1">
        <f t="array" ref="I39">INDEX(DualFuelCM!$E$28:$T$35,Summary!K39,Summary!L39)</f>
        <v>8242660.7747434461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MarinusSnowyYallourn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2732337.2261213772</v>
      </c>
      <c r="H40" s="73" cm="1">
        <f t="array" ref="H40">INDEX(SwapSold!$E$28:$T$35,Summary!K40,Summary!L40)</f>
        <v>27083.316420366289</v>
      </c>
      <c r="I40" s="20" cm="1">
        <f t="array" ref="I40">INDEX(DualFuelCM!$E$28:$T$35,Summary!K40,Summary!L40)</f>
        <v>7107941.66367561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MarinusSnowyYallourn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-208190.00192690329</v>
      </c>
      <c r="H41" s="73" cm="1">
        <f t="array" ref="H41">INDEX(SwapSold!$E$28:$T$35,Summary!K41,Summary!L41)</f>
        <v>-3677296.1276530507</v>
      </c>
      <c r="I41" s="20" cm="1">
        <f t="array" ref="I41">INDEX(DualFuelCM!$E$28:$T$35,Summary!K41,Summary!L41)</f>
        <v>6184139.8500278043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MarinusSnowyYallourn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-2207695.911829025</v>
      </c>
      <c r="H42" s="73" cm="1">
        <f t="array" ref="H42">INDEX(SwapSold!$E$28:$T$35,Summary!K42,Summary!L42)</f>
        <v>-9138809.434814861</v>
      </c>
      <c r="I42" s="20" cm="1">
        <f t="array" ref="I42">INDEX(DualFuelCM!$E$28:$T$35,Summary!K42,Summary!L42)</f>
        <v>4935465.0996654956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MarinusSnowyYallourn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-6348354.2618838204</v>
      </c>
      <c r="H43" s="73" cm="1">
        <f t="array" ref="H43">INDEX(SwapSold!$E$28:$T$35,Summary!K43,Summary!L43)</f>
        <v>-20871535.727644667</v>
      </c>
      <c r="I43" s="20" cm="1">
        <f t="array" ref="I43">INDEX(DualFuelCM!$E$28:$T$35,Summary!K43,Summary!L43)</f>
        <v>2578477.2014296441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MarinusSnowyYallourn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3343446.761955407</v>
      </c>
      <c r="H44" s="73" cm="1">
        <f t="array" ref="H44">INDEX(SwapSold!$E$28:$T$35,Summary!K44,Summary!L44)</f>
        <v>-172301.21338519297</v>
      </c>
      <c r="I44" s="20" cm="1">
        <f t="array" ref="I44">INDEX(DualFuelCM!$E$28:$T$35,Summary!K44,Summary!L44)</f>
        <v>7240399.3097059596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MarinusSnowyYallourn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19936177.535937529</v>
      </c>
      <c r="H45" s="73" cm="1">
        <f t="array" ref="H45">INDEX(SwapSold!$E$28:$T$35,Summary!K45,Summary!L45)</f>
        <v>19370366.381308161</v>
      </c>
      <c r="I45" s="20" cm="1">
        <f t="array" ref="I45">INDEX(DualFuelCM!$E$28:$T$35,Summary!K45,Summary!L45)</f>
        <v>13307072.301646383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MarinusSnowyYallourn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10758120.660301276</v>
      </c>
      <c r="H46" s="73" cm="1">
        <f t="array" ref="H46">INDEX(SwapSold!$E$28:$T$35,Summary!K46,Summary!L46)</f>
        <v>8109177.2219690382</v>
      </c>
      <c r="I46" s="20" cm="1">
        <f t="array" ref="I46">INDEX(DualFuelCM!$E$28:$T$35,Summary!K46,Summary!L46)</f>
        <v>9517378.4011404775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MarinusSnowyYallourn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5754159.7703516325</v>
      </c>
      <c r="H47" s="73" cm="1">
        <f t="array" ref="H47">INDEX(SwapSold!$E$28:$T$35,Summary!K47,Summary!L47)</f>
        <v>3561587.6810876536</v>
      </c>
      <c r="I47" s="20" cm="1">
        <f t="array" ref="I47">INDEX(DualFuelCM!$E$28:$T$35,Summary!K47,Summary!L47)</f>
        <v>7837280.4400042631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MarinusSnowyYallourn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2360271.5198300397</v>
      </c>
      <c r="H48" s="73" cm="1">
        <f t="array" ref="H48">INDEX(SwapSold!$E$28:$T$35,Summary!K48,Summary!L48)</f>
        <v>11541.683076716452</v>
      </c>
      <c r="I48" s="20" cm="1">
        <f t="array" ref="I48">INDEX(DualFuelCM!$E$28:$T$35,Summary!K48,Summary!L48)</f>
        <v>6801978.8464209298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MarinusSnowyYallourn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-176601.45051009255</v>
      </c>
      <c r="H49" s="73" cm="1">
        <f t="array" ref="H49">INDEX(SwapSold!$E$28:$T$35,Summary!K49,Summary!L49)</f>
        <v>-3705612.4305649069</v>
      </c>
      <c r="I49" s="20" cm="1">
        <f t="array" ref="I49">INDEX(DualFuelCM!$E$28:$T$35,Summary!K49,Summary!L49)</f>
        <v>5903059.5583374519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MarinusSnowyYallourn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-2794438.0940456348</v>
      </c>
      <c r="H50" s="73" cm="1">
        <f t="array" ref="H50">INDEX(SwapSold!$E$28:$T$35,Summary!K50,Summary!L50)</f>
        <v>-9166105.6625097319</v>
      </c>
      <c r="I50" s="20" cm="1">
        <f t="array" ref="I50">INDEX(DualFuelCM!$E$28:$T$35,Summary!K50,Summary!L50)</f>
        <v>4713789.0752817364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MarinusSnowyYallourn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-7214547.3325086534</v>
      </c>
      <c r="H51" s="73" cm="1">
        <f t="array" ref="H51">INDEX(SwapSold!$E$28:$T$35,Summary!K51,Summary!L51)</f>
        <v>-23487418.960461278</v>
      </c>
      <c r="I51" s="20" cm="1">
        <f t="array" ref="I51">INDEX(DualFuelCM!$E$28:$T$35,Summary!K51,Summary!L51)</f>
        <v>3059627.2874741633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MarinusSnowyYallourn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2991995.7434511348</v>
      </c>
      <c r="H52" s="73" cm="1">
        <f t="array" ref="H52">INDEX(SwapSold!$E$28:$T$35,Summary!K52,Summary!L52)</f>
        <v>-193986.03031462731</v>
      </c>
      <c r="I52" s="20" cm="1">
        <f t="array" ref="I52">INDEX(DualFuelCM!$E$28:$T$35,Summary!K52,Summary!L52)</f>
        <v>6927732.7139653517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MarinusSnowyYallourn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15337436.277853223</v>
      </c>
      <c r="H53" s="73" cm="1">
        <f t="array" ref="H53">INDEX(SwapSold!$E$28:$T$35,Summary!K53,Summary!L53)</f>
        <v>14221035.56204363</v>
      </c>
      <c r="I53" s="20" cm="1">
        <f t="array" ref="I53">INDEX(DualFuelCM!$E$28:$T$35,Summary!K53,Summary!L53)</f>
        <v>11890769.133047597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MarinusSnowyYallourn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8057175.3353429055</v>
      </c>
      <c r="H54" s="73" cm="1">
        <f t="array" ref="H54">INDEX(SwapSold!$E$28:$T$35,Summary!K54,Summary!L54)</f>
        <v>7592376.3458224116</v>
      </c>
      <c r="I54" s="20" cm="1">
        <f t="array" ref="I54">INDEX(DualFuelCM!$E$28:$T$35,Summary!K54,Summary!L54)</f>
        <v>8654921.6209349912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MarinusSnowyYallourn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3445083.0533897723</v>
      </c>
      <c r="H55" s="73" cm="1">
        <f t="array" ref="H55">INDEX(SwapSold!$E$28:$T$35,Summary!K55,Summary!L55)</f>
        <v>3276866.7078235806</v>
      </c>
      <c r="I55" s="20" cm="1">
        <f t="array" ref="I55">INDEX(DualFuelCM!$E$28:$T$35,Summary!K55,Summary!L55)</f>
        <v>7179088.5872498965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MarinusSnowyYallourn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450112.74974998517</v>
      </c>
      <c r="H56" s="73" cm="1">
        <f t="array" ref="H56">INDEX(SwapSold!$E$28:$T$35,Summary!K56,Summary!L56)</f>
        <v>-27772.999075488253</v>
      </c>
      <c r="I56" s="20" cm="1">
        <f t="array" ref="I56">INDEX(DualFuelCM!$E$28:$T$35,Summary!K56,Summary!L56)</f>
        <v>6341258.3884761389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MarinusSnowyYallourn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-2179699.6429688591</v>
      </c>
      <c r="H57" s="73" cm="1">
        <f t="array" ref="H57">INDEX(SwapSold!$E$28:$T$35,Summary!K57,Summary!L57)</f>
        <v>-3394980.4931397047</v>
      </c>
      <c r="I57" s="20" cm="1">
        <f t="array" ref="I57">INDEX(DualFuelCM!$E$28:$T$35,Summary!K57,Summary!L57)</f>
        <v>5510037.0363926981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MarinusSnowyYallourn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-5132296.1457995558</v>
      </c>
      <c r="H58" s="73" cm="1">
        <f t="array" ref="H58">INDEX(SwapSold!$E$28:$T$35,Summary!K58,Summary!L58)</f>
        <v>-8343238.3408088852</v>
      </c>
      <c r="I58" s="20" cm="1">
        <f t="array" ref="I58">INDEX(DualFuelCM!$E$28:$T$35,Summary!K58,Summary!L58)</f>
        <v>4418998.6927409489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MarinusSnowyYallourn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-8178576.4177831905</v>
      </c>
      <c r="H59" s="73" cm="1">
        <f t="array" ref="H59">INDEX(SwapSold!$E$28:$T$35,Summary!K59,Summary!L59)</f>
        <v>-18450240.935840726</v>
      </c>
      <c r="I59" s="20" cm="1">
        <f t="array" ref="I59">INDEX(DualFuelCM!$E$28:$T$35,Summary!K59,Summary!L59)</f>
        <v>2851094.2665637932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MarinusSnowyYallourn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784223.32587714051</v>
      </c>
      <c r="H60" s="73" cm="1">
        <f t="array" ref="H60">INDEX(SwapSold!$E$28:$T$35,Summary!K60,Summary!L60)</f>
        <v>-147208.43296201312</v>
      </c>
      <c r="I60" s="20" cm="1">
        <f t="array" ref="I60">INDEX(DualFuelCM!$E$28:$T$35,Summary!K60,Summary!L60)</f>
        <v>6396477.2504070178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MarinusSnowyYallourn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19481992.949251581</v>
      </c>
      <c r="H61" s="73" cm="1">
        <f t="array" ref="H61">INDEX(SwapSold!$E$28:$T$35,Summary!K61,Summary!L61)</f>
        <v>17879230.161106072</v>
      </c>
      <c r="I61" s="20" cm="1">
        <f t="array" ref="I61">INDEX(DualFuelCM!$E$28:$T$35,Summary!K61,Summary!L61)</f>
        <v>14727226.298298104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MarinusSnowyYallourn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9423805.4455061052</v>
      </c>
      <c r="H62" s="73" cm="1">
        <f t="array" ref="H62">INDEX(SwapSold!$E$28:$T$35,Summary!K62,Summary!L62)</f>
        <v>8593534.1849986706</v>
      </c>
      <c r="I62" s="20" cm="1">
        <f t="array" ref="I62">INDEX(DualFuelCM!$E$28:$T$35,Summary!K62,Summary!L62)</f>
        <v>9254498.4790716097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MarinusSnowyYallourn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4093810.301794888</v>
      </c>
      <c r="H63" s="73" cm="1">
        <f t="array" ref="H63">INDEX(SwapSold!$E$28:$T$35,Summary!K63,Summary!L63)</f>
        <v>3535864.2631533323</v>
      </c>
      <c r="I63" s="20" cm="1">
        <f t="array" ref="I63">INDEX(DualFuelCM!$E$28:$T$35,Summary!K63,Summary!L63)</f>
        <v>7509290.7372166738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MarinusSnowyYallourn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1133246.753158882</v>
      </c>
      <c r="H64" s="73" cm="1">
        <f t="array" ref="H64">INDEX(SwapSold!$E$28:$T$35,Summary!K64,Summary!L64)</f>
        <v>-70834.814912686328</v>
      </c>
      <c r="I64" s="20" cm="1">
        <f t="array" ref="I64">INDEX(DualFuelCM!$E$28:$T$35,Summary!K64,Summary!L64)</f>
        <v>6569111.4389363881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MarinusSnowyYallourn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-1585438.3504815095</v>
      </c>
      <c r="H65" s="73" cm="1">
        <f t="array" ref="H65">INDEX(SwapSold!$E$28:$T$35,Summary!K65,Summary!L65)</f>
        <v>-3973680.7579729455</v>
      </c>
      <c r="I65" s="20" cm="1">
        <f t="array" ref="I65">INDEX(DualFuelCM!$E$28:$T$35,Summary!K65,Summary!L65)</f>
        <v>5651482.1519020386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MarinusSnowyYallourn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-4505686.4820962176</v>
      </c>
      <c r="H66" s="73" cm="1">
        <f t="array" ref="H66">INDEX(SwapSold!$E$28:$T$35,Summary!K66,Summary!L66)</f>
        <v>-9525859.4204131216</v>
      </c>
      <c r="I66" s="20" cm="1">
        <f t="array" ref="I66">INDEX(DualFuelCM!$E$28:$T$35,Summary!K66,Summary!L66)</f>
        <v>4586128.887381698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MarinusSnowyYallourn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-9001497.1029015407</v>
      </c>
      <c r="H67" s="73" cm="1">
        <f t="array" ref="H67">INDEX(SwapSold!$E$28:$T$35,Summary!K67,Summary!L67)</f>
        <v>-23813077.388492238</v>
      </c>
      <c r="I67" s="20" cm="1">
        <f t="array" ref="I67">INDEX(DualFuelCM!$E$28:$T$35,Summary!K67,Summary!L67)</f>
        <v>2362370.2372952858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MarinusSnowyYallourn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1498541.0229353164</v>
      </c>
      <c r="H68" s="73" cm="1">
        <f t="array" ref="H68">INDEX(SwapSold!$E$28:$T$35,Summary!K68,Summary!L68)</f>
        <v>-242756.89329230093</v>
      </c>
      <c r="I68" s="20" cm="1">
        <f t="array" ref="I68">INDEX(DualFuelCM!$E$28:$T$35,Summary!K68,Summary!L68)</f>
        <v>6678103.8622216303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MarinusSnowyYallourn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17886255.53799111</v>
      </c>
      <c r="H69" s="73" cm="1">
        <f t="array" ref="H69">INDEX(SwapSold!$E$28:$T$35,Summary!K69,Summary!L69)</f>
        <v>17769100.087836351</v>
      </c>
      <c r="I69" s="20" cm="1">
        <f t="array" ref="I69">INDEX(DualFuelCM!$E$28:$T$35,Summary!K69,Summary!L69)</f>
        <v>11531487.259489004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MarinusSnowyYallourn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9515582.5627922751</v>
      </c>
      <c r="H70" s="73" cm="1">
        <f t="array" ref="H70">INDEX(SwapSold!$E$28:$T$35,Summary!K70,Summary!L70)</f>
        <v>8463940.2541329153</v>
      </c>
      <c r="I70" s="20" cm="1">
        <f t="array" ref="I70">INDEX(DualFuelCM!$E$28:$T$35,Summary!K70,Summary!L70)</f>
        <v>9061097.5305110849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MarinusSnowyYallourn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4081392.8966298793</v>
      </c>
      <c r="H71" s="73" cm="1">
        <f t="array" ref="H71">INDEX(SwapSold!$E$28:$T$35,Summary!K71,Summary!L71)</f>
        <v>3697207.7828864548</v>
      </c>
      <c r="I71" s="20" cm="1">
        <f t="array" ref="I71">INDEX(DualFuelCM!$E$28:$T$35,Summary!K71,Summary!L71)</f>
        <v>7382150.5534569034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MarinusSnowyYallourn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815233.20998466131</v>
      </c>
      <c r="H72" s="73" cm="1">
        <f t="array" ref="H72">INDEX(SwapSold!$E$28:$T$35,Summary!K72,Summary!L72)</f>
        <v>-94705.572252794387</v>
      </c>
      <c r="I72" s="20" cm="1">
        <f t="array" ref="I72">INDEX(DualFuelCM!$E$28:$T$35,Summary!K72,Summary!L72)</f>
        <v>6422330.0719393827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MarinusSnowyYallourn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-1869742.4435727561</v>
      </c>
      <c r="H73" s="73" cm="1">
        <f t="array" ref="H73">INDEX(SwapSold!$E$28:$T$35,Summary!K73,Summary!L73)</f>
        <v>-4159375.4052765872</v>
      </c>
      <c r="I73" s="20" cm="1">
        <f t="array" ref="I73">INDEX(DualFuelCM!$E$28:$T$35,Summary!K73,Summary!L73)</f>
        <v>5519823.9915324552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MarinusSnowyYallourn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-5227854.3334779413</v>
      </c>
      <c r="H74" s="73" cm="1">
        <f t="array" ref="H74">INDEX(SwapSold!$E$28:$T$35,Summary!K74,Summary!L74)</f>
        <v>-9973994.7347921915</v>
      </c>
      <c r="I74" s="20" cm="1">
        <f t="array" ref="I74">INDEX(DualFuelCM!$E$28:$T$35,Summary!K74,Summary!L74)</f>
        <v>4368545.4038260588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MarinusSnowyYallourn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-8758339.8664946537</v>
      </c>
      <c r="H75" s="73" cm="1">
        <f t="array" ref="H75">INDEX(SwapSold!$E$28:$T$35,Summary!K75,Summary!L75)</f>
        <v>-23743101.258855883</v>
      </c>
      <c r="I75" s="20" cm="1">
        <f t="array" ref="I75">INDEX(DualFuelCM!$E$28:$T$35,Summary!K75,Summary!L75)</f>
        <v>2644798.2532105907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MarinusSnowyYallourn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1288291.0283111529</v>
      </c>
      <c r="H76" s="73" cm="1">
        <f t="array" ref="H76">INDEX(SwapSold!$E$28:$T$35,Summary!K76,Summary!L76)</f>
        <v>-312888.5310985113</v>
      </c>
      <c r="I76" s="20" cm="1">
        <f t="array" ref="I76">INDEX(DualFuelCM!$E$28:$T$35,Summary!K76,Summary!L76)</f>
        <v>6513910.2669269675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MarinusSnowyYallourn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21222987.588811122</v>
      </c>
      <c r="H77" s="73" cm="1">
        <f t="array" ref="H77">INDEX(SwapSold!$E$28:$T$35,Summary!K77,Summary!L77)</f>
        <v>22494452.416533232</v>
      </c>
      <c r="I77" s="20" cm="1">
        <f t="array" ref="I77">INDEX(DualFuelCM!$E$28:$T$35,Summary!K77,Summary!L77)</f>
        <v>13573866.351268664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MarinusSnowyYallourn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9635499.1025566719</v>
      </c>
      <c r="H78" s="73" cm="1">
        <f t="array" ref="H78">INDEX(SwapSold!$E$28:$T$35,Summary!K78,Summary!L78)</f>
        <v>10667890.611103425</v>
      </c>
      <c r="I78" s="20" cm="1">
        <f t="array" ref="I78">INDEX(DualFuelCM!$E$28:$T$35,Summary!K78,Summary!L78)</f>
        <v>9343268.0437815618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MarinusSnowyYallourn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4604346.5847855303</v>
      </c>
      <c r="H79" s="73" cm="1">
        <f t="array" ref="H79">INDEX(SwapSold!$E$28:$T$35,Summary!K79,Summary!L79)</f>
        <v>4625156.8731956799</v>
      </c>
      <c r="I79" s="20" cm="1">
        <f t="array" ref="I79">INDEX(DualFuelCM!$E$28:$T$35,Summary!K79,Summary!L79)</f>
        <v>7522851.8492468111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MarinusSnowyYallourn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1123380.6811438939</v>
      </c>
      <c r="H80" s="73" cm="1">
        <f t="array" ref="H80">INDEX(SwapSold!$E$28:$T$35,Summary!K80,Summary!L80)</f>
        <v>-25182.659133829431</v>
      </c>
      <c r="I80" s="20" cm="1">
        <f t="array" ref="I80">INDEX(DualFuelCM!$E$28:$T$35,Summary!K80,Summary!L80)</f>
        <v>6569024.7974168696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MarinusSnowyYallourn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-1804927.3843646443</v>
      </c>
      <c r="H81" s="73" cm="1">
        <f t="array" ref="H81">INDEX(SwapSold!$E$28:$T$35,Summary!K81,Summary!L81)</f>
        <v>-4965261.2896891618</v>
      </c>
      <c r="I81" s="20" cm="1">
        <f t="array" ref="I81">INDEX(DualFuelCM!$E$28:$T$35,Summary!K81,Summary!L81)</f>
        <v>5702069.8748870669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MarinusSnowyYallourn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-4880119.1157569261</v>
      </c>
      <c r="H82" s="73" cm="1">
        <f t="array" ref="H82">INDEX(SwapSold!$E$28:$T$35,Summary!K82,Summary!L82)</f>
        <v>-12618135.336670522</v>
      </c>
      <c r="I82" s="20" cm="1">
        <f t="array" ref="I82">INDEX(DualFuelCM!$E$28:$T$35,Summary!K82,Summary!L82)</f>
        <v>4589121.5903195729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MarinusSnowyYallourn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-8930676.1942317523</v>
      </c>
      <c r="H83" s="73" cm="1">
        <f t="array" ref="H83">INDEX(SwapSold!$E$28:$T$35,Summary!K83,Summary!L83)</f>
        <v>-27600906.15216627</v>
      </c>
      <c r="I83" s="20" cm="1">
        <f t="array" ref="I83">INDEX(DualFuelCM!$E$28:$T$35,Summary!K83,Summary!L83)</f>
        <v>2608645.0373695013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MarinusSnowyYallourn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1593983.8443763542</v>
      </c>
      <c r="H84" s="73" cm="1">
        <f t="array" ref="H84">INDEX(SwapSold!$E$28:$T$35,Summary!K84,Summary!L84)</f>
        <v>-342168.32124371844</v>
      </c>
      <c r="I84" s="20" cm="1">
        <f t="array" ref="I84">INDEX(DualFuelCM!$E$28:$T$35,Summary!K84,Summary!L84)</f>
        <v>6694038.4209893495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MarinusSnowyYallourn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15585977.455912219</v>
      </c>
      <c r="H85" s="73" cm="1">
        <f t="array" ref="H85">INDEX(SwapSold!$E$28:$T$35,Summary!K85,Summary!L85)</f>
        <v>20554596.565429717</v>
      </c>
      <c r="I85" s="20" cm="1">
        <f t="array" ref="I85">INDEX(DualFuelCM!$E$28:$T$35,Summary!K85,Summary!L85)</f>
        <v>12590102.618491413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MarinusSnowyYallourn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6236745.1591145787</v>
      </c>
      <c r="H86" s="73" cm="1">
        <f t="array" ref="H86">INDEX(SwapSold!$E$28:$T$35,Summary!K86,Summary!L86)</f>
        <v>10234960.421802163</v>
      </c>
      <c r="I86" s="20" cm="1">
        <f t="array" ref="I86">INDEX(DualFuelCM!$E$28:$T$35,Summary!K86,Summary!L86)</f>
        <v>8759835.7346322481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MarinusSnowyYallourn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1936866.5914465815</v>
      </c>
      <c r="H87" s="73" cm="1">
        <f t="array" ref="H87">INDEX(SwapSold!$E$28:$T$35,Summary!K87,Summary!L87)</f>
        <v>4307881.8001195546</v>
      </c>
      <c r="I87" s="20" cm="1">
        <f t="array" ref="I87">INDEX(DualFuelCM!$E$28:$T$35,Summary!K87,Summary!L87)</f>
        <v>7206555.9792784369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MarinusSnowyYallourn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-1257263.4575877923</v>
      </c>
      <c r="H88" s="73" cm="1">
        <f t="array" ref="H88">INDEX(SwapSold!$E$28:$T$35,Summary!K88,Summary!L88)</f>
        <v>-19520.313213970068</v>
      </c>
      <c r="I88" s="20" cm="1">
        <f t="array" ref="I88">INDEX(DualFuelCM!$E$28:$T$35,Summary!K88,Summary!L88)</f>
        <v>6224526.0887306361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MarinusSnowyYallourn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-4062355.4014722859</v>
      </c>
      <c r="H89" s="73" cm="1">
        <f t="array" ref="H89">INDEX(SwapSold!$E$28:$T$35,Summary!K89,Summary!L89)</f>
        <v>-4886026.5291234851</v>
      </c>
      <c r="I89" s="20" cm="1">
        <f t="array" ref="I89">INDEX(DualFuelCM!$E$28:$T$35,Summary!K89,Summary!L89)</f>
        <v>5359832.2841764055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MarinusSnowyYallourn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-7060683.2993704639</v>
      </c>
      <c r="H90" s="73" cm="1">
        <f t="array" ref="H90">INDEX(SwapSold!$E$28:$T$35,Summary!K90,Summary!L90)</f>
        <v>-11880269.457918543</v>
      </c>
      <c r="I90" s="20" cm="1">
        <f t="array" ref="I90">INDEX(DualFuelCM!$E$28:$T$35,Summary!K90,Summary!L90)</f>
        <v>4266901.3151417365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MarinusSnowyYallourn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-10319823.414104834</v>
      </c>
      <c r="H91" s="73" cm="1">
        <f t="array" ref="H91">INDEX(SwapSold!$E$28:$T$35,Summary!K91,Summary!L91)</f>
        <v>-30214945.037636556</v>
      </c>
      <c r="I91" s="20" cm="1">
        <f t="array" ref="I91">INDEX(DualFuelCM!$E$28:$T$35,Summary!K91,Summary!L91)</f>
        <v>2804417.4064594656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MarinusSnowyYallourn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-932076.46844251943</v>
      </c>
      <c r="H92" s="73" cm="1">
        <f t="array" ref="H92">INDEX(SwapSold!$E$28:$T$35,Summary!K92,Summary!L92)</f>
        <v>-368003.34343133558</v>
      </c>
      <c r="I92" s="20" cm="1">
        <f t="array" ref="I92">INDEX(DualFuelCM!$E$28:$T$35,Summary!K92,Summary!L92)</f>
        <v>6333495.1094091982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MarinusSnowyYallourn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15915952.604049928</v>
      </c>
      <c r="H93" s="73" cm="1">
        <f t="array" ref="H93">INDEX(SwapSold!$E$28:$T$35,Summary!K93,Summary!L93)</f>
        <v>23872711.513877284</v>
      </c>
      <c r="I93" s="20" cm="1">
        <f t="array" ref="I93">INDEX(DualFuelCM!$E$28:$T$35,Summary!K93,Summary!L93)</f>
        <v>12888409.384103904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MarinusSnowyYallourn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7784870.6926454268</v>
      </c>
      <c r="H94" s="73" cm="1">
        <f t="array" ref="H94">INDEX(SwapSold!$E$28:$T$35,Summary!K94,Summary!L94)</f>
        <v>11985733.569857897</v>
      </c>
      <c r="I94" s="20" cm="1">
        <f t="array" ref="I94">INDEX(DualFuelCM!$E$28:$T$35,Summary!K94,Summary!L94)</f>
        <v>9286650.1215517297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MarinusSnowyYallourn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3919283.3456996391</v>
      </c>
      <c r="H95" s="73" cm="1">
        <f t="array" ref="H95">INDEX(SwapSold!$E$28:$T$35,Summary!K95,Summary!L95)</f>
        <v>5083577.5193100525</v>
      </c>
      <c r="I95" s="20" cm="1">
        <f t="array" ref="I95">INDEX(DualFuelCM!$E$28:$T$35,Summary!K95,Summary!L95)</f>
        <v>7777664.2771021044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MarinusSnowyYallourn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728591.40818381193</v>
      </c>
      <c r="H96" s="73" cm="1">
        <f t="array" ref="H96">INDEX(SwapSold!$E$28:$T$35,Summary!K96,Summary!L96)</f>
        <v>3479.4686819064682</v>
      </c>
      <c r="I96" s="20" cm="1">
        <f t="array" ref="I96">INDEX(DualFuelCM!$E$28:$T$35,Summary!K96,Summary!L96)</f>
        <v>6776008.3897316856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MarinusSnowyYallourn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-2853425.8454408487</v>
      </c>
      <c r="H97" s="73" cm="1">
        <f t="array" ref="H97">INDEX(SwapSold!$E$28:$T$35,Summary!K97,Summary!L97)</f>
        <v>-4941714.907142642</v>
      </c>
      <c r="I97" s="20" cm="1">
        <f t="array" ref="I97">INDEX(DualFuelCM!$E$28:$T$35,Summary!K97,Summary!L97)</f>
        <v>5739513.3017970044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MarinusSnowyYallourn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-6779571.9407612178</v>
      </c>
      <c r="H98" s="73" cm="1">
        <f t="array" ref="H98">INDEX(SwapSold!$E$28:$T$35,Summary!K98,Summary!L98)</f>
        <v>-11484058.355294969</v>
      </c>
      <c r="I98" s="20" cm="1">
        <f t="array" ref="I98">INDEX(DualFuelCM!$E$28:$T$35,Summary!K98,Summary!L98)</f>
        <v>4447962.6309668822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MarinusSnowyYallourn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-11325679.457185889</v>
      </c>
      <c r="H99" s="73" cm="1">
        <f t="array" ref="H99">INDEX(SwapSold!$E$28:$T$35,Summary!K99,Summary!L99)</f>
        <v>-22581284.333990209</v>
      </c>
      <c r="I99" s="20" cm="1">
        <f t="array" ref="I99">INDEX(DualFuelCM!$E$28:$T$35,Summary!K99,Summary!L99)</f>
        <v>2775795.2967592361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MarinusSnowyYallourn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569565.38721094455</v>
      </c>
      <c r="H100" s="73" cm="1">
        <f t="array" ref="H100">INDEX(SwapSold!$E$28:$T$35,Summary!K100,Summary!L100)</f>
        <v>116002.79188268895</v>
      </c>
      <c r="I100" s="20" cm="1">
        <f t="array" ref="I100">INDEX(DualFuelCM!$E$28:$T$35,Summary!K100,Summary!L100)</f>
        <v>6799477.1075267084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MarinusSnowyYallourn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17732706.391014211</v>
      </c>
      <c r="H101" s="73" cm="1">
        <f t="array" ref="H101">INDEX(SwapSold!$E$28:$T$35,Summary!K101,Summary!L101)</f>
        <v>24064534.742392078</v>
      </c>
      <c r="I101" s="20" cm="1">
        <f t="array" ref="I101">INDEX(DualFuelCM!$E$28:$T$35,Summary!K101,Summary!L101)</f>
        <v>13461583.592833927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MarinusSnowyYallourn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8247096.3216619203</v>
      </c>
      <c r="H102" s="73" cm="1">
        <f t="array" ref="H102">INDEX(SwapSold!$E$28:$T$35,Summary!K102,Summary!L102)</f>
        <v>13218939.823655928</v>
      </c>
      <c r="I102" s="20" cm="1">
        <f t="array" ref="I102">INDEX(DualFuelCM!$E$28:$T$35,Summary!K102,Summary!L102)</f>
        <v>9569999.5432639364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MarinusSnowyYallourn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4997956.4359967588</v>
      </c>
      <c r="H103" s="73" cm="1">
        <f t="array" ref="H103">INDEX(SwapSold!$E$28:$T$35,Summary!K103,Summary!L103)</f>
        <v>5454946.4341184748</v>
      </c>
      <c r="I103" s="20" cm="1">
        <f t="array" ref="I103">INDEX(DualFuelCM!$E$28:$T$35,Summary!K103,Summary!L103)</f>
        <v>8174414.5991093181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MarinusSnowyYallourn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1966981.3243338447</v>
      </c>
      <c r="H104" s="73" cm="1">
        <f t="array" ref="H104">INDEX(SwapSold!$E$28:$T$35,Summary!K104,Summary!L104)</f>
        <v>-148592.49884041652</v>
      </c>
      <c r="I104" s="20" cm="1">
        <f t="array" ref="I104">INDEX(DualFuelCM!$E$28:$T$35,Summary!K104,Summary!L104)</f>
        <v>7186079.15947646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MarinusSnowyYallourn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-2159960.03066881</v>
      </c>
      <c r="H105" s="73" cm="1">
        <f t="array" ref="H105">INDEX(SwapSold!$E$28:$T$35,Summary!K105,Summary!L105)</f>
        <v>-4808300.599894085</v>
      </c>
      <c r="I105" s="20" cm="1">
        <f t="array" ref="I105">INDEX(DualFuelCM!$E$28:$T$35,Summary!K105,Summary!L105)</f>
        <v>6029319.0462380964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MarinusSnowyYallourn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-7185166.4120985391</v>
      </c>
      <c r="H106" s="73" cm="1">
        <f t="array" ref="H106">INDEX(SwapSold!$E$28:$T$35,Summary!K106,Summary!L106)</f>
        <v>-10728215.182577154</v>
      </c>
      <c r="I106" s="20" cm="1">
        <f t="array" ref="I106">INDEX(DualFuelCM!$E$28:$T$35,Summary!K106,Summary!L106)</f>
        <v>4515631.3420114061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MarinusSnowyYallourn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-11220367.735248208</v>
      </c>
      <c r="H107" s="73" cm="1">
        <f t="array" ref="H107">INDEX(SwapSold!$E$28:$T$35,Summary!K107,Summary!L107)</f>
        <v>-24280848.011854909</v>
      </c>
      <c r="I107" s="20" cm="1">
        <f t="array" ref="I107">INDEX(DualFuelCM!$E$28:$T$35,Summary!K107,Summary!L107)</f>
        <v>2888770.3838535636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MarinusSnowyYallourn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1343909.9244241479</v>
      </c>
      <c r="H108" s="73" cm="1">
        <f t="array" ref="H108">INDEX(SwapSold!$E$28:$T$35,Summary!K108,Summary!L108)</f>
        <v>448760.12615043699</v>
      </c>
      <c r="I108" s="20" cm="1">
        <f t="array" ref="I108">INDEX(DualFuelCM!$E$28:$T$35,Summary!K108,Summary!L108)</f>
        <v>7114110.3226529704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MarinusSnowyYallourn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15716901.963889744</v>
      </c>
      <c r="H109" s="73" cm="1">
        <f t="array" ref="H109">INDEX(SwapSold!$E$28:$T$35,Summary!K109,Summary!L109)</f>
        <v>28365654.470233768</v>
      </c>
      <c r="I109" s="20" cm="1">
        <f t="array" ref="I109">INDEX(DualFuelCM!$E$28:$T$35,Summary!K109,Summary!L109)</f>
        <v>13174072.328040201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MarinusSnowyYallourn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6934097.1145695476</v>
      </c>
      <c r="H110" s="73" cm="1">
        <f t="array" ref="H110">INDEX(SwapSold!$E$28:$T$35,Summary!K110,Summary!L110)</f>
        <v>15651467.372475026</v>
      </c>
      <c r="I110" s="20" cm="1">
        <f t="array" ref="I110">INDEX(DualFuelCM!$E$28:$T$35,Summary!K110,Summary!L110)</f>
        <v>9484967.0903504491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MarinusSnowyYallourn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4341984.449229572</v>
      </c>
      <c r="H111" s="73" cm="1">
        <f t="array" ref="H111">INDEX(SwapSold!$E$28:$T$35,Summary!K111,Summary!L111)</f>
        <v>6020051.0993485516</v>
      </c>
      <c r="I111" s="20" cm="1">
        <f t="array" ref="I111">INDEX(DualFuelCM!$E$28:$T$35,Summary!K111,Summary!L111)</f>
        <v>8216563.6153750448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MarinusSnowyYallourn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1773963.765345963</v>
      </c>
      <c r="H112" s="73" cm="1">
        <f t="array" ref="H112">INDEX(SwapSold!$E$28:$T$35,Summary!K112,Summary!L112)</f>
        <v>-136901.15844681405</v>
      </c>
      <c r="I112" s="20" cm="1">
        <f t="array" ref="I112">INDEX(DualFuelCM!$E$28:$T$35,Summary!K112,Summary!L112)</f>
        <v>7317971.7846809132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MarinusSnowyYallourn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-3188705.9654844566</v>
      </c>
      <c r="H113" s="73" cm="1">
        <f t="array" ref="H113">INDEX(SwapSold!$E$28:$T$35,Summary!K113,Summary!L113)</f>
        <v>-4420220.0084338496</v>
      </c>
      <c r="I113" s="20" cm="1">
        <f t="array" ref="I113">INDEX(DualFuelCM!$E$28:$T$35,Summary!K113,Summary!L113)</f>
        <v>5994683.2118304949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MarinusSnowyYallourn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-9707664.7343042735</v>
      </c>
      <c r="H114" s="73" cm="1">
        <f t="array" ref="H114">INDEX(SwapSold!$E$28:$T$35,Summary!K114,Summary!L114)</f>
        <v>-9589629.2172285765</v>
      </c>
      <c r="I114" s="20" cm="1">
        <f t="array" ref="I114">INDEX(DualFuelCM!$E$28:$T$35,Summary!K114,Summary!L114)</f>
        <v>4211905.038758181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MarinusSnowyYallourn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-13173363.950045982</v>
      </c>
      <c r="H115" s="73" cm="1">
        <f t="array" ref="H115">INDEX(SwapSold!$E$28:$T$35,Summary!K115,Summary!L115)</f>
        <v>-23591294.374074675</v>
      </c>
      <c r="I115" s="20" cm="1">
        <f t="array" ref="I115">INDEX(DualFuelCM!$E$28:$T$35,Summary!K115,Summary!L115)</f>
        <v>2689222.7830751156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MarinusSnowyYallourn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367625.91581403313</v>
      </c>
      <c r="H116" s="73" cm="1">
        <f t="array" ref="H116">INDEX(SwapSold!$E$28:$T$35,Summary!K116,Summary!L116)</f>
        <v>1150968.1735545576</v>
      </c>
      <c r="I116" s="20" cm="1">
        <f t="array" ref="I116">INDEX(DualFuelCM!$E$28:$T$35,Summary!K116,Summary!L116)</f>
        <v>7093361.6933861952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MarinusSnowyYallourn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17875575.947479371</v>
      </c>
      <c r="H117" s="73" cm="1">
        <f t="array" ref="H117">INDEX(SwapSold!$E$28:$T$35,Summary!K117,Summary!L117)</f>
        <v>28683052.318568029</v>
      </c>
      <c r="I117" s="20" cm="1">
        <f t="array" ref="I117">INDEX(DualFuelCM!$E$28:$T$35,Summary!K117,Summary!L117)</f>
        <v>14016058.137469009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MarinusSnowyYallourn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8626862.6573712379</v>
      </c>
      <c r="H118" s="73" cm="1">
        <f t="array" ref="H118">INDEX(SwapSold!$E$28:$T$35,Summary!K118,Summary!L118)</f>
        <v>17465619.778613839</v>
      </c>
      <c r="I118" s="20" cm="1">
        <f t="array" ref="I118">INDEX(DualFuelCM!$E$28:$T$35,Summary!K118,Summary!L118)</f>
        <v>10050625.826251255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MarinusSnowyYallourn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6827473.3529346166</v>
      </c>
      <c r="H119" s="73" cm="1">
        <f t="array" ref="H119">INDEX(SwapSold!$E$28:$T$35,Summary!K119,Summary!L119)</f>
        <v>6892693.0949986242</v>
      </c>
      <c r="I119" s="20" cm="1">
        <f t="array" ref="I119">INDEX(DualFuelCM!$E$28:$T$35,Summary!K119,Summary!L119)</f>
        <v>8909710.9004717059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MarinusSnowyYallourn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4498067.7678679843</v>
      </c>
      <c r="H120" s="73" cm="1">
        <f t="array" ref="H120">INDEX(SwapSold!$E$28:$T$35,Summary!K120,Summary!L120)</f>
        <v>-38278.996746259538</v>
      </c>
      <c r="I120" s="20" cm="1">
        <f t="array" ref="I120">INDEX(DualFuelCM!$E$28:$T$35,Summary!K120,Summary!L120)</f>
        <v>8024548.3341717217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MarinusSnowyYallourn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-1508892.3548298583</v>
      </c>
      <c r="H121" s="73" cm="1">
        <f t="array" ref="H121">INDEX(SwapSold!$E$28:$T$35,Summary!K121,Summary!L121)</f>
        <v>-4135919.6339685889</v>
      </c>
      <c r="I121" s="20" cm="1">
        <f t="array" ref="I121">INDEX(DualFuelCM!$E$28:$T$35,Summary!K121,Summary!L121)</f>
        <v>6478970.1612971658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MarinusSnowyYallourn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-9172255.2525620945</v>
      </c>
      <c r="H122" s="73" cm="1">
        <f t="array" ref="H122">INDEX(SwapSold!$E$28:$T$35,Summary!K122,Summary!L122)</f>
        <v>-8328603.4907339429</v>
      </c>
      <c r="I122" s="20" cm="1">
        <f t="array" ref="I122">INDEX(DualFuelCM!$E$28:$T$35,Summary!K122,Summary!L122)</f>
        <v>4459664.6136213439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MarinusSnowyYallourn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-13192398.134270061</v>
      </c>
      <c r="H123" s="73" cm="1">
        <f t="array" ref="H123">INDEX(SwapSold!$E$28:$T$35,Summary!K123,Summary!L123)</f>
        <v>-20121971.610071175</v>
      </c>
      <c r="I123" s="20" cm="1">
        <f t="array" ref="I123">INDEX(DualFuelCM!$E$28:$T$35,Summary!K123,Summary!L123)</f>
        <v>2802178.2760685617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MarinusSnowyYallourn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2342227.3074538447</v>
      </c>
      <c r="H124" s="73" cm="1">
        <f t="array" ref="H124">INDEX(SwapSold!$E$28:$T$35,Summary!K124,Summary!L124)</f>
        <v>1878773.120948608</v>
      </c>
      <c r="I124" s="20" cm="1">
        <f t="array" ref="I124">INDEX(DualFuelCM!$E$28:$T$35,Summary!K124,Summary!L124)</f>
        <v>7664715.2425814336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MarinusSnowyYallourn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15250655.251416072</v>
      </c>
      <c r="H125" s="73" cm="1">
        <f t="array" ref="H125">INDEX(SwapSold!$E$28:$T$35,Summary!K125,Summary!L125)</f>
        <v>33004720.956780382</v>
      </c>
      <c r="I125" s="20" cm="1">
        <f t="array" ref="I125">INDEX(DualFuelCM!$E$28:$T$35,Summary!K125,Summary!L125)</f>
        <v>13657666.763784265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MarinusSnowyYallourn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7607636.5542755835</v>
      </c>
      <c r="H126" s="73" cm="1">
        <f t="array" ref="H126">INDEX(SwapSold!$E$28:$T$35,Summary!K126,Summary!L126)</f>
        <v>18753488.184826121</v>
      </c>
      <c r="I126" s="20" cm="1">
        <f t="array" ref="I126">INDEX(DualFuelCM!$E$28:$T$35,Summary!K126,Summary!L126)</f>
        <v>10033602.003555665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MarinusSnowyYallourn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5768308.2970377356</v>
      </c>
      <c r="H127" s="73" cm="1">
        <f t="array" ref="H127">INDEX(SwapSold!$E$28:$T$35,Summary!K127,Summary!L127)</f>
        <v>7249641.4859413961</v>
      </c>
      <c r="I127" s="20" cm="1">
        <f t="array" ref="I127">INDEX(DualFuelCM!$E$28:$T$35,Summary!K127,Summary!L127)</f>
        <v>8881220.5774388239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MarinusSnowyYallourn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3320850.586539072</v>
      </c>
      <c r="H128" s="73" cm="1">
        <f t="array" ref="H128">INDEX(SwapSold!$E$28:$T$35,Summary!K128,Summary!L128)</f>
        <v>-176884.73054303849</v>
      </c>
      <c r="I128" s="20" cm="1">
        <f t="array" ref="I128">INDEX(DualFuelCM!$E$28:$T$35,Summary!K128,Summary!L128)</f>
        <v>7974145.6710231956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MarinusSnowyYallourn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-3070802.367702004</v>
      </c>
      <c r="H129" s="73" cm="1">
        <f t="array" ref="H129">INDEX(SwapSold!$E$28:$T$35,Summary!K129,Summary!L129)</f>
        <v>-4583408.8187531037</v>
      </c>
      <c r="I129" s="20" cm="1">
        <f t="array" ref="I129">INDEX(DualFuelCM!$E$28:$T$35,Summary!K129,Summary!L129)</f>
        <v>6351191.7204798386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MarinusSnowyYallourn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-11236875.037547985</v>
      </c>
      <c r="H130" s="73" cm="1">
        <f t="array" ref="H130">INDEX(SwapSold!$E$28:$T$35,Summary!K130,Summary!L130)</f>
        <v>-9102550.6434056032</v>
      </c>
      <c r="I130" s="20" cm="1">
        <f t="array" ref="I130">INDEX(DualFuelCM!$E$28:$T$35,Summary!K130,Summary!L130)</f>
        <v>4240231.8802668694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MarinusSnowyYallourn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-15712078.242718162</v>
      </c>
      <c r="H131" s="73" cm="1">
        <f t="array" ref="H131">INDEX(SwapSold!$E$28:$T$35,Summary!K131,Summary!L131)</f>
        <v>-23860562.169021141</v>
      </c>
      <c r="I131" s="20" cm="1">
        <f t="array" ref="I131">INDEX(DualFuelCM!$E$28:$T$35,Summary!K131,Summary!L131)</f>
        <v>2583285.5637524468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MarinusSnowyYallourn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990418.65420870378</v>
      </c>
      <c r="H132" s="73" cm="1">
        <f t="array" ref="H132">INDEX(SwapSold!$E$28:$T$35,Summary!K132,Summary!L132)</f>
        <v>1911472.4626470872</v>
      </c>
      <c r="I132" s="20" cm="1">
        <f t="array" ref="I132">INDEX(DualFuelCM!$E$28:$T$35,Summary!K132,Summary!L132)</f>
        <v>7573432.1183162853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MarinusSnowyYallourn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10540206.020953761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MarinusSnowyYallourn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4722167.6592375943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MarinusSnowyYallourn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2017122.5657024563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MarinusSnowyYallourn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132.20129058144181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MarinusSnowyYallourn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-2272600.1174960025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MarinusSnowyYallourn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-5607118.7421609182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MarinusSnowyYallourn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-13164153.597292095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MarinusSnowyYallourn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-175137.67494567842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MarinusSnowyYallourn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28566039.744818877</v>
      </c>
      <c r="H141" s="73" cm="1">
        <f t="array" ref="H141">INDEX(SwapSold!$E$28:$T$35,Summary!K141,Summary!L141)</f>
        <v>15253004.398026532</v>
      </c>
      <c r="I141" s="20" cm="1">
        <f t="array" ref="I141">INDEX('2hBatteryCM'!$E$28:$T$35,Summary!K141,Summary!L141)</f>
        <v>10650281.083637893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MarinusSnowyYallourn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20053397.867657121</v>
      </c>
      <c r="H142" s="73" cm="1">
        <f t="array" ref="H142">INDEX(SwapSold!$E$28:$T$35,Summary!K142,Summary!L142)</f>
        <v>6477750.6215578029</v>
      </c>
      <c r="I142" s="20" cm="1">
        <f t="array" ref="I142">INDEX('2hBatteryCM'!$E$28:$T$35,Summary!K142,Summary!L142)</f>
        <v>7794660.0205758605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MarinusSnowyYallourn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13614829.827161105</v>
      </c>
      <c r="H143" s="73" cm="1">
        <f t="array" ref="H143">INDEX(SwapSold!$E$28:$T$35,Summary!K143,Summary!L143)</f>
        <v>2773105.6199381454</v>
      </c>
      <c r="I143" s="20" cm="1">
        <f t="array" ref="I143">INDEX('2hBatteryCM'!$E$28:$T$35,Summary!K143,Summary!L143)</f>
        <v>6434219.2965804795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MarinusSnowyYallourn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8293069.7662406433</v>
      </c>
      <c r="H144" s="73" cm="1">
        <f t="array" ref="H144">INDEX(SwapSold!$E$28:$T$35,Summary!K144,Summary!L144)</f>
        <v>0</v>
      </c>
      <c r="I144" s="20" cm="1">
        <f t="array" ref="I144">INDEX('2hBatteryCM'!$E$28:$T$35,Summary!K144,Summary!L144)</f>
        <v>5596920.5402043713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MarinusSnowyYallourn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6033638.4153489191</v>
      </c>
      <c r="H145" s="73" cm="1">
        <f t="array" ref="H145">INDEX(SwapSold!$E$28:$T$35,Summary!K145,Summary!L145)</f>
        <v>-3154816.34706754</v>
      </c>
      <c r="I145" s="20" cm="1">
        <f t="array" ref="I145">INDEX('2hBatteryCM'!$E$28:$T$35,Summary!K145,Summary!L145)</f>
        <v>4776887.8670569919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MarinusSnowyYallourn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2223356.5953277797</v>
      </c>
      <c r="H146" s="73" cm="1">
        <f t="array" ref="H146">INDEX(SwapSold!$E$28:$T$35,Summary!K146,Summary!L146)</f>
        <v>-7690427.784052995</v>
      </c>
      <c r="I146" s="20" cm="1">
        <f t="array" ref="I146">INDEX('2hBatteryCM'!$E$28:$T$35,Summary!K146,Summary!L146)</f>
        <v>3828053.3807629962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MarinusSnowyYallourn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-2760843.3567973408</v>
      </c>
      <c r="H147" s="73" cm="1">
        <f t="array" ref="H147">INDEX(SwapSold!$E$28:$T$35,Summary!K147,Summary!L147)</f>
        <v>-19888842.00727658</v>
      </c>
      <c r="I147" s="20" cm="1">
        <f t="array" ref="I147">INDEX('2hBatteryCM'!$E$28:$T$35,Summary!K147,Summary!L147)</f>
        <v>1979152.4070384912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MarinusSnowyYallourn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9916997.1262300704</v>
      </c>
      <c r="H148" s="73" cm="1">
        <f t="array" ref="H148">INDEX(SwapSold!$E$28:$T$35,Summary!K148,Summary!L148)</f>
        <v>-249854.07067801958</v>
      </c>
      <c r="I148" s="20" cm="1">
        <f t="array" ref="I148">INDEX('2hBatteryCM'!$E$28:$T$35,Summary!K148,Summary!L148)</f>
        <v>5665317.9589178516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MarinusSnowyYallourn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19179000.014053375</v>
      </c>
      <c r="H149" s="73" cm="1">
        <f t="array" ref="H149">INDEX(SwapSold!$E$28:$T$35,Summary!K149,Summary!L149)</f>
        <v>14381809.96556133</v>
      </c>
      <c r="I149" s="20" cm="1">
        <f t="array" ref="I149">INDEX('2hBatteryCM'!$E$28:$T$35,Summary!K149,Summary!L149)</f>
        <v>10617786.395739466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MarinusSnowyYallourn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12814810.71424228</v>
      </c>
      <c r="H150" s="73" cm="1">
        <f t="array" ref="H150">INDEX(SwapSold!$E$28:$T$35,Summary!K150,Summary!L150)</f>
        <v>6755643.9382960051</v>
      </c>
      <c r="I150" s="20" cm="1">
        <f t="array" ref="I150">INDEX('2hBatteryCM'!$E$28:$T$35,Summary!K150,Summary!L150)</f>
        <v>7730988.8790378468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MarinusSnowyYallourn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7218284.8792932946</v>
      </c>
      <c r="H151" s="73" cm="1">
        <f t="array" ref="H151">INDEX(SwapSold!$E$28:$T$35,Summary!K151,Summary!L151)</f>
        <v>2911048.3722078446</v>
      </c>
      <c r="I151" s="20" cm="1">
        <f t="array" ref="I151">INDEX('2hBatteryCM'!$E$28:$T$35,Summary!K151,Summary!L151)</f>
        <v>6388341.4487166665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MarinusSnowyYallourn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3378289.3586946107</v>
      </c>
      <c r="H152" s="73" cm="1">
        <f t="array" ref="H152">INDEX(SwapSold!$E$28:$T$35,Summary!K152,Summary!L152)</f>
        <v>-1.56035184772918E-9</v>
      </c>
      <c r="I152" s="20" cm="1">
        <f t="array" ref="I152">INDEX('2hBatteryCM'!$E$28:$T$35,Summary!K152,Summary!L152)</f>
        <v>5521884.1697053621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MarinusSnowyYallourn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893047.68047220027</v>
      </c>
      <c r="H153" s="73" cm="1">
        <f t="array" ref="H153">INDEX(SwapSold!$E$28:$T$35,Summary!K153,Summary!L153)</f>
        <v>-2976573.9344068612</v>
      </c>
      <c r="I153" s="20" cm="1">
        <f t="array" ref="I153">INDEX('2hBatteryCM'!$E$28:$T$35,Summary!K153,Summary!L153)</f>
        <v>4709052.5751487203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MarinusSnowyYallourn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-2209087.8546852884</v>
      </c>
      <c r="H154" s="73" cm="1">
        <f t="array" ref="H154">INDEX(SwapSold!$E$28:$T$35,Summary!K154,Summary!L154)</f>
        <v>-7426189.0883540092</v>
      </c>
      <c r="I154" s="20" cm="1">
        <f t="array" ref="I154">INDEX('2hBatteryCM'!$E$28:$T$35,Summary!K154,Summary!L154)</f>
        <v>3733560.4951521391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MarinusSnowyYallourn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-6993263.6765145119</v>
      </c>
      <c r="H155" s="73" cm="1">
        <f t="array" ref="H155">INDEX(SwapSold!$E$28:$T$35,Summary!K155,Summary!L155)</f>
        <v>-14909304.262246892</v>
      </c>
      <c r="I155" s="20" cm="1">
        <f t="array" ref="I155">INDEX('2hBatteryCM'!$E$28:$T$35,Summary!K155,Summary!L155)</f>
        <v>2192743.3980308427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MarinusSnowyYallourn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4220054.735712192</v>
      </c>
      <c r="H156" s="73" cm="1">
        <f t="array" ref="H156">INDEX(SwapSold!$E$28:$T$35,Summary!K156,Summary!L156)</f>
        <v>-128717.87681351135</v>
      </c>
      <c r="I156" s="20" cm="1">
        <f t="array" ref="I156">INDEX('2hBatteryCM'!$E$28:$T$35,Summary!K156,Summary!L156)</f>
        <v>5593784.7715639081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MarinusSnowyYallourn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17868473.066819534</v>
      </c>
      <c r="H157" s="73" cm="1">
        <f t="array" ref="H157">INDEX(SwapSold!$E$28:$T$35,Summary!K157,Summary!L157)</f>
        <v>14547884.998023611</v>
      </c>
      <c r="I157" s="20" cm="1">
        <f t="array" ref="I157">INDEX('2hBatteryCM'!$E$28:$T$35,Summary!K157,Summary!L157)</f>
        <v>10112512.361588769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MarinusSnowyYallourn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9961058.1589274127</v>
      </c>
      <c r="H158" s="73" cm="1">
        <f t="array" ref="H158">INDEX(SwapSold!$E$28:$T$35,Summary!K158,Summary!L158)</f>
        <v>6877624.7527218703</v>
      </c>
      <c r="I158" s="20" cm="1">
        <f t="array" ref="I158">INDEX('2hBatteryCM'!$E$28:$T$35,Summary!K158,Summary!L158)</f>
        <v>7582628.637416508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MarinusSnowyYallourn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4539891.0110584283</v>
      </c>
      <c r="H159" s="73" cm="1">
        <f t="array" ref="H159">INDEX(SwapSold!$E$28:$T$35,Summary!K159,Summary!L159)</f>
        <v>2810417.7180092465</v>
      </c>
      <c r="I159" s="20" cm="1">
        <f t="array" ref="I159">INDEX('2hBatteryCM'!$E$28:$T$35,Summary!K159,Summary!L159)</f>
        <v>6284817.0020929715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MarinusSnowyYallourn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1430178.1618219099</v>
      </c>
      <c r="H160" s="73" cm="1">
        <f t="array" ref="H160">INDEX(SwapSold!$E$28:$T$35,Summary!K160,Summary!L160)</f>
        <v>-3.1121771826292388E-9</v>
      </c>
      <c r="I160" s="20" cm="1">
        <f t="array" ref="I160">INDEX('2hBatteryCM'!$E$28:$T$35,Summary!K160,Summary!L160)</f>
        <v>5419108.4553625397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MarinusSnowyYallourn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-843059.41301123507</v>
      </c>
      <c r="H161" s="73" cm="1">
        <f t="array" ref="H161">INDEX(SwapSold!$E$28:$T$35,Summary!K161,Summary!L161)</f>
        <v>-2876219.7823106181</v>
      </c>
      <c r="I161" s="20" cm="1">
        <f t="array" ref="I161">INDEX('2hBatteryCM'!$E$28:$T$35,Summary!K161,Summary!L161)</f>
        <v>4639143.5103227599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MarinusSnowyYallourn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-4303959.8452489674</v>
      </c>
      <c r="H162" s="73" cm="1">
        <f t="array" ref="H162">INDEX(SwapSold!$E$28:$T$35,Summary!K162,Summary!L162)</f>
        <v>-7138066.7502449034</v>
      </c>
      <c r="I162" s="20" cm="1">
        <f t="array" ref="I162">INDEX('2hBatteryCM'!$E$28:$T$35,Summary!K162,Summary!L162)</f>
        <v>3651200.1407092484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MarinusSnowyYallourn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-7141502.280683673</v>
      </c>
      <c r="H163" s="73" cm="1">
        <f t="array" ref="H163">INDEX(SwapSold!$E$28:$T$35,Summary!K163,Summary!L163)</f>
        <v>-19325724.003520742</v>
      </c>
      <c r="I163" s="20" cm="1">
        <f t="array" ref="I163">INDEX('2hBatteryCM'!$E$28:$T$35,Summary!K163,Summary!L163)</f>
        <v>2159918.1377168777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MarinusSnowyYallourn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2005155.8076344277</v>
      </c>
      <c r="H164" s="73" cm="1">
        <f t="array" ref="H164">INDEX(SwapSold!$E$28:$T$35,Summary!K164,Summary!L164)</f>
        <v>-58410.208585393229</v>
      </c>
      <c r="I164" s="20" cm="1">
        <f t="array" ref="I164">INDEX('2hBatteryCM'!$E$28:$T$35,Summary!K164,Summary!L164)</f>
        <v>5499557.3860034766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MarinusSnowyYallourn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20198920.864350058</v>
      </c>
      <c r="H165" s="73" cm="1">
        <f t="array" ref="H165">INDEX(SwapSold!$E$28:$T$35,Summary!K165,Summary!L165)</f>
        <v>17158321.763590675</v>
      </c>
      <c r="I165" s="20" cm="1">
        <f t="array" ref="I165">INDEX('2hBatteryCM'!$E$28:$T$35,Summary!K165,Summary!L165)</f>
        <v>11744882.487899832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MarinusSnowyYallourn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11532909.938074911</v>
      </c>
      <c r="H166" s="73" cm="1">
        <f t="array" ref="H166">INDEX(SwapSold!$E$28:$T$35,Summary!K166,Summary!L166)</f>
        <v>8170604.4892602935</v>
      </c>
      <c r="I166" s="20" cm="1">
        <f t="array" ref="I166">INDEX('2hBatteryCM'!$E$28:$T$35,Summary!K166,Summary!L166)</f>
        <v>8871827.042916378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MarinusSnowyYallourn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6326278.8234031145</v>
      </c>
      <c r="H167" s="73" cm="1">
        <f t="array" ref="H167">INDEX(SwapSold!$E$28:$T$35,Summary!K167,Summary!L167)</f>
        <v>3504084.1817488866</v>
      </c>
      <c r="I167" s="20" cm="1">
        <f t="array" ref="I167">INDEX('2hBatteryCM'!$E$28:$T$35,Summary!K167,Summary!L167)</f>
        <v>7335949.4857760295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MarinusSnowyYallourn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2732337.2261213772</v>
      </c>
      <c r="H168" s="73" cm="1">
        <f t="array" ref="H168">INDEX(SwapSold!$E$28:$T$35,Summary!K168,Summary!L168)</f>
        <v>27083.316420366289</v>
      </c>
      <c r="I168" s="20" cm="1">
        <f t="array" ref="I168">INDEX('2hBatteryCM'!$E$28:$T$35,Summary!K168,Summary!L168)</f>
        <v>6246073.412937589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MarinusSnowyYallourn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-208190.00192690329</v>
      </c>
      <c r="H169" s="73" cm="1">
        <f t="array" ref="H169">INDEX(SwapSold!$E$28:$T$35,Summary!K169,Summary!L169)</f>
        <v>-3677296.1276530507</v>
      </c>
      <c r="I169" s="20" cm="1">
        <f t="array" ref="I169">INDEX('2hBatteryCM'!$E$28:$T$35,Summary!K169,Summary!L169)</f>
        <v>5218937.646146331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MarinusSnowyYallourn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-2207695.911829025</v>
      </c>
      <c r="H170" s="73" cm="1">
        <f t="array" ref="H170">INDEX(SwapSold!$E$28:$T$35,Summary!K170,Summary!L170)</f>
        <v>-9138809.434814861</v>
      </c>
      <c r="I170" s="20" cm="1">
        <f t="array" ref="I170">INDEX('2hBatteryCM'!$E$28:$T$35,Summary!K170,Summary!L170)</f>
        <v>4051617.0510973381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MarinusSnowyYallourn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-6348354.2618838204</v>
      </c>
      <c r="H171" s="73" cm="1">
        <f t="array" ref="H171">INDEX(SwapSold!$E$28:$T$35,Summary!K171,Summary!L171)</f>
        <v>-20871535.727644667</v>
      </c>
      <c r="I171" s="20" cm="1">
        <f t="array" ref="I171">INDEX('2hBatteryCM'!$E$28:$T$35,Summary!K171,Summary!L171)</f>
        <v>2047526.0539877163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MarinusSnowyYallourn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3343446.761955407</v>
      </c>
      <c r="H172" s="73" cm="1">
        <f t="array" ref="H172">INDEX(SwapSold!$E$28:$T$35,Summary!K172,Summary!L172)</f>
        <v>-172301.21338519297</v>
      </c>
      <c r="I172" s="20" cm="1">
        <f t="array" ref="I172">INDEX('2hBatteryCM'!$E$28:$T$35,Summary!K172,Summary!L172)</f>
        <v>6325319.5014899122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MarinusSnowyYallourn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19936177.535937529</v>
      </c>
      <c r="H173" s="73" cm="1">
        <f t="array" ref="H173">INDEX(SwapSold!$E$28:$T$35,Summary!K173,Summary!L173)</f>
        <v>19370366.381308161</v>
      </c>
      <c r="I173" s="20" cm="1">
        <f t="array" ref="I173">INDEX('2hBatteryCM'!$E$28:$T$35,Summary!K173,Summary!L173)</f>
        <v>12798638.644403562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MarinusSnowyYallourn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10758120.660301276</v>
      </c>
      <c r="H174" s="73" cm="1">
        <f t="array" ref="H174">INDEX(SwapSold!$E$28:$T$35,Summary!K174,Summary!L174)</f>
        <v>8109177.2219690382</v>
      </c>
      <c r="I174" s="20" cm="1">
        <f t="array" ref="I174">INDEX('2hBatteryCM'!$E$28:$T$35,Summary!K174,Summary!L174)</f>
        <v>9235810.3453103136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MarinusSnowyYallourn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5754159.7703516325</v>
      </c>
      <c r="H175" s="73" cm="1">
        <f t="array" ref="H175">INDEX(SwapSold!$E$28:$T$35,Summary!K175,Summary!L175)</f>
        <v>3561587.6810876536</v>
      </c>
      <c r="I175" s="20" cm="1">
        <f t="array" ref="I175">INDEX('2hBatteryCM'!$E$28:$T$35,Summary!K175,Summary!L175)</f>
        <v>7742566.1249687411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MarinusSnowyYallourn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2360271.5198300397</v>
      </c>
      <c r="H176" s="73" cm="1">
        <f t="array" ref="H176">INDEX(SwapSold!$E$28:$T$35,Summary!K176,Summary!L176)</f>
        <v>11541.683076716452</v>
      </c>
      <c r="I176" s="20" cm="1">
        <f t="array" ref="I176">INDEX('2hBatteryCM'!$E$28:$T$35,Summary!K176,Summary!L176)</f>
        <v>6646740.812319288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MarinusSnowyYallourn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-176601.45051009255</v>
      </c>
      <c r="H177" s="73" cm="1">
        <f t="array" ref="H177">INDEX(SwapSold!$E$28:$T$35,Summary!K177,Summary!L177)</f>
        <v>-3705612.4305649069</v>
      </c>
      <c r="I177" s="20" cm="1">
        <f t="array" ref="I177">INDEX('2hBatteryCM'!$E$28:$T$35,Summary!K177,Summary!L177)</f>
        <v>5561207.8535117395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MarinusSnowyYallourn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-2794438.0940456348</v>
      </c>
      <c r="H178" s="73" cm="1">
        <f t="array" ref="H178">INDEX(SwapSold!$E$28:$T$35,Summary!K178,Summary!L178)</f>
        <v>-9166105.6625097319</v>
      </c>
      <c r="I178" s="20" cm="1">
        <f t="array" ref="I178">INDEX('2hBatteryCM'!$E$28:$T$35,Summary!K178,Summary!L178)</f>
        <v>4285323.2526687356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MarinusSnowyYallourn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-7214547.3325086534</v>
      </c>
      <c r="H179" s="73" cm="1">
        <f t="array" ref="H179">INDEX(SwapSold!$E$28:$T$35,Summary!K179,Summary!L179)</f>
        <v>-23487418.960461278</v>
      </c>
      <c r="I179" s="20" cm="1">
        <f t="array" ref="I179">INDEX('2hBatteryCM'!$E$28:$T$35,Summary!K179,Summary!L179)</f>
        <v>2549108.4900179543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MarinusSnowyYallourn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2991995.7434511348</v>
      </c>
      <c r="H180" s="73" cm="1">
        <f t="array" ref="H180">INDEX(SwapSold!$E$28:$T$35,Summary!K180,Summary!L180)</f>
        <v>-193986.03031462731</v>
      </c>
      <c r="I180" s="20" cm="1">
        <f t="array" ref="I180">INDEX('2hBatteryCM'!$E$28:$T$35,Summary!K180,Summary!L180)</f>
        <v>6688749.8381187338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MarinusSnowyYallourn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15337436.277853223</v>
      </c>
      <c r="H181" s="73" cm="1">
        <f t="array" ref="H181">INDEX(SwapSold!$E$28:$T$35,Summary!K181,Summary!L181)</f>
        <v>14221035.56204363</v>
      </c>
      <c r="I181" s="20" cm="1">
        <f t="array" ref="I181">INDEX('2hBatteryCM'!$E$28:$T$35,Summary!K181,Summary!L181)</f>
        <v>11933699.706052229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MarinusSnowyYallourn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8057175.3353429055</v>
      </c>
      <c r="H182" s="73" cm="1">
        <f t="array" ref="H182">INDEX(SwapSold!$E$28:$T$35,Summary!K182,Summary!L182)</f>
        <v>7592376.3458224116</v>
      </c>
      <c r="I182" s="20" cm="1">
        <f t="array" ref="I182">INDEX('2hBatteryCM'!$E$28:$T$35,Summary!K182,Summary!L182)</f>
        <v>8926719.969687812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MarinusSnowyYallourn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3445083.0533897723</v>
      </c>
      <c r="H183" s="73" cm="1">
        <f t="array" ref="H183">INDEX(SwapSold!$E$28:$T$35,Summary!K183,Summary!L183)</f>
        <v>3276866.7078235806</v>
      </c>
      <c r="I183" s="20" cm="1">
        <f t="array" ref="I183">INDEX('2hBatteryCM'!$E$28:$T$35,Summary!K183,Summary!L183)</f>
        <v>7577961.3462033384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MarinusSnowyYallourn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450112.74974998517</v>
      </c>
      <c r="H184" s="73" cm="1">
        <f t="array" ref="H184">INDEX(SwapSold!$E$28:$T$35,Summary!K184,Summary!L184)</f>
        <v>-27772.999075488253</v>
      </c>
      <c r="I184" s="20" cm="1">
        <f t="array" ref="I184">INDEX('2hBatteryCM'!$E$28:$T$35,Summary!K184,Summary!L184)</f>
        <v>6616196.422309109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MarinusSnowyYallourn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-2179699.6429688591</v>
      </c>
      <c r="H185" s="73" cm="1">
        <f t="array" ref="H185">INDEX(SwapSold!$E$28:$T$35,Summary!K185,Summary!L185)</f>
        <v>-3394980.4931397047</v>
      </c>
      <c r="I185" s="20" cm="1">
        <f t="array" ref="I185">INDEX('2hBatteryCM'!$E$28:$T$35,Summary!K185,Summary!L185)</f>
        <v>5584672.6784461662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MarinusSnowyYallourn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-5132296.1457995558</v>
      </c>
      <c r="H186" s="73" cm="1">
        <f t="array" ref="H186">INDEX(SwapSold!$E$28:$T$35,Summary!K186,Summary!L186)</f>
        <v>-8343238.3408088852</v>
      </c>
      <c r="I186" s="20" cm="1">
        <f t="array" ref="I186">INDEX('2hBatteryCM'!$E$28:$T$35,Summary!K186,Summary!L186)</f>
        <v>4297382.2928011306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MarinusSnowyYallourn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-8178576.4177831905</v>
      </c>
      <c r="H187" s="73" cm="1">
        <f t="array" ref="H187">INDEX(SwapSold!$E$28:$T$35,Summary!K187,Summary!L187)</f>
        <v>-18450240.935840726</v>
      </c>
      <c r="I187" s="20" cm="1">
        <f t="array" ref="I187">INDEX('2hBatteryCM'!$E$28:$T$35,Summary!K187,Summary!L187)</f>
        <v>2587441.805533912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MarinusSnowyYallourn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784223.32587714051</v>
      </c>
      <c r="H188" s="73" cm="1">
        <f t="array" ref="H188">INDEX(SwapSold!$E$28:$T$35,Summary!K188,Summary!L188)</f>
        <v>-147208.43296201312</v>
      </c>
      <c r="I188" s="20" cm="1">
        <f t="array" ref="I188">INDEX('2hBatteryCM'!$E$28:$T$35,Summary!K188,Summary!L188)</f>
        <v>6597857.2924654782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MarinusSnowyYallourn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19481992.949251581</v>
      </c>
      <c r="H189" s="73" cm="1">
        <f t="array" ref="H189">INDEX(SwapSold!$E$28:$T$35,Summary!K189,Summary!L189)</f>
        <v>17879230.161106072</v>
      </c>
      <c r="I189" s="20" cm="1">
        <f t="array" ref="I189">INDEX('2hBatteryCM'!$E$28:$T$35,Summary!K189,Summary!L189)</f>
        <v>11043997.343756523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MarinusSnowyYallourn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9423805.4455061052</v>
      </c>
      <c r="H190" s="73" cm="1">
        <f t="array" ref="H190">INDEX(SwapSold!$E$28:$T$35,Summary!K190,Summary!L190)</f>
        <v>8593534.1849986706</v>
      </c>
      <c r="I190" s="20" cm="1">
        <f t="array" ref="I190">INDEX('2hBatteryCM'!$E$28:$T$35,Summary!K190,Summary!L190)</f>
        <v>7340053.1085019363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MarinusSnowyYallourn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4093810.301794888</v>
      </c>
      <c r="H191" s="73" cm="1">
        <f t="array" ref="H191">INDEX(SwapSold!$E$28:$T$35,Summary!K191,Summary!L191)</f>
        <v>3535864.2631533323</v>
      </c>
      <c r="I191" s="20" cm="1">
        <f t="array" ref="I191">INDEX('2hBatteryCM'!$E$28:$T$35,Summary!K191,Summary!L191)</f>
        <v>6210147.8571997257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MarinusSnowyYallourn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1133246.753158882</v>
      </c>
      <c r="H192" s="73" cm="1">
        <f t="array" ref="H192">INDEX(SwapSold!$E$28:$T$35,Summary!K192,Summary!L192)</f>
        <v>-70834.814912686328</v>
      </c>
      <c r="I192" s="20" cm="1">
        <f t="array" ref="I192">INDEX('2hBatteryCM'!$E$28:$T$35,Summary!K192,Summary!L192)</f>
        <v>5435928.4203747734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MarinusSnowyYallourn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-1585438.3504815095</v>
      </c>
      <c r="H193" s="73" cm="1">
        <f t="array" ref="H193">INDEX(SwapSold!$E$28:$T$35,Summary!K193,Summary!L193)</f>
        <v>-3973680.7579729455</v>
      </c>
      <c r="I193" s="20" cm="1">
        <f t="array" ref="I193">INDEX('2hBatteryCM'!$E$28:$T$35,Summary!K193,Summary!L193)</f>
        <v>4663111.8737977147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MarinusSnowyYallourn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-4505686.4820962176</v>
      </c>
      <c r="H194" s="73" cm="1">
        <f t="array" ref="H194">INDEX(SwapSold!$E$28:$T$35,Summary!K194,Summary!L194)</f>
        <v>-9525859.4204131216</v>
      </c>
      <c r="I194" s="20" cm="1">
        <f t="array" ref="I194">INDEX('2hBatteryCM'!$E$28:$T$35,Summary!K194,Summary!L194)</f>
        <v>3594956.7985688788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MarinusSnowyYallourn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-9001497.1029015407</v>
      </c>
      <c r="H195" s="73" cm="1">
        <f t="array" ref="H195">INDEX(SwapSold!$E$28:$T$35,Summary!K195,Summary!L195)</f>
        <v>-23813077.388492238</v>
      </c>
      <c r="I195" s="20" cm="1">
        <f t="array" ref="I195">INDEX('2hBatteryCM'!$E$28:$T$35,Summary!K195,Summary!L195)</f>
        <v>1929529.2074062664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MarinusSnowyYallourn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1498541.0229353164</v>
      </c>
      <c r="H196" s="73" cm="1">
        <f t="array" ref="H196">INDEX(SwapSold!$E$28:$T$35,Summary!K196,Summary!L196)</f>
        <v>-242756.89329230093</v>
      </c>
      <c r="I196" s="20" cm="1">
        <f t="array" ref="I196">INDEX('2hBatteryCM'!$E$28:$T$35,Summary!K196,Summary!L196)</f>
        <v>5444398.9476834023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MarinusSnowyYallourn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17886255.53799111</v>
      </c>
      <c r="H197" s="73" cm="1">
        <f t="array" ref="H197">INDEX(SwapSold!$E$28:$T$35,Summary!K197,Summary!L197)</f>
        <v>17769100.087836351</v>
      </c>
      <c r="I197" s="20" cm="1">
        <f t="array" ref="I197">INDEX('2hBatteryCM'!$E$28:$T$35,Summary!K197,Summary!L197)</f>
        <v>9914103.5010068305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MarinusSnowyYallourn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9515582.5627922751</v>
      </c>
      <c r="H198" s="73" cm="1">
        <f t="array" ref="H198">INDEX(SwapSold!$E$28:$T$35,Summary!K198,Summary!L198)</f>
        <v>8463940.2541329153</v>
      </c>
      <c r="I198" s="20" cm="1">
        <f t="array" ref="I198">INDEX('2hBatteryCM'!$E$28:$T$35,Summary!K198,Summary!L198)</f>
        <v>7443778.3621890154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MarinusSnowyYallourn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4081392.8966298793</v>
      </c>
      <c r="H199" s="73" cm="1">
        <f t="array" ref="H199">INDEX(SwapSold!$E$28:$T$35,Summary!K199,Summary!L199)</f>
        <v>3697207.7828864548</v>
      </c>
      <c r="I199" s="20" cm="1">
        <f t="array" ref="I199">INDEX('2hBatteryCM'!$E$28:$T$35,Summary!K199,Summary!L199)</f>
        <v>6351675.534211833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MarinusSnowyYallourn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815233.20998466131</v>
      </c>
      <c r="H200" s="73" cm="1">
        <f t="array" ref="H200">INDEX(SwapSold!$E$28:$T$35,Summary!K200,Summary!L200)</f>
        <v>-94705.572252794387</v>
      </c>
      <c r="I200" s="20" cm="1">
        <f t="array" ref="I200">INDEX('2hBatteryCM'!$E$28:$T$35,Summary!K200,Summary!L200)</f>
        <v>5569058.5138342036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MarinusSnowyYallourn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-1869742.4435727561</v>
      </c>
      <c r="H201" s="73" cm="1">
        <f t="array" ref="H201">INDEX(SwapSold!$E$28:$T$35,Summary!K201,Summary!L201)</f>
        <v>-4159375.4052765872</v>
      </c>
      <c r="I201" s="20" cm="1">
        <f t="array" ref="I201">INDEX('2hBatteryCM'!$E$28:$T$35,Summary!K201,Summary!L201)</f>
        <v>4822113.9295829423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MarinusSnowyYallourn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-5227854.3334779413</v>
      </c>
      <c r="H202" s="73" cm="1">
        <f t="array" ref="H202">INDEX(SwapSold!$E$28:$T$35,Summary!K202,Summary!L202)</f>
        <v>-9973994.7347921915</v>
      </c>
      <c r="I202" s="20" cm="1">
        <f t="array" ref="I202">INDEX('2hBatteryCM'!$E$28:$T$35,Summary!K202,Summary!L202)</f>
        <v>3799984.2006349117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MarinusSnowyYallourn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-8758339.8664946537</v>
      </c>
      <c r="H203" s="73" cm="1">
        <f t="array" ref="H203">INDEX(SwapSold!$E$28:$T$35,Summary!K203,Summary!L203)</f>
        <v>-23743101.258855883</v>
      </c>
      <c r="I203" s="20" cm="1">
        <f t="array" ref="I203">INDEX('2hBatteryCM'!$E$28:$T$35,Summary!K203,Summary!L203)</f>
        <v>2411807.4817775534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MarinusSnowyYallourn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1288291.0283111529</v>
      </c>
      <c r="H204" s="73" cm="1">
        <f t="array" ref="H204">INDEX(SwapSold!$E$28:$T$35,Summary!K204,Summary!L204)</f>
        <v>-312888.5310985113</v>
      </c>
      <c r="I204" s="20" cm="1">
        <f t="array" ref="I204">INDEX('2hBatteryCM'!$E$28:$T$35,Summary!K204,Summary!L204)</f>
        <v>5592650.9795327811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MarinusSnowyYallourn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21222987.588811122</v>
      </c>
      <c r="H205" s="73" cm="1">
        <f t="array" ref="H205">INDEX(SwapSold!$E$28:$T$35,Summary!K205,Summary!L205)</f>
        <v>22494452.416533232</v>
      </c>
      <c r="I205" s="20" cm="1">
        <f t="array" ref="I205">INDEX('2hBatteryCM'!$E$28:$T$35,Summary!K205,Summary!L205)</f>
        <v>11803731.139664926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MarinusSnowyYallourn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9635499.1025566719</v>
      </c>
      <c r="H206" s="73" cm="1">
        <f t="array" ref="H206">INDEX(SwapSold!$E$28:$T$35,Summary!K206,Summary!L206)</f>
        <v>10667890.611103425</v>
      </c>
      <c r="I206" s="20" cm="1">
        <f t="array" ref="I206">INDEX('2hBatteryCM'!$E$28:$T$35,Summary!K206,Summary!L206)</f>
        <v>8609439.3055646736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MarinusSnowyYallourn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4604346.5847855303</v>
      </c>
      <c r="H207" s="73" cm="1">
        <f t="array" ref="H207">INDEX(SwapSold!$E$28:$T$35,Summary!K207,Summary!L207)</f>
        <v>4625156.8731956799</v>
      </c>
      <c r="I207" s="20" cm="1">
        <f t="array" ref="I207">INDEX('2hBatteryCM'!$E$28:$T$35,Summary!K207,Summary!L207)</f>
        <v>7340825.1317914594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MarinusSnowyYallourn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1123380.6811438939</v>
      </c>
      <c r="H208" s="73" cm="1">
        <f t="array" ref="H208">INDEX(SwapSold!$E$28:$T$35,Summary!K208,Summary!L208)</f>
        <v>-25182.659133829431</v>
      </c>
      <c r="I208" s="20" cm="1">
        <f t="array" ref="I208">INDEX('2hBatteryCM'!$E$28:$T$35,Summary!K208,Summary!L208)</f>
        <v>6396227.575091647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MarinusSnowyYallourn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-1804927.3843646443</v>
      </c>
      <c r="H209" s="73" cm="1">
        <f t="array" ref="H209">INDEX(SwapSold!$E$28:$T$35,Summary!K209,Summary!L209)</f>
        <v>-4965261.2896891618</v>
      </c>
      <c r="I209" s="20" cm="1">
        <f t="array" ref="I209">INDEX('2hBatteryCM'!$E$28:$T$35,Summary!K209,Summary!L209)</f>
        <v>5514336.0726751238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MarinusSnowyYallourn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-4880119.1157569261</v>
      </c>
      <c r="H210" s="73" cm="1">
        <f t="array" ref="H210">INDEX(SwapSold!$E$28:$T$35,Summary!K210,Summary!L210)</f>
        <v>-12618135.336670522</v>
      </c>
      <c r="I210" s="20" cm="1">
        <f t="array" ref="I210">INDEX('2hBatteryCM'!$E$28:$T$35,Summary!K210,Summary!L210)</f>
        <v>4462390.1368693886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MarinusSnowyYallourn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-8930676.1942317523</v>
      </c>
      <c r="H211" s="73" cm="1">
        <f t="array" ref="H211">INDEX(SwapSold!$E$28:$T$35,Summary!K211,Summary!L211)</f>
        <v>-27600906.15216627</v>
      </c>
      <c r="I211" s="20" cm="1">
        <f t="array" ref="I211">INDEX('2hBatteryCM'!$E$28:$T$35,Summary!K211,Summary!L211)</f>
        <v>2994680.3277070802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MarinusSnowyYallourn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1593983.8443763542</v>
      </c>
      <c r="H212" s="73" cm="1">
        <f t="array" ref="H212">INDEX(SwapSold!$E$28:$T$35,Summary!K212,Summary!L212)</f>
        <v>-342168.32124371844</v>
      </c>
      <c r="I212" s="20" cm="1">
        <f t="array" ref="I212">INDEX('2hBatteryCM'!$E$28:$T$35,Summary!K212,Summary!L212)</f>
        <v>6450068.5267374404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MarinusSnowyYallourn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15585977.455912219</v>
      </c>
      <c r="H213" s="73" cm="1">
        <f t="array" ref="H213">INDEX(SwapSold!$E$28:$T$35,Summary!K213,Summary!L213)</f>
        <v>20554596.565429717</v>
      </c>
      <c r="I213" s="20" cm="1">
        <f t="array" ref="I213">INDEX('2hBatteryCM'!$E$28:$T$35,Summary!K213,Summary!L213)</f>
        <v>10620356.818186473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MarinusSnowyYallourn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6236745.1591145787</v>
      </c>
      <c r="H214" s="73" cm="1">
        <f t="array" ref="H214">INDEX(SwapSold!$E$28:$T$35,Summary!K214,Summary!L214)</f>
        <v>10234960.421802163</v>
      </c>
      <c r="I214" s="20" cm="1">
        <f t="array" ref="I214">INDEX('2hBatteryCM'!$E$28:$T$35,Summary!K214,Summary!L214)</f>
        <v>7930341.8965279395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MarinusSnowyYallourn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1936866.5914465815</v>
      </c>
      <c r="H215" s="73" cm="1">
        <f t="array" ref="H215">INDEX(SwapSold!$E$28:$T$35,Summary!K215,Summary!L215)</f>
        <v>4307881.8001195546</v>
      </c>
      <c r="I215" s="20" cm="1">
        <f t="array" ref="I215">INDEX('2hBatteryCM'!$E$28:$T$35,Summary!K215,Summary!L215)</f>
        <v>6855232.8847647216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MarinusSnowyYallourn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-1257263.4575877923</v>
      </c>
      <c r="H216" s="73" cm="1">
        <f t="array" ref="H216">INDEX(SwapSold!$E$28:$T$35,Summary!K216,Summary!L216)</f>
        <v>-19520.313213970068</v>
      </c>
      <c r="I216" s="20" cm="1">
        <f t="array" ref="I216">INDEX('2hBatteryCM'!$E$28:$T$35,Summary!K216,Summary!L216)</f>
        <v>6014148.5532401586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MarinusSnowyYallourn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-4062355.4014722859</v>
      </c>
      <c r="H217" s="73" cm="1">
        <f t="array" ref="H217">INDEX(SwapSold!$E$28:$T$35,Summary!K217,Summary!L217)</f>
        <v>-4886026.5291234851</v>
      </c>
      <c r="I217" s="20" cm="1">
        <f t="array" ref="I217">INDEX('2hBatteryCM'!$E$28:$T$35,Summary!K217,Summary!L217)</f>
        <v>5195303.7933522128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MarinusSnowyYallourn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-7060683.2993704639</v>
      </c>
      <c r="H218" s="73" cm="1">
        <f t="array" ref="H218">INDEX(SwapSold!$E$28:$T$35,Summary!K218,Summary!L218)</f>
        <v>-11880269.457918543</v>
      </c>
      <c r="I218" s="20" cm="1">
        <f t="array" ref="I218">INDEX('2hBatteryCM'!$E$28:$T$35,Summary!K218,Summary!L218)</f>
        <v>4192570.781175809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MarinusSnowyYallourn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-10319823.414104834</v>
      </c>
      <c r="H219" s="73" cm="1">
        <f t="array" ref="H219">INDEX(SwapSold!$E$28:$T$35,Summary!K219,Summary!L219)</f>
        <v>-30214945.037636556</v>
      </c>
      <c r="I219" s="20" cm="1">
        <f t="array" ref="I219">INDEX('2hBatteryCM'!$E$28:$T$35,Summary!K219,Summary!L219)</f>
        <v>3010234.9216620014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MarinusSnowyYallourn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-932076.46844251943</v>
      </c>
      <c r="H220" s="73" cm="1">
        <f t="array" ref="H220">INDEX(SwapSold!$E$28:$T$35,Summary!K220,Summary!L220)</f>
        <v>-368003.34343133558</v>
      </c>
      <c r="I220" s="20" cm="1">
        <f t="array" ref="I220">INDEX('2hBatteryCM'!$E$28:$T$35,Summary!K220,Summary!L220)</f>
        <v>6027747.3997240262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MarinusSnowyYallourn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15915952.604049928</v>
      </c>
      <c r="H221" s="73" cm="1">
        <f t="array" ref="H221">INDEX(SwapSold!$E$28:$T$35,Summary!K221,Summary!L221)</f>
        <v>23872711.513877284</v>
      </c>
      <c r="I221" s="20" cm="1">
        <f t="array" ref="I221">INDEX('2hBatteryCM'!$E$28:$T$35,Summary!K221,Summary!L221)</f>
        <v>10681256.19802676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MarinusSnowyYallourn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7784870.6926454268</v>
      </c>
      <c r="H222" s="73" cm="1">
        <f t="array" ref="H222">INDEX(SwapSold!$E$28:$T$35,Summary!K222,Summary!L222)</f>
        <v>11985733.569857897</v>
      </c>
      <c r="I222" s="20" cm="1">
        <f t="array" ref="I222">INDEX('2hBatteryCM'!$E$28:$T$35,Summary!K222,Summary!L222)</f>
        <v>8259774.7484625326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MarinusSnowyYallourn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3919283.3456996391</v>
      </c>
      <c r="H223" s="73" cm="1">
        <f t="array" ref="H223">INDEX(SwapSold!$E$28:$T$35,Summary!K223,Summary!L223)</f>
        <v>5083577.5193100525</v>
      </c>
      <c r="I223" s="20" cm="1">
        <f t="array" ref="I223">INDEX('2hBatteryCM'!$E$28:$T$35,Summary!K223,Summary!L223)</f>
        <v>7268701.1417763438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MarinusSnowyYallourn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728591.40818381193</v>
      </c>
      <c r="H224" s="73" cm="1">
        <f t="array" ref="H224">INDEX(SwapSold!$E$28:$T$35,Summary!K224,Summary!L224)</f>
        <v>3479.4686819064682</v>
      </c>
      <c r="I224" s="20" cm="1">
        <f t="array" ref="I224">INDEX('2hBatteryCM'!$E$28:$T$35,Summary!K224,Summary!L224)</f>
        <v>6432132.2619135901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MarinusSnowyYallourn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-2853425.8454408487</v>
      </c>
      <c r="H225" s="73" cm="1">
        <f t="array" ref="H225">INDEX(SwapSold!$E$28:$T$35,Summary!K225,Summary!L225)</f>
        <v>-4941714.907142642</v>
      </c>
      <c r="I225" s="20" cm="1">
        <f t="array" ref="I225">INDEX('2hBatteryCM'!$E$28:$T$35,Summary!K225,Summary!L225)</f>
        <v>5465727.6253194036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MarinusSnowyYallourn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-6779571.9407612178</v>
      </c>
      <c r="H226" s="73" cm="1">
        <f t="array" ref="H226">INDEX(SwapSold!$E$28:$T$35,Summary!K226,Summary!L226)</f>
        <v>-11484058.355294969</v>
      </c>
      <c r="I226" s="20" cm="1">
        <f t="array" ref="I226">INDEX('2hBatteryCM'!$E$28:$T$35,Summary!K226,Summary!L226)</f>
        <v>4293802.9096892159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MarinusSnowyYallourn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-11325679.457185889</v>
      </c>
      <c r="H227" s="73" cm="1">
        <f t="array" ref="H227">INDEX(SwapSold!$E$28:$T$35,Summary!K227,Summary!L227)</f>
        <v>-22581284.333990209</v>
      </c>
      <c r="I227" s="20" cm="1">
        <f t="array" ref="I227">INDEX('2hBatteryCM'!$E$28:$T$35,Summary!K227,Summary!L227)</f>
        <v>2927240.0775982365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MarinusSnowyYallourn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569565.38721094455</v>
      </c>
      <c r="H228" s="73" cm="1">
        <f t="array" ref="H228">INDEX(SwapSold!$E$28:$T$35,Summary!K228,Summary!L228)</f>
        <v>116002.79188268895</v>
      </c>
      <c r="I228" s="20" cm="1">
        <f t="array" ref="I228">INDEX('2hBatteryCM'!$E$28:$T$35,Summary!K228,Summary!L228)</f>
        <v>6357703.8214839427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MarinusSnowyYallourn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17732706.391014211</v>
      </c>
      <c r="H229" s="73" cm="1">
        <f t="array" ref="H229">INDEX(SwapSold!$E$28:$T$35,Summary!K229,Summary!L229)</f>
        <v>24064534.742392078</v>
      </c>
      <c r="I229" s="20" cm="1">
        <f t="array" ref="I229">INDEX('2hBatteryCM'!$E$28:$T$35,Summary!K229,Summary!L229)</f>
        <v>10957054.567897627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MarinusSnowyYallourn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8247096.3216619203</v>
      </c>
      <c r="H230" s="73" cm="1">
        <f t="array" ref="H230">INDEX(SwapSold!$E$28:$T$35,Summary!K230,Summary!L230)</f>
        <v>13218939.823655928</v>
      </c>
      <c r="I230" s="20" cm="1">
        <f t="array" ref="I230">INDEX('2hBatteryCM'!$E$28:$T$35,Summary!K230,Summary!L230)</f>
        <v>8359796.3867861144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MarinusSnowyYallourn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4997956.4359967588</v>
      </c>
      <c r="H231" s="73" cm="1">
        <f t="array" ref="H231">INDEX(SwapSold!$E$28:$T$35,Summary!K231,Summary!L231)</f>
        <v>5454946.4341184748</v>
      </c>
      <c r="I231" s="20" cm="1">
        <f t="array" ref="I231">INDEX('2hBatteryCM'!$E$28:$T$35,Summary!K231,Summary!L231)</f>
        <v>7503069.0534227761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MarinusSnowyYallourn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1966981.3243338447</v>
      </c>
      <c r="H232" s="73" cm="1">
        <f t="array" ref="H232">INDEX(SwapSold!$E$28:$T$35,Summary!K232,Summary!L232)</f>
        <v>-148592.49884041652</v>
      </c>
      <c r="I232" s="20" cm="1">
        <f t="array" ref="I232">INDEX('2hBatteryCM'!$E$28:$T$35,Summary!K232,Summary!L232)</f>
        <v>6699581.7440691888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MarinusSnowyYallourn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-2159960.03066881</v>
      </c>
      <c r="H233" s="73" cm="1">
        <f t="array" ref="H233">INDEX(SwapSold!$E$28:$T$35,Summary!K233,Summary!L233)</f>
        <v>-4808300.599894085</v>
      </c>
      <c r="I233" s="20" cm="1">
        <f t="array" ref="I233">INDEX('2hBatteryCM'!$E$28:$T$35,Summary!K233,Summary!L233)</f>
        <v>5639178.5663919225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MarinusSnowyYallourn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-7185166.4120985391</v>
      </c>
      <c r="H234" s="73" cm="1">
        <f t="array" ref="H234">INDEX(SwapSold!$E$28:$T$35,Summary!K234,Summary!L234)</f>
        <v>-10728215.182577154</v>
      </c>
      <c r="I234" s="20" cm="1">
        <f t="array" ref="I234">INDEX('2hBatteryCM'!$E$28:$T$35,Summary!K234,Summary!L234)</f>
        <v>4281284.7830732958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MarinusSnowyYallourn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-11220367.735248208</v>
      </c>
      <c r="H235" s="73" cm="1">
        <f t="array" ref="H235">INDEX(SwapSold!$E$28:$T$35,Summary!K235,Summary!L235)</f>
        <v>-24280848.011854909</v>
      </c>
      <c r="I235" s="20" cm="1">
        <f t="array" ref="I235">INDEX('2hBatteryCM'!$E$28:$T$35,Summary!K235,Summary!L235)</f>
        <v>2991979.3545662733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MarinusSnowyYallourn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1343909.9244241479</v>
      </c>
      <c r="H236" s="73" cm="1">
        <f t="array" ref="H236">INDEX(SwapSold!$E$28:$T$35,Summary!K236,Summary!L236)</f>
        <v>448760.12615043699</v>
      </c>
      <c r="I236" s="20" cm="1">
        <f t="array" ref="I236">INDEX('2hBatteryCM'!$E$28:$T$35,Summary!K236,Summary!L236)</f>
        <v>6533110.9600265278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MarinusSnowyYallourn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15716901.963889744</v>
      </c>
      <c r="H237" s="73" cm="1">
        <f t="array" ref="H237">INDEX(SwapSold!$E$28:$T$35,Summary!K237,Summary!L237)</f>
        <v>28365654.470233768</v>
      </c>
      <c r="I237" s="20" cm="1">
        <f t="array" ref="I237">INDEX('2hBatteryCM'!$E$28:$T$35,Summary!K237,Summary!L237)</f>
        <v>10528070.534606842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MarinusSnowyYallourn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6934097.1145695476</v>
      </c>
      <c r="H238" s="73" cm="1">
        <f t="array" ref="H238">INDEX(SwapSold!$E$28:$T$35,Summary!K238,Summary!L238)</f>
        <v>15651467.372475026</v>
      </c>
      <c r="I238" s="20" cm="1">
        <f t="array" ref="I238">INDEX('2hBatteryCM'!$E$28:$T$35,Summary!K238,Summary!L238)</f>
        <v>8134871.2060977109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MarinusSnowyYallourn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4341984.449229572</v>
      </c>
      <c r="H239" s="73" cm="1">
        <f t="array" ref="H239">INDEX(SwapSold!$E$28:$T$35,Summary!K239,Summary!L239)</f>
        <v>6020051.0993485516</v>
      </c>
      <c r="I239" s="20" cm="1">
        <f t="array" ref="I239">INDEX('2hBatteryCM'!$E$28:$T$35,Summary!K239,Summary!L239)</f>
        <v>7404633.624695139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MarinusSnowyYallourn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1773963.765345963</v>
      </c>
      <c r="H240" s="73" cm="1">
        <f t="array" ref="H240">INDEX(SwapSold!$E$28:$T$35,Summary!K240,Summary!L240)</f>
        <v>-136901.15844681405</v>
      </c>
      <c r="I240" s="20" cm="1">
        <f t="array" ref="I240">INDEX('2hBatteryCM'!$E$28:$T$35,Summary!K240,Summary!L240)</f>
        <v>6698498.9640721139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MarinusSnowyYallourn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-3188705.9654844566</v>
      </c>
      <c r="H241" s="73" cm="1">
        <f t="array" ref="H241">INDEX(SwapSold!$E$28:$T$35,Summary!K241,Summary!L241)</f>
        <v>-4420220.0084338496</v>
      </c>
      <c r="I241" s="20" cm="1">
        <f t="array" ref="I241">INDEX('2hBatteryCM'!$E$28:$T$35,Summary!K241,Summary!L241)</f>
        <v>5504842.3947463091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MarinusSnowyYallourn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-9707664.7343042735</v>
      </c>
      <c r="H242" s="73" cm="1">
        <f t="array" ref="H242">INDEX(SwapSold!$E$28:$T$35,Summary!K242,Summary!L242)</f>
        <v>-9589629.2172285765</v>
      </c>
      <c r="I242" s="20" cm="1">
        <f t="array" ref="I242">INDEX('2hBatteryCM'!$E$28:$T$35,Summary!K242,Summary!L242)</f>
        <v>3920715.0514166052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MarinusSnowyYallourn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-13173363.950045982</v>
      </c>
      <c r="H243" s="73" cm="1">
        <f t="array" ref="H243">INDEX(SwapSold!$E$28:$T$35,Summary!K243,Summary!L243)</f>
        <v>-23591294.374074675</v>
      </c>
      <c r="I243" s="20" cm="1">
        <f t="array" ref="I243">INDEX('2hBatteryCM'!$E$28:$T$35,Summary!K243,Summary!L243)</f>
        <v>2734660.5258082771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MarinusSnowyYallourn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367625.91581403313</v>
      </c>
      <c r="H244" s="73" cm="1">
        <f t="array" ref="H244">INDEX(SwapSold!$E$28:$T$35,Summary!K244,Summary!L244)</f>
        <v>1150968.1735545576</v>
      </c>
      <c r="I244" s="20" cm="1">
        <f t="array" ref="I244">INDEX('2hBatteryCM'!$E$28:$T$35,Summary!K244,Summary!L244)</f>
        <v>6395619.4449380431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MarinusSnowyYallourn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17875575.947479371</v>
      </c>
      <c r="H245" s="73" cm="1">
        <f t="array" ref="H245">INDEX(SwapSold!$E$28:$T$35,Summary!K245,Summary!L245)</f>
        <v>28683052.318568029</v>
      </c>
      <c r="I245" s="20" cm="1">
        <f t="array" ref="I245">INDEX('2hBatteryCM'!$E$28:$T$35,Summary!K245,Summary!L245)</f>
        <v>10993519.281725539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MarinusSnowyYallourn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8626862.6573712379</v>
      </c>
      <c r="H246" s="73" cm="1">
        <f t="array" ref="H246">INDEX(SwapSold!$E$28:$T$35,Summary!K246,Summary!L246)</f>
        <v>17465619.778613839</v>
      </c>
      <c r="I246" s="20" cm="1">
        <f t="array" ref="I246">INDEX('2hBatteryCM'!$E$28:$T$35,Summary!K246,Summary!L246)</f>
        <v>8460383.8554048818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MarinusSnowyYallourn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6827473.3529346166</v>
      </c>
      <c r="H247" s="73" cm="1">
        <f t="array" ref="H247">INDEX(SwapSold!$E$28:$T$35,Summary!K247,Summary!L247)</f>
        <v>6892693.0949986242</v>
      </c>
      <c r="I247" s="20" cm="1">
        <f t="array" ref="I247">INDEX('2hBatteryCM'!$E$28:$T$35,Summary!K247,Summary!L247)</f>
        <v>7880596.2011729768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MarinusSnowyYallourn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4498067.7678679843</v>
      </c>
      <c r="H248" s="73" cm="1">
        <f t="array" ref="H248">INDEX(SwapSold!$E$28:$T$35,Summary!K248,Summary!L248)</f>
        <v>-38278.996746259538</v>
      </c>
      <c r="I248" s="20" cm="1">
        <f t="array" ref="I248">INDEX('2hBatteryCM'!$E$28:$T$35,Summary!K248,Summary!L248)</f>
        <v>7209239.7879521707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MarinusSnowyYallourn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-1508892.3548298583</v>
      </c>
      <c r="H249" s="73" cm="1">
        <f t="array" ref="H249">INDEX(SwapSold!$E$28:$T$35,Summary!K249,Summary!L249)</f>
        <v>-4135919.6339685889</v>
      </c>
      <c r="I249" s="20" cm="1">
        <f t="array" ref="I249">INDEX('2hBatteryCM'!$E$28:$T$35,Summary!K249,Summary!L249)</f>
        <v>5839380.0434827618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MarinusSnowyYallourn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-9172255.2525620945</v>
      </c>
      <c r="H250" s="73" cm="1">
        <f t="array" ref="H250">INDEX(SwapSold!$E$28:$T$35,Summary!K250,Summary!L250)</f>
        <v>-8328603.4907339429</v>
      </c>
      <c r="I250" s="20" cm="1">
        <f t="array" ref="I250">INDEX('2hBatteryCM'!$E$28:$T$35,Summary!K250,Summary!L250)</f>
        <v>4074468.9984866111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MarinusSnowyYallourn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-13192398.134270061</v>
      </c>
      <c r="H251" s="73" cm="1">
        <f t="array" ref="H251">INDEX(SwapSold!$E$28:$T$35,Summary!K251,Summary!L251)</f>
        <v>-20121971.610071175</v>
      </c>
      <c r="I251" s="20" cm="1">
        <f t="array" ref="I251">INDEX('2hBatteryCM'!$E$28:$T$35,Summary!K251,Summary!L251)</f>
        <v>2796755.5684759421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MarinusSnowyYallourn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2342227.3074538447</v>
      </c>
      <c r="H252" s="73" cm="1">
        <f t="array" ref="H252">INDEX(SwapSold!$E$28:$T$35,Summary!K252,Summary!L252)</f>
        <v>1878773.120948608</v>
      </c>
      <c r="I252" s="20" cm="1">
        <f t="array" ref="I252">INDEX('2hBatteryCM'!$E$28:$T$35,Summary!K252,Summary!L252)</f>
        <v>6782794.2521476895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MarinusSnowyYallourn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15250655.251416072</v>
      </c>
      <c r="H253" s="73" cm="1">
        <f t="array" ref="H253">INDEX(SwapSold!$E$28:$T$35,Summary!K253,Summary!L253)</f>
        <v>33004720.956780382</v>
      </c>
      <c r="I253" s="20" cm="1">
        <f t="array" ref="I253">INDEX('2hBatteryCM'!$E$28:$T$35,Summary!K253,Summary!L253)</f>
        <v>10712414.392008035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MarinusSnowyYallourn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7607636.5542755835</v>
      </c>
      <c r="H254" s="73" cm="1">
        <f t="array" ref="H254">INDEX(SwapSold!$E$28:$T$35,Summary!K254,Summary!L254)</f>
        <v>18753488.184826121</v>
      </c>
      <c r="I254" s="20" cm="1">
        <f t="array" ref="I254">INDEX('2hBatteryCM'!$E$28:$T$35,Summary!K254,Summary!L254)</f>
        <v>8446053.5960577596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MarinusSnowyYallourn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5768308.2970377356</v>
      </c>
      <c r="H255" s="73" cm="1">
        <f t="array" ref="H255">INDEX(SwapSold!$E$28:$T$35,Summary!K255,Summary!L255)</f>
        <v>7249641.4859413961</v>
      </c>
      <c r="I255" s="20" cm="1">
        <f t="array" ref="I255">INDEX('2hBatteryCM'!$E$28:$T$35,Summary!K255,Summary!L255)</f>
        <v>7855396.6482389718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MarinusSnowyYallourn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3320850.586539072</v>
      </c>
      <c r="H256" s="73" cm="1">
        <f t="array" ref="H256">INDEX(SwapSold!$E$28:$T$35,Summary!K256,Summary!L256)</f>
        <v>-176884.73054303849</v>
      </c>
      <c r="I256" s="20" cm="1">
        <f t="array" ref="I256">INDEX('2hBatteryCM'!$E$28:$T$35,Summary!K256,Summary!L256)</f>
        <v>7163958.1260495624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MarinusSnowyYallourn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-3070802.367702004</v>
      </c>
      <c r="H257" s="73" cm="1">
        <f t="array" ref="H257">INDEX(SwapSold!$E$28:$T$35,Summary!K257,Summary!L257)</f>
        <v>-4583408.8187531037</v>
      </c>
      <c r="I257" s="20" cm="1">
        <f t="array" ref="I257">INDEX('2hBatteryCM'!$E$28:$T$35,Summary!K257,Summary!L257)</f>
        <v>5724215.6178533267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MarinusSnowyYallourn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-11236875.037547985</v>
      </c>
      <c r="H258" s="73" cm="1">
        <f t="array" ref="H258">INDEX(SwapSold!$E$28:$T$35,Summary!K258,Summary!L258)</f>
        <v>-9102550.6434056032</v>
      </c>
      <c r="I258" s="20" cm="1">
        <f t="array" ref="I258">INDEX('2hBatteryCM'!$E$28:$T$35,Summary!K258,Summary!L258)</f>
        <v>3873989.3779843901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MarinusSnowyYallourn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-15712078.242718162</v>
      </c>
      <c r="H259" s="73" cm="1">
        <f t="array" ref="H259">INDEX(SwapSold!$E$28:$T$35,Summary!K259,Summary!L259)</f>
        <v>-23860562.169021141</v>
      </c>
      <c r="I259" s="20" cm="1">
        <f t="array" ref="I259">INDEX('2hBatteryCM'!$E$28:$T$35,Summary!K259,Summary!L259)</f>
        <v>2578286.4520399263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MarinusSnowyYallourn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990418.65420870378</v>
      </c>
      <c r="H260" s="73" cm="1">
        <f t="array" ref="H260">INDEX(SwapSold!$E$28:$T$35,Summary!K260,Summary!L260)</f>
        <v>1911472.4626470872</v>
      </c>
      <c r="I260" s="20" cm="1">
        <f t="array" ref="I260">INDEX('2hBatteryCM'!$E$28:$T$35,Summary!K260,Summary!L260)</f>
        <v>6702014.3887101002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39655-4360-4A3D-BF81-AA289B20F156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91" t="s">
        <v>102</v>
      </c>
      <c r="N2" s="91" t="s">
        <v>103</v>
      </c>
      <c r="V2" s="91" t="s">
        <v>104</v>
      </c>
      <c r="Z2" s="91" t="s">
        <v>86</v>
      </c>
      <c r="AC2" s="91" t="s">
        <v>105</v>
      </c>
      <c r="AK2" s="91" t="s">
        <v>106</v>
      </c>
      <c r="AO2" s="91" t="s">
        <v>107</v>
      </c>
    </row>
    <row r="3" spans="2:47" ht="15.05" customHeight="1" x14ac:dyDescent="0.45">
      <c r="B3" s="91"/>
      <c r="N3" s="91"/>
      <c r="V3" s="91"/>
      <c r="Z3" s="91"/>
      <c r="AC3" s="91"/>
      <c r="AK3" s="91"/>
      <c r="AO3" s="91"/>
    </row>
    <row r="4" spans="2:47" ht="15.05" customHeight="1" x14ac:dyDescent="0.45">
      <c r="B4" s="92"/>
      <c r="L4" s="92"/>
      <c r="V4" s="1" t="s">
        <v>108</v>
      </c>
      <c r="W4" s="93" t="s">
        <v>44</v>
      </c>
      <c r="X4" s="107">
        <v>0.11</v>
      </c>
      <c r="AO4" t="s">
        <v>109</v>
      </c>
      <c r="AP4" s="14">
        <f>SUMPRODUCT(AT4:AU4,AT8:AU8)/SUM(AT8:AU8)</f>
        <v>0.13593600035856931</v>
      </c>
      <c r="AQ4" s="94">
        <v>6.7500000000000004E-2</v>
      </c>
      <c r="AT4" s="94">
        <v>6.7500000000000004E-2</v>
      </c>
      <c r="AU4" s="3">
        <v>0.27</v>
      </c>
    </row>
    <row r="5" spans="2:47" ht="15.05" customHeight="1" x14ac:dyDescent="0.45">
      <c r="B5" s="92"/>
      <c r="L5" s="92"/>
      <c r="W5" s="93" t="s">
        <v>110</v>
      </c>
      <c r="X5" s="107">
        <v>0.1</v>
      </c>
      <c r="AC5" s="1" t="s">
        <v>111</v>
      </c>
      <c r="AD5" s="94">
        <v>2.5000000000000001E-2</v>
      </c>
      <c r="AO5" t="s">
        <v>112</v>
      </c>
      <c r="AP5" s="20">
        <f>AP23</f>
        <v>14751207.355692042</v>
      </c>
      <c r="AQ5" s="20">
        <f>AQ23</f>
        <v>24188735.601319138</v>
      </c>
    </row>
    <row r="6" spans="2:47" x14ac:dyDescent="0.3">
      <c r="B6" s="95"/>
      <c r="C6" s="95"/>
      <c r="D6" s="95"/>
      <c r="E6" s="95"/>
      <c r="F6" s="96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AO6" t="s">
        <v>113</v>
      </c>
      <c r="AP6" s="97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8" t="s">
        <v>20</v>
      </c>
      <c r="C7" s="98" t="s">
        <v>60</v>
      </c>
      <c r="D7" s="98" t="s">
        <v>114</v>
      </c>
      <c r="E7" s="98" t="s">
        <v>115</v>
      </c>
      <c r="F7" s="98" t="s">
        <v>86</v>
      </c>
      <c r="G7" s="98" t="s">
        <v>116</v>
      </c>
      <c r="H7" s="98" t="s">
        <v>108</v>
      </c>
      <c r="I7" s="98" t="s">
        <v>117</v>
      </c>
      <c r="J7" s="98" t="s">
        <v>118</v>
      </c>
      <c r="K7" s="98" t="s">
        <v>119</v>
      </c>
      <c r="L7" s="98" t="s">
        <v>131</v>
      </c>
      <c r="M7" s="99"/>
      <c r="N7" s="98" t="s">
        <v>33</v>
      </c>
      <c r="O7" s="98" t="s">
        <v>59</v>
      </c>
      <c r="P7" s="98" t="s">
        <v>120</v>
      </c>
      <c r="Q7" s="98" t="s">
        <v>121</v>
      </c>
      <c r="R7" s="98" t="s">
        <v>122</v>
      </c>
      <c r="S7" s="98" t="s">
        <v>123</v>
      </c>
      <c r="V7" s="98" t="s">
        <v>33</v>
      </c>
      <c r="W7" s="98" t="s">
        <v>60</v>
      </c>
      <c r="X7" s="98" t="s">
        <v>124</v>
      </c>
      <c r="Z7" s="98" t="s">
        <v>60</v>
      </c>
      <c r="AA7" s="98" t="s">
        <v>125</v>
      </c>
      <c r="AC7" s="98" t="s">
        <v>33</v>
      </c>
      <c r="AD7" s="98" t="s">
        <v>60</v>
      </c>
      <c r="AE7" s="98" t="s">
        <v>126</v>
      </c>
      <c r="AF7" s="98" t="s">
        <v>127</v>
      </c>
      <c r="AG7" s="98" t="s">
        <v>106</v>
      </c>
      <c r="AH7" s="98" t="s">
        <v>85</v>
      </c>
      <c r="AI7" s="98" t="s">
        <v>115</v>
      </c>
      <c r="AK7" s="98" t="s">
        <v>128</v>
      </c>
      <c r="AL7" s="98" t="s">
        <v>106</v>
      </c>
      <c r="AO7" s="98" t="s">
        <v>33</v>
      </c>
      <c r="AP7" s="98" t="s">
        <v>44</v>
      </c>
      <c r="AQ7" s="98" t="s">
        <v>110</v>
      </c>
      <c r="AS7" s="98" t="s">
        <v>33</v>
      </c>
      <c r="AT7" s="100" t="s">
        <v>129</v>
      </c>
      <c r="AU7" s="100" t="s">
        <v>130</v>
      </c>
    </row>
    <row r="8" spans="2:47" x14ac:dyDescent="0.3">
      <c r="B8" s="93" t="s">
        <v>3</v>
      </c>
      <c r="C8" s="93" t="s">
        <v>44</v>
      </c>
      <c r="D8" s="101">
        <f>AH8</f>
        <v>2000000</v>
      </c>
      <c r="E8" s="101">
        <f>AI8</f>
        <v>2000000</v>
      </c>
      <c r="F8" s="101">
        <f>$AA$8</f>
        <v>73600000</v>
      </c>
      <c r="G8" s="21">
        <f>AP8/H8</f>
        <v>50928800.422043659</v>
      </c>
      <c r="H8" s="102">
        <f>SUMIFS($X$8:$X$39,$V$8:$V$39,B8,$W$8:$W$39,C8)</f>
        <v>1.2321000000000002</v>
      </c>
      <c r="I8" s="103">
        <v>8760</v>
      </c>
      <c r="J8" s="103">
        <f>I8</f>
        <v>8760</v>
      </c>
      <c r="K8" s="104">
        <v>100</v>
      </c>
      <c r="L8" s="104">
        <f>(1+AD5)^2</f>
        <v>1.0506249999999999</v>
      </c>
      <c r="M8" s="95"/>
      <c r="N8" s="95" t="s">
        <v>3</v>
      </c>
      <c r="O8" s="95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93" t="s">
        <v>3</v>
      </c>
      <c r="W8" s="93" t="s">
        <v>44</v>
      </c>
      <c r="X8" s="105">
        <f>(1+$X$4)^2</f>
        <v>1.2321000000000002</v>
      </c>
      <c r="Z8" s="93" t="s">
        <v>44</v>
      </c>
      <c r="AA8" s="60">
        <f>147200000/2</f>
        <v>73600000</v>
      </c>
      <c r="AC8" s="93" t="s">
        <v>3</v>
      </c>
      <c r="AD8" s="93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93" t="s">
        <v>3</v>
      </c>
      <c r="AP8" s="101">
        <f>SUM(AT8:AU8)</f>
        <v>62749375</v>
      </c>
      <c r="AQ8" s="111">
        <f>AA9*(1-$AQ$4)</f>
        <v>69005000</v>
      </c>
      <c r="AS8" s="93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93" t="s">
        <v>4</v>
      </c>
      <c r="C9" s="93" t="s">
        <v>44</v>
      </c>
      <c r="D9" s="101">
        <f t="shared" ref="D9:E23" si="0">AH9</f>
        <v>958750</v>
      </c>
      <c r="E9" s="101">
        <f t="shared" si="0"/>
        <v>2958750</v>
      </c>
      <c r="F9" s="101">
        <f>F8</f>
        <v>73600000</v>
      </c>
      <c r="G9" s="21">
        <f t="shared" ref="G9:G23" si="1">AP9/H9</f>
        <v>39644813.504154257</v>
      </c>
      <c r="H9" s="102">
        <f t="shared" ref="H9:H39" si="2">SUMIFS($X$8:$X$39,$V$8:$V$39,B9,$W$8:$W$39,C9)</f>
        <v>1.3676310000000003</v>
      </c>
      <c r="I9" s="103">
        <v>8760</v>
      </c>
      <c r="J9" s="103">
        <f>I9+J8</f>
        <v>17520</v>
      </c>
      <c r="K9" s="104">
        <v>100</v>
      </c>
      <c r="L9" s="104">
        <f>L8*(1+$AD$5)</f>
        <v>1.0768906249999999</v>
      </c>
      <c r="M9" s="95"/>
      <c r="N9" s="95" t="s">
        <v>4</v>
      </c>
      <c r="O9" s="95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93" t="s">
        <v>4</v>
      </c>
      <c r="W9" s="93" t="s">
        <v>44</v>
      </c>
      <c r="X9" s="105">
        <f t="shared" ref="X9:X23" si="3">X8*(1+$X$4)</f>
        <v>1.3676310000000003</v>
      </c>
      <c r="Z9" s="93" t="s">
        <v>110</v>
      </c>
      <c r="AA9" s="60">
        <f>148000000/2</f>
        <v>74000000</v>
      </c>
      <c r="AC9" s="93" t="s">
        <v>4</v>
      </c>
      <c r="AD9" s="93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93" t="s">
        <v>4</v>
      </c>
      <c r="AP9" s="101">
        <f>SUM(AT9:AU9)</f>
        <v>54219475.9375</v>
      </c>
      <c r="AQ9" s="111">
        <f>AQ8*(1-$AQ$4)</f>
        <v>64347162.5</v>
      </c>
      <c r="AS9" s="93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93" t="s">
        <v>5</v>
      </c>
      <c r="C10" s="93" t="s">
        <v>44</v>
      </c>
      <c r="D10" s="101">
        <f t="shared" si="0"/>
        <v>967718.74999999988</v>
      </c>
      <c r="E10" s="101">
        <f t="shared" si="0"/>
        <v>3926468.75</v>
      </c>
      <c r="F10" s="101">
        <f t="shared" ref="F10:F23" si="5">F9</f>
        <v>73600000</v>
      </c>
      <c r="G10" s="21">
        <f t="shared" si="1"/>
        <v>31240191.585855849</v>
      </c>
      <c r="H10" s="102">
        <f t="shared" si="2"/>
        <v>1.5180704100000004</v>
      </c>
      <c r="I10" s="103">
        <v>8784</v>
      </c>
      <c r="J10" s="103">
        <f t="shared" ref="J10:J23" si="6">I10+J9</f>
        <v>26304</v>
      </c>
      <c r="K10" s="104">
        <v>100</v>
      </c>
      <c r="L10" s="104">
        <f t="shared" ref="L10:L23" si="7">L9*(1+$AD$5)</f>
        <v>1.1038128906249998</v>
      </c>
      <c r="M10" s="95"/>
      <c r="N10" s="95" t="s">
        <v>5</v>
      </c>
      <c r="O10" s="95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93" t="s">
        <v>5</v>
      </c>
      <c r="W10" s="93" t="s">
        <v>44</v>
      </c>
      <c r="X10" s="105">
        <f t="shared" si="3"/>
        <v>1.5180704100000004</v>
      </c>
      <c r="AC10" s="93" t="s">
        <v>5</v>
      </c>
      <c r="AD10" s="93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93" t="s">
        <v>5</v>
      </c>
      <c r="AP10" s="101">
        <f t="shared" ref="AP10:AP23" si="12">SUM(AT10:AU10)</f>
        <v>47424810.44921875</v>
      </c>
      <c r="AQ10" s="111">
        <f t="shared" ref="AQ10:AQ23" si="13">AQ9*(1-$AQ$4)</f>
        <v>60003729.03125</v>
      </c>
      <c r="AS10" s="93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93" t="s">
        <v>6</v>
      </c>
      <c r="C11" s="93" t="s">
        <v>44</v>
      </c>
      <c r="D11" s="101">
        <f t="shared" si="0"/>
        <v>976911.71874999977</v>
      </c>
      <c r="E11" s="101">
        <f t="shared" si="0"/>
        <v>4903380.46875</v>
      </c>
      <c r="F11" s="101">
        <f t="shared" si="5"/>
        <v>73600000</v>
      </c>
      <c r="G11" s="21">
        <f t="shared" si="1"/>
        <v>24886496.936233528</v>
      </c>
      <c r="H11" s="102">
        <f t="shared" si="2"/>
        <v>1.6850581551000006</v>
      </c>
      <c r="I11" s="103">
        <v>8760</v>
      </c>
      <c r="J11" s="103">
        <f t="shared" si="6"/>
        <v>35064</v>
      </c>
      <c r="K11" s="104">
        <v>100</v>
      </c>
      <c r="L11" s="104">
        <f t="shared" si="7"/>
        <v>1.1314082128906247</v>
      </c>
      <c r="M11" s="95"/>
      <c r="N11" s="95" t="s">
        <v>6</v>
      </c>
      <c r="O11" s="95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93" t="s">
        <v>6</v>
      </c>
      <c r="W11" s="93" t="s">
        <v>44</v>
      </c>
      <c r="X11" s="105">
        <f t="shared" si="3"/>
        <v>1.6850581551000006</v>
      </c>
      <c r="AC11" s="93" t="s">
        <v>6</v>
      </c>
      <c r="AD11" s="93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93" t="s">
        <v>6</v>
      </c>
      <c r="AP11" s="101">
        <f t="shared" si="12"/>
        <v>41935194.614271484</v>
      </c>
      <c r="AQ11" s="111">
        <f t="shared" si="13"/>
        <v>55953477.321640626</v>
      </c>
      <c r="AS11" s="93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93" t="s">
        <v>7</v>
      </c>
      <c r="C12" s="93" t="s">
        <v>44</v>
      </c>
      <c r="D12" s="101">
        <f t="shared" si="0"/>
        <v>986334.51171874977</v>
      </c>
      <c r="E12" s="101">
        <f t="shared" si="0"/>
        <v>5889714.98046875</v>
      </c>
      <c r="F12" s="101">
        <f t="shared" si="5"/>
        <v>73600000</v>
      </c>
      <c r="G12" s="21">
        <f t="shared" si="1"/>
        <v>20013748.77560281</v>
      </c>
      <c r="H12" s="102">
        <f t="shared" si="2"/>
        <v>1.8704145521610007</v>
      </c>
      <c r="I12" s="103">
        <v>8760</v>
      </c>
      <c r="J12" s="103">
        <f t="shared" si="6"/>
        <v>43824</v>
      </c>
      <c r="K12" s="104">
        <v>100</v>
      </c>
      <c r="L12" s="104">
        <f t="shared" si="7"/>
        <v>1.1596934182128902</v>
      </c>
      <c r="M12" s="95"/>
      <c r="N12" s="95" t="s">
        <v>7</v>
      </c>
      <c r="O12" s="95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93" t="s">
        <v>7</v>
      </c>
      <c r="W12" s="93" t="s">
        <v>44</v>
      </c>
      <c r="X12" s="105">
        <f t="shared" si="3"/>
        <v>1.8704145521610007</v>
      </c>
      <c r="AC12" s="93" t="s">
        <v>7</v>
      </c>
      <c r="AD12" s="93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93" t="s">
        <v>7</v>
      </c>
      <c r="AP12" s="101">
        <f t="shared" si="12"/>
        <v>37434006.953181908</v>
      </c>
      <c r="AQ12" s="111">
        <f t="shared" si="13"/>
        <v>52176617.602429882</v>
      </c>
      <c r="AS12" s="93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93" t="s">
        <v>8</v>
      </c>
      <c r="C13" s="93" t="s">
        <v>44</v>
      </c>
      <c r="D13" s="101">
        <f t="shared" si="0"/>
        <v>995992.87451171852</v>
      </c>
      <c r="E13" s="101">
        <f t="shared" si="0"/>
        <v>6885707.8549804688</v>
      </c>
      <c r="F13" s="101">
        <f t="shared" si="5"/>
        <v>73600000</v>
      </c>
      <c r="G13" s="21">
        <f t="shared" si="1"/>
        <v>16225964.629381113</v>
      </c>
      <c r="H13" s="102">
        <f t="shared" si="2"/>
        <v>2.0761601528987108</v>
      </c>
      <c r="I13" s="103">
        <v>8760</v>
      </c>
      <c r="J13" s="103">
        <f t="shared" si="6"/>
        <v>52584</v>
      </c>
      <c r="K13" s="104">
        <v>100</v>
      </c>
      <c r="L13" s="104">
        <f t="shared" si="7"/>
        <v>1.1886857536682123</v>
      </c>
      <c r="M13" s="95"/>
      <c r="N13" s="95" t="s">
        <v>8</v>
      </c>
      <c r="O13" s="95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93" t="s">
        <v>8</v>
      </c>
      <c r="W13" s="93" t="s">
        <v>44</v>
      </c>
      <c r="X13" s="105">
        <f t="shared" si="3"/>
        <v>2.0761601528987108</v>
      </c>
      <c r="AC13" s="93" t="s">
        <v>8</v>
      </c>
      <c r="AD13" s="93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93" t="s">
        <v>8</v>
      </c>
      <c r="AP13" s="101">
        <f t="shared" si="12"/>
        <v>33687701.205864966</v>
      </c>
      <c r="AQ13" s="111">
        <f t="shared" si="13"/>
        <v>48654695.914265864</v>
      </c>
      <c r="AS13" s="93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93" t="s">
        <v>9</v>
      </c>
      <c r="C14" s="93" t="s">
        <v>44</v>
      </c>
      <c r="D14" s="101">
        <f t="shared" si="0"/>
        <v>1005892.6963745113</v>
      </c>
      <c r="E14" s="101">
        <f t="shared" si="0"/>
        <v>7891600.5513549801</v>
      </c>
      <c r="F14" s="101">
        <f t="shared" si="5"/>
        <v>73600000</v>
      </c>
      <c r="G14" s="21">
        <f t="shared" si="1"/>
        <v>13244972.277146295</v>
      </c>
      <c r="H14" s="102">
        <f t="shared" si="2"/>
        <v>2.3045377697175691</v>
      </c>
      <c r="I14" s="103">
        <f>I10</f>
        <v>8784</v>
      </c>
      <c r="J14" s="103">
        <f t="shared" si="6"/>
        <v>61368</v>
      </c>
      <c r="K14" s="104">
        <v>100</v>
      </c>
      <c r="L14" s="104">
        <f t="shared" si="7"/>
        <v>1.2184028975099175</v>
      </c>
      <c r="M14" s="95"/>
      <c r="N14" s="95" t="s">
        <v>9</v>
      </c>
      <c r="O14" s="95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93" t="s">
        <v>9</v>
      </c>
      <c r="W14" s="93" t="s">
        <v>44</v>
      </c>
      <c r="X14" s="105">
        <f t="shared" si="3"/>
        <v>2.3045377697175691</v>
      </c>
      <c r="AC14" s="93" t="s">
        <v>9</v>
      </c>
      <c r="AD14" s="93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93" t="s">
        <v>9</v>
      </c>
      <c r="AP14" s="101">
        <f t="shared" si="12"/>
        <v>30523538.871545754</v>
      </c>
      <c r="AQ14" s="111">
        <f t="shared" si="13"/>
        <v>45370503.940052919</v>
      </c>
      <c r="AS14" s="93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93" t="s">
        <v>10</v>
      </c>
      <c r="C15" s="93" t="s">
        <v>44</v>
      </c>
      <c r="D15" s="101">
        <f t="shared" si="0"/>
        <v>1016040.0137838742</v>
      </c>
      <c r="E15" s="101">
        <f t="shared" si="0"/>
        <v>8907640.5651388541</v>
      </c>
      <c r="F15" s="101">
        <f t="shared" si="5"/>
        <v>73600000</v>
      </c>
      <c r="G15" s="21">
        <f t="shared" si="1"/>
        <v>10872916.92525232</v>
      </c>
      <c r="H15" s="102">
        <f t="shared" si="2"/>
        <v>2.558036924386502</v>
      </c>
      <c r="I15" s="103">
        <f t="shared" ref="I15:I23" si="16">I11</f>
        <v>8760</v>
      </c>
      <c r="J15" s="103">
        <f t="shared" si="6"/>
        <v>70128</v>
      </c>
      <c r="K15" s="104">
        <v>100</v>
      </c>
      <c r="L15" s="104">
        <f t="shared" si="7"/>
        <v>1.2488629699476652</v>
      </c>
      <c r="M15" s="95"/>
      <c r="N15" s="95" t="s">
        <v>10</v>
      </c>
      <c r="O15" s="95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93" t="s">
        <v>10</v>
      </c>
      <c r="W15" s="93" t="s">
        <v>44</v>
      </c>
      <c r="X15" s="105">
        <f t="shared" si="3"/>
        <v>2.558036924386502</v>
      </c>
      <c r="AC15" s="93" t="s">
        <v>10</v>
      </c>
      <c r="AD15" s="93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93" t="s">
        <v>10</v>
      </c>
      <c r="AP15" s="101">
        <f t="shared" si="12"/>
        <v>27813322.970582388</v>
      </c>
      <c r="AQ15" s="111">
        <f t="shared" si="13"/>
        <v>42307994.924099348</v>
      </c>
      <c r="AS15" s="93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93" t="s">
        <v>11</v>
      </c>
      <c r="C16" s="93" t="s">
        <v>44</v>
      </c>
      <c r="D16" s="101">
        <f t="shared" si="0"/>
        <v>1026441.014128471</v>
      </c>
      <c r="E16" s="101">
        <f t="shared" si="0"/>
        <v>9934081.5792673249</v>
      </c>
      <c r="F16" s="101">
        <f t="shared" si="5"/>
        <v>73600000</v>
      </c>
      <c r="G16" s="21">
        <f t="shared" si="1"/>
        <v>8967149.8397671357</v>
      </c>
      <c r="H16" s="102">
        <f t="shared" si="2"/>
        <v>2.8394209860690176</v>
      </c>
      <c r="I16" s="103">
        <f t="shared" si="16"/>
        <v>8760</v>
      </c>
      <c r="J16" s="103">
        <f t="shared" si="6"/>
        <v>78888</v>
      </c>
      <c r="K16" s="104">
        <v>100</v>
      </c>
      <c r="L16" s="104">
        <f t="shared" si="7"/>
        <v>1.2800845441963566</v>
      </c>
      <c r="M16" s="95"/>
      <c r="N16" s="95" t="s">
        <v>11</v>
      </c>
      <c r="O16" s="95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93" t="s">
        <v>11</v>
      </c>
      <c r="W16" s="93" t="s">
        <v>44</v>
      </c>
      <c r="X16" s="105">
        <f t="shared" si="3"/>
        <v>2.8394209860690176</v>
      </c>
      <c r="AC16" s="93" t="s">
        <v>11</v>
      </c>
      <c r="AD16" s="93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93" t="s">
        <v>11</v>
      </c>
      <c r="AP16" s="101">
        <f t="shared" si="12"/>
        <v>25461513.440260231</v>
      </c>
      <c r="AQ16" s="111">
        <f t="shared" si="13"/>
        <v>39452205.266722642</v>
      </c>
      <c r="AS16" s="93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93" t="s">
        <v>12</v>
      </c>
      <c r="C17" s="93" t="s">
        <v>44</v>
      </c>
      <c r="D17" s="101">
        <f t="shared" si="0"/>
        <v>1037102.0394816827</v>
      </c>
      <c r="E17" s="101">
        <f t="shared" si="0"/>
        <v>10971183.618749008</v>
      </c>
      <c r="F17" s="101">
        <f t="shared" si="5"/>
        <v>73600000</v>
      </c>
      <c r="G17" s="21">
        <f t="shared" si="1"/>
        <v>7423332.3282346334</v>
      </c>
      <c r="H17" s="102">
        <f t="shared" si="2"/>
        <v>3.1517572945366097</v>
      </c>
      <c r="I17" s="103">
        <f t="shared" si="16"/>
        <v>8760</v>
      </c>
      <c r="J17" s="103">
        <f t="shared" si="6"/>
        <v>87648</v>
      </c>
      <c r="K17" s="104">
        <v>100</v>
      </c>
      <c r="L17" s="104">
        <f t="shared" si="7"/>
        <v>1.3120866578012655</v>
      </c>
      <c r="M17" s="95"/>
      <c r="N17" s="95" t="s">
        <v>12</v>
      </c>
      <c r="O17" s="95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93" t="s">
        <v>12</v>
      </c>
      <c r="W17" s="93" t="s">
        <v>44</v>
      </c>
      <c r="X17" s="105">
        <f t="shared" si="3"/>
        <v>3.1517572945366097</v>
      </c>
      <c r="AC17" s="93" t="s">
        <v>12</v>
      </c>
      <c r="AD17" s="93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93" t="s">
        <v>12</v>
      </c>
      <c r="AP17" s="101">
        <f t="shared" si="12"/>
        <v>23396541.815282941</v>
      </c>
      <c r="AQ17" s="111">
        <f t="shared" si="13"/>
        <v>36789181.411218867</v>
      </c>
      <c r="AS17" s="93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93" t="s">
        <v>13</v>
      </c>
      <c r="C18" s="93" t="s">
        <v>44</v>
      </c>
      <c r="D18" s="101">
        <f t="shared" si="0"/>
        <v>1063029.5904687247</v>
      </c>
      <c r="E18" s="101">
        <f t="shared" si="0"/>
        <v>12034213.209217733</v>
      </c>
      <c r="F18" s="101">
        <f t="shared" si="5"/>
        <v>73600000</v>
      </c>
      <c r="G18" s="21">
        <f t="shared" si="1"/>
        <v>6164003.5878098402</v>
      </c>
      <c r="H18" s="102">
        <f t="shared" si="2"/>
        <v>3.498450596935637</v>
      </c>
      <c r="I18" s="103">
        <f t="shared" si="16"/>
        <v>8784</v>
      </c>
      <c r="J18" s="103">
        <f t="shared" si="6"/>
        <v>96432</v>
      </c>
      <c r="K18" s="104">
        <v>100</v>
      </c>
      <c r="L18" s="104">
        <f t="shared" si="7"/>
        <v>1.3448888242462971</v>
      </c>
      <c r="M18" s="103"/>
      <c r="N18" s="95" t="s">
        <v>13</v>
      </c>
      <c r="O18" s="95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93" t="s">
        <v>13</v>
      </c>
      <c r="W18" s="93" t="s">
        <v>44</v>
      </c>
      <c r="X18" s="105">
        <f t="shared" si="3"/>
        <v>3.498450596935637</v>
      </c>
      <c r="AC18" s="93" t="s">
        <v>13</v>
      </c>
      <c r="AD18" s="93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93" t="s">
        <v>13</v>
      </c>
      <c r="AP18" s="101">
        <f t="shared" si="12"/>
        <v>21564462.031286743</v>
      </c>
      <c r="AQ18" s="111">
        <f t="shared" si="13"/>
        <v>34305911.665961593</v>
      </c>
      <c r="AS18" s="93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93" t="s">
        <v>14</v>
      </c>
      <c r="C19" s="93" t="s">
        <v>44</v>
      </c>
      <c r="D19" s="101">
        <f t="shared" si="0"/>
        <v>1089605.3302304428</v>
      </c>
      <c r="E19" s="101">
        <f t="shared" si="0"/>
        <v>13123818.539448176</v>
      </c>
      <c r="F19" s="101">
        <f t="shared" si="5"/>
        <v>73600000</v>
      </c>
      <c r="G19" s="21">
        <f t="shared" si="1"/>
        <v>5130793.1350678215</v>
      </c>
      <c r="H19" s="102">
        <f t="shared" si="2"/>
        <v>3.8832801625985574</v>
      </c>
      <c r="I19" s="103">
        <f t="shared" si="16"/>
        <v>8760</v>
      </c>
      <c r="J19" s="103">
        <f t="shared" si="6"/>
        <v>105192</v>
      </c>
      <c r="K19" s="104">
        <v>100</v>
      </c>
      <c r="L19" s="104">
        <f t="shared" si="7"/>
        <v>1.3785110448524545</v>
      </c>
      <c r="M19" s="103"/>
      <c r="N19" s="95" t="s">
        <v>14</v>
      </c>
      <c r="O19" s="95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93" t="s">
        <v>14</v>
      </c>
      <c r="W19" s="93" t="s">
        <v>44</v>
      </c>
      <c r="X19" s="105">
        <f t="shared" si="3"/>
        <v>3.8832801625985574</v>
      </c>
      <c r="AC19" s="93" t="s">
        <v>14</v>
      </c>
      <c r="AD19" s="93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93" t="s">
        <v>14</v>
      </c>
      <c r="AP19" s="101">
        <f t="shared" si="12"/>
        <v>19924307.199805733</v>
      </c>
      <c r="AQ19" s="111">
        <f t="shared" si="13"/>
        <v>31990262.628509186</v>
      </c>
      <c r="AS19" s="93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93" t="s">
        <v>15</v>
      </c>
      <c r="C20" s="93" t="s">
        <v>44</v>
      </c>
      <c r="D20" s="101">
        <f t="shared" si="0"/>
        <v>1116845.4634862039</v>
      </c>
      <c r="E20" s="101">
        <f t="shared" si="0"/>
        <v>14240664.00293438</v>
      </c>
      <c r="F20" s="101">
        <f t="shared" si="5"/>
        <v>73600000</v>
      </c>
      <c r="G20" s="21">
        <f t="shared" si="1"/>
        <v>4279073.1590893008</v>
      </c>
      <c r="H20" s="102">
        <f t="shared" si="2"/>
        <v>4.3104409804843993</v>
      </c>
      <c r="I20" s="103">
        <f t="shared" si="16"/>
        <v>8760</v>
      </c>
      <c r="J20" s="103">
        <f t="shared" si="6"/>
        <v>113952</v>
      </c>
      <c r="K20" s="104">
        <v>100</v>
      </c>
      <c r="L20" s="104">
        <f t="shared" si="7"/>
        <v>1.4129738209737657</v>
      </c>
      <c r="M20" s="103"/>
      <c r="N20" s="95" t="s">
        <v>15</v>
      </c>
      <c r="O20" s="95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93" t="s">
        <v>15</v>
      </c>
      <c r="W20" s="93" t="s">
        <v>44</v>
      </c>
      <c r="X20" s="105">
        <f t="shared" si="3"/>
        <v>4.3104409804843993</v>
      </c>
      <c r="AC20" s="93" t="s">
        <v>15</v>
      </c>
      <c r="AD20" s="93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93" t="s">
        <v>15</v>
      </c>
      <c r="AP20" s="101">
        <f t="shared" si="12"/>
        <v>18444692.303429361</v>
      </c>
      <c r="AQ20" s="111">
        <f t="shared" si="13"/>
        <v>29830919.901084814</v>
      </c>
      <c r="AS20" s="93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93" t="s">
        <v>16</v>
      </c>
      <c r="C21" s="93" t="s">
        <v>44</v>
      </c>
      <c r="D21" s="101">
        <f t="shared" si="0"/>
        <v>1144766.600073359</v>
      </c>
      <c r="E21" s="101">
        <f t="shared" si="0"/>
        <v>15385430.603007738</v>
      </c>
      <c r="F21" s="101">
        <f t="shared" si="5"/>
        <v>73600000</v>
      </c>
      <c r="G21" s="21">
        <f t="shared" si="1"/>
        <v>3574251.663083659</v>
      </c>
      <c r="H21" s="102">
        <f t="shared" si="2"/>
        <v>4.7845894883376836</v>
      </c>
      <c r="I21" s="103">
        <f t="shared" si="16"/>
        <v>8760</v>
      </c>
      <c r="J21" s="103">
        <f t="shared" si="6"/>
        <v>122712</v>
      </c>
      <c r="K21" s="104">
        <v>100</v>
      </c>
      <c r="L21" s="104">
        <f t="shared" si="7"/>
        <v>1.4482981664981096</v>
      </c>
      <c r="M21" s="103"/>
      <c r="N21" s="95" t="s">
        <v>16</v>
      </c>
      <c r="O21" s="95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93" t="s">
        <v>16</v>
      </c>
      <c r="W21" s="93" t="s">
        <v>44</v>
      </c>
      <c r="X21" s="105">
        <f t="shared" si="3"/>
        <v>4.7845894883376836</v>
      </c>
      <c r="AC21" s="93" t="s">
        <v>16</v>
      </c>
      <c r="AD21" s="93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93" t="s">
        <v>16</v>
      </c>
      <c r="AP21" s="101">
        <f t="shared" si="12"/>
        <v>17101326.935863558</v>
      </c>
      <c r="AQ21" s="111">
        <f t="shared" si="13"/>
        <v>27817332.807761591</v>
      </c>
      <c r="AS21" s="93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93" t="s">
        <v>17</v>
      </c>
      <c r="C22" s="93" t="s">
        <v>44</v>
      </c>
      <c r="D22" s="101">
        <f t="shared" si="0"/>
        <v>1173385.7650751928</v>
      </c>
      <c r="E22" s="101">
        <f t="shared" si="0"/>
        <v>16558816.368082929</v>
      </c>
      <c r="F22" s="101">
        <f t="shared" si="5"/>
        <v>73600000</v>
      </c>
      <c r="G22" s="21">
        <f t="shared" si="1"/>
        <v>2989175.056035989</v>
      </c>
      <c r="H22" s="102">
        <f t="shared" si="2"/>
        <v>5.3108943320548292</v>
      </c>
      <c r="I22" s="103">
        <f t="shared" si="16"/>
        <v>8784</v>
      </c>
      <c r="J22" s="103">
        <f t="shared" si="6"/>
        <v>131496</v>
      </c>
      <c r="K22" s="104">
        <v>100</v>
      </c>
      <c r="L22" s="104">
        <f t="shared" si="7"/>
        <v>1.4845056206605622</v>
      </c>
      <c r="M22" s="103"/>
      <c r="N22" s="95" t="s">
        <v>17</v>
      </c>
      <c r="O22" s="95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93" t="s">
        <v>17</v>
      </c>
      <c r="W22" s="93" t="s">
        <v>44</v>
      </c>
      <c r="X22" s="105">
        <f t="shared" si="3"/>
        <v>5.3108943320548292</v>
      </c>
      <c r="AC22" s="93" t="s">
        <v>17</v>
      </c>
      <c r="AD22" s="93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93" t="s">
        <v>17</v>
      </c>
      <c r="AP22" s="101">
        <f t="shared" si="12"/>
        <v>15875192.862621211</v>
      </c>
      <c r="AQ22" s="111">
        <f t="shared" si="13"/>
        <v>25939662.843237683</v>
      </c>
      <c r="AS22" s="93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93" t="s">
        <v>18</v>
      </c>
      <c r="C23" s="93" t="s">
        <v>44</v>
      </c>
      <c r="D23" s="101">
        <f t="shared" si="0"/>
        <v>1202720.4092020723</v>
      </c>
      <c r="E23" s="101">
        <f t="shared" si="0"/>
        <v>17761536.777285002</v>
      </c>
      <c r="F23" s="101">
        <f t="shared" si="5"/>
        <v>73600000</v>
      </c>
      <c r="G23" s="21">
        <f t="shared" si="1"/>
        <v>2502285.8986119549</v>
      </c>
      <c r="H23" s="102">
        <f t="shared" si="2"/>
        <v>5.8950927085808607</v>
      </c>
      <c r="I23" s="103">
        <f t="shared" si="16"/>
        <v>8760</v>
      </c>
      <c r="J23" s="103">
        <f t="shared" si="6"/>
        <v>140256</v>
      </c>
      <c r="K23" s="104">
        <v>100</v>
      </c>
      <c r="L23" s="104">
        <f t="shared" si="7"/>
        <v>1.5216182611770761</v>
      </c>
      <c r="M23" s="103"/>
      <c r="N23" s="95" t="s">
        <v>18</v>
      </c>
      <c r="O23" s="95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93" t="s">
        <v>18</v>
      </c>
      <c r="W23" s="93" t="s">
        <v>44</v>
      </c>
      <c r="X23" s="105">
        <f t="shared" si="3"/>
        <v>5.8950927085808607</v>
      </c>
      <c r="AC23" s="93" t="s">
        <v>18</v>
      </c>
      <c r="AD23" s="93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93" t="s">
        <v>18</v>
      </c>
      <c r="AP23" s="101">
        <f t="shared" si="12"/>
        <v>14751207.355692042</v>
      </c>
      <c r="AQ23" s="111">
        <f t="shared" si="13"/>
        <v>24188735.601319138</v>
      </c>
      <c r="AS23" s="93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93" t="s">
        <v>3</v>
      </c>
      <c r="C24" t="s">
        <v>34</v>
      </c>
      <c r="D24" s="101">
        <f>AH24</f>
        <v>2650000</v>
      </c>
      <c r="E24" s="101">
        <f>AI24</f>
        <v>2650000</v>
      </c>
      <c r="F24" s="101">
        <f>$AA$9</f>
        <v>74000000</v>
      </c>
      <c r="G24" s="21">
        <f>AQ8/H24</f>
        <v>57028925.619834699</v>
      </c>
      <c r="H24" s="102">
        <f t="shared" si="2"/>
        <v>1.2100000000000002</v>
      </c>
      <c r="I24" s="103">
        <f>I8</f>
        <v>8760</v>
      </c>
      <c r="J24" s="103">
        <f>J8</f>
        <v>8760</v>
      </c>
      <c r="K24" s="104">
        <v>95.8</v>
      </c>
      <c r="L24" s="104">
        <f>L8</f>
        <v>1.0506249999999999</v>
      </c>
      <c r="M24" s="103"/>
      <c r="V24" s="93" t="s">
        <v>3</v>
      </c>
      <c r="W24" t="s">
        <v>34</v>
      </c>
      <c r="X24" s="105">
        <f>(1+$X$5)^2</f>
        <v>1.2100000000000002</v>
      </c>
      <c r="AC24" s="93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93"/>
      <c r="AP24" s="93"/>
    </row>
    <row r="25" spans="2:47" x14ac:dyDescent="0.3">
      <c r="B25" s="93" t="s">
        <v>4</v>
      </c>
      <c r="C25" t="s">
        <v>34</v>
      </c>
      <c r="D25" s="101">
        <f t="shared" ref="D25:E39" si="18">AH25</f>
        <v>1625000</v>
      </c>
      <c r="E25" s="101">
        <f t="shared" si="18"/>
        <v>4275000</v>
      </c>
      <c r="F25" s="101">
        <f>F24</f>
        <v>74000000</v>
      </c>
      <c r="G25" s="21">
        <f t="shared" ref="G25:G39" si="19">AQ9/H25</f>
        <v>48344975.582268953</v>
      </c>
      <c r="H25" s="102">
        <f t="shared" si="2"/>
        <v>1.3310000000000004</v>
      </c>
      <c r="I25" s="103">
        <f t="shared" ref="I25:J39" si="20">I9</f>
        <v>8760</v>
      </c>
      <c r="J25" s="103">
        <f t="shared" si="20"/>
        <v>17520</v>
      </c>
      <c r="K25" s="104">
        <v>95.8</v>
      </c>
      <c r="L25" s="104">
        <f t="shared" ref="L25:L39" si="21">L9</f>
        <v>1.0768906249999999</v>
      </c>
      <c r="M25" s="103"/>
      <c r="V25" s="93" t="s">
        <v>4</v>
      </c>
      <c r="W25" t="s">
        <v>34</v>
      </c>
      <c r="X25" s="105">
        <f t="shared" ref="X25:X39" si="22">X24*(1+$X$5)</f>
        <v>1.3310000000000004</v>
      </c>
      <c r="AC25" s="93" t="s">
        <v>4</v>
      </c>
      <c r="AD25" t="s">
        <v>34</v>
      </c>
      <c r="AE25" s="60">
        <f t="shared" ref="AE25:AE39" si="23">AE24*(1+$AD$5)</f>
        <v>1024999.9999999999</v>
      </c>
      <c r="AF25" s="105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93"/>
      <c r="AP25" s="93"/>
    </row>
    <row r="26" spans="2:47" x14ac:dyDescent="0.3">
      <c r="B26" s="93" t="s">
        <v>5</v>
      </c>
      <c r="C26" t="s">
        <v>34</v>
      </c>
      <c r="D26" s="101">
        <f t="shared" si="18"/>
        <v>1650624.9999999998</v>
      </c>
      <c r="E26" s="101">
        <f t="shared" si="18"/>
        <v>5925625</v>
      </c>
      <c r="F26" s="101">
        <f t="shared" ref="F26:F39" si="25">F25</f>
        <v>74000000</v>
      </c>
      <c r="G26" s="21">
        <f t="shared" si="19"/>
        <v>40983354.300423451</v>
      </c>
      <c r="H26" s="102">
        <f t="shared" si="2"/>
        <v>1.4641000000000006</v>
      </c>
      <c r="I26" s="103">
        <f t="shared" si="20"/>
        <v>8784</v>
      </c>
      <c r="J26" s="103">
        <f t="shared" si="20"/>
        <v>26304</v>
      </c>
      <c r="K26" s="104">
        <v>95.8</v>
      </c>
      <c r="L26" s="104">
        <f t="shared" si="21"/>
        <v>1.1038128906249998</v>
      </c>
      <c r="M26" s="103"/>
      <c r="V26" s="93" t="s">
        <v>5</v>
      </c>
      <c r="W26" t="s">
        <v>34</v>
      </c>
      <c r="X26" s="105">
        <f t="shared" si="22"/>
        <v>1.4641000000000006</v>
      </c>
      <c r="AC26" s="93" t="s">
        <v>5</v>
      </c>
      <c r="AD26" t="s">
        <v>34</v>
      </c>
      <c r="AE26" s="60">
        <f t="shared" si="23"/>
        <v>1050624.9999999998</v>
      </c>
      <c r="AF26" s="105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93"/>
      <c r="AP26" s="93"/>
    </row>
    <row r="27" spans="2:47" x14ac:dyDescent="0.3">
      <c r="B27" s="93" t="s">
        <v>6</v>
      </c>
      <c r="C27" t="s">
        <v>34</v>
      </c>
      <c r="D27" s="101">
        <f t="shared" si="18"/>
        <v>1676890.6249999998</v>
      </c>
      <c r="E27" s="101">
        <f t="shared" si="18"/>
        <v>7602515.625</v>
      </c>
      <c r="F27" s="101">
        <f t="shared" si="25"/>
        <v>74000000</v>
      </c>
      <c r="G27" s="21">
        <f t="shared" si="19"/>
        <v>34742707.168313518</v>
      </c>
      <c r="H27" s="102">
        <f t="shared" si="2"/>
        <v>1.6105100000000008</v>
      </c>
      <c r="I27" s="103">
        <f t="shared" si="20"/>
        <v>8760</v>
      </c>
      <c r="J27" s="103">
        <f t="shared" si="20"/>
        <v>35064</v>
      </c>
      <c r="K27" s="104">
        <v>95.8</v>
      </c>
      <c r="L27" s="104">
        <f t="shared" si="21"/>
        <v>1.1314082128906247</v>
      </c>
      <c r="M27" s="103"/>
      <c r="V27" s="93" t="s">
        <v>6</v>
      </c>
      <c r="W27" t="s">
        <v>34</v>
      </c>
      <c r="X27" s="105">
        <f t="shared" si="22"/>
        <v>1.6105100000000008</v>
      </c>
      <c r="AC27" s="93" t="s">
        <v>6</v>
      </c>
      <c r="AD27" t="s">
        <v>34</v>
      </c>
      <c r="AE27" s="60">
        <f t="shared" si="23"/>
        <v>1076890.6249999998</v>
      </c>
      <c r="AF27" s="105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93"/>
      <c r="AP27" s="93"/>
    </row>
    <row r="28" spans="2:47" x14ac:dyDescent="0.3">
      <c r="B28" s="93" t="s">
        <v>7</v>
      </c>
      <c r="C28" t="s">
        <v>34</v>
      </c>
      <c r="D28" s="101">
        <f t="shared" si="18"/>
        <v>1703812.8906249998</v>
      </c>
      <c r="E28" s="101">
        <f t="shared" si="18"/>
        <v>9306328.515625</v>
      </c>
      <c r="F28" s="101">
        <f t="shared" si="25"/>
        <v>74000000</v>
      </c>
      <c r="G28" s="21">
        <f t="shared" si="19"/>
        <v>29452340.394956678</v>
      </c>
      <c r="H28" s="102">
        <f t="shared" si="2"/>
        <v>1.7715610000000011</v>
      </c>
      <c r="I28" s="103">
        <f t="shared" si="20"/>
        <v>8760</v>
      </c>
      <c r="J28" s="103">
        <f t="shared" si="20"/>
        <v>43824</v>
      </c>
      <c r="K28" s="104">
        <v>95.8</v>
      </c>
      <c r="L28" s="104">
        <f t="shared" si="21"/>
        <v>1.1596934182128902</v>
      </c>
      <c r="V28" s="93" t="s">
        <v>7</v>
      </c>
      <c r="W28" t="s">
        <v>34</v>
      </c>
      <c r="X28" s="105">
        <f t="shared" si="22"/>
        <v>1.7715610000000011</v>
      </c>
      <c r="AC28" s="93" t="s">
        <v>7</v>
      </c>
      <c r="AD28" t="s">
        <v>34</v>
      </c>
      <c r="AE28" s="60">
        <f t="shared" si="23"/>
        <v>1103812.8906249998</v>
      </c>
      <c r="AF28" s="105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93"/>
      <c r="AP28" s="93"/>
    </row>
    <row r="29" spans="2:47" x14ac:dyDescent="0.3">
      <c r="B29" s="93" t="s">
        <v>8</v>
      </c>
      <c r="C29" t="s">
        <v>34</v>
      </c>
      <c r="D29" s="101">
        <f t="shared" si="18"/>
        <v>1731408.2128906248</v>
      </c>
      <c r="E29" s="101">
        <f t="shared" si="18"/>
        <v>11037736.728515625</v>
      </c>
      <c r="F29" s="101">
        <f t="shared" si="25"/>
        <v>74000000</v>
      </c>
      <c r="G29" s="21">
        <f t="shared" si="19"/>
        <v>24967552.19845191</v>
      </c>
      <c r="H29" s="102">
        <f t="shared" si="2"/>
        <v>1.9487171000000014</v>
      </c>
      <c r="I29" s="103">
        <f t="shared" si="20"/>
        <v>8760</v>
      </c>
      <c r="J29" s="103">
        <f t="shared" si="20"/>
        <v>52584</v>
      </c>
      <c r="K29" s="104">
        <v>95.8</v>
      </c>
      <c r="L29" s="104">
        <f t="shared" si="21"/>
        <v>1.1886857536682123</v>
      </c>
      <c r="V29" s="93" t="s">
        <v>8</v>
      </c>
      <c r="W29" t="s">
        <v>34</v>
      </c>
      <c r="X29" s="105">
        <f t="shared" si="22"/>
        <v>1.9487171000000014</v>
      </c>
      <c r="AC29" s="93" t="s">
        <v>8</v>
      </c>
      <c r="AD29" t="s">
        <v>34</v>
      </c>
      <c r="AE29" s="60">
        <f t="shared" si="23"/>
        <v>1131408.2128906248</v>
      </c>
      <c r="AF29" s="105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93"/>
      <c r="AP29" s="93"/>
    </row>
    <row r="30" spans="2:47" x14ac:dyDescent="0.3">
      <c r="B30" s="93" t="s">
        <v>9</v>
      </c>
      <c r="C30" t="s">
        <v>34</v>
      </c>
      <c r="D30" s="101">
        <f t="shared" si="18"/>
        <v>1759693.4182128904</v>
      </c>
      <c r="E30" s="101">
        <f t="shared" si="18"/>
        <v>12797430.146728516</v>
      </c>
      <c r="F30" s="101">
        <f t="shared" si="25"/>
        <v>74000000</v>
      </c>
      <c r="G30" s="21">
        <f t="shared" si="19"/>
        <v>21165674.931869458</v>
      </c>
      <c r="H30" s="102">
        <f t="shared" si="2"/>
        <v>2.1435888100000016</v>
      </c>
      <c r="I30" s="103">
        <f t="shared" si="20"/>
        <v>8784</v>
      </c>
      <c r="J30" s="103">
        <f t="shared" si="20"/>
        <v>61368</v>
      </c>
      <c r="K30" s="104">
        <v>95.8</v>
      </c>
      <c r="L30" s="104">
        <f t="shared" si="21"/>
        <v>1.2184028975099175</v>
      </c>
      <c r="V30" s="93" t="s">
        <v>9</v>
      </c>
      <c r="W30" t="s">
        <v>34</v>
      </c>
      <c r="X30" s="105">
        <f t="shared" si="22"/>
        <v>2.1435888100000016</v>
      </c>
      <c r="AC30" s="93" t="s">
        <v>9</v>
      </c>
      <c r="AD30" t="s">
        <v>34</v>
      </c>
      <c r="AE30" s="60">
        <f t="shared" si="23"/>
        <v>1159693.4182128904</v>
      </c>
      <c r="AF30" s="105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93"/>
      <c r="AP30" s="93"/>
    </row>
    <row r="31" spans="2:47" x14ac:dyDescent="0.3">
      <c r="B31" s="93" t="s">
        <v>10</v>
      </c>
      <c r="C31" t="s">
        <v>34</v>
      </c>
      <c r="D31" s="101">
        <f t="shared" si="18"/>
        <v>1788685.7536682126</v>
      </c>
      <c r="E31" s="101">
        <f t="shared" si="18"/>
        <v>14586115.900396729</v>
      </c>
      <c r="F31" s="101">
        <f t="shared" si="25"/>
        <v>74000000</v>
      </c>
      <c r="G31" s="21">
        <f t="shared" si="19"/>
        <v>17942719.885425702</v>
      </c>
      <c r="H31" s="102">
        <f t="shared" si="2"/>
        <v>2.3579476910000019</v>
      </c>
      <c r="I31" s="103">
        <f t="shared" si="20"/>
        <v>8760</v>
      </c>
      <c r="J31" s="103">
        <f t="shared" si="20"/>
        <v>70128</v>
      </c>
      <c r="K31" s="104">
        <v>95.8</v>
      </c>
      <c r="L31" s="104">
        <f t="shared" si="21"/>
        <v>1.2488629699476652</v>
      </c>
      <c r="V31" s="93" t="s">
        <v>10</v>
      </c>
      <c r="W31" t="s">
        <v>34</v>
      </c>
      <c r="X31" s="105">
        <f t="shared" si="22"/>
        <v>2.3579476910000019</v>
      </c>
      <c r="AC31" s="93" t="s">
        <v>10</v>
      </c>
      <c r="AD31" t="s">
        <v>34</v>
      </c>
      <c r="AE31" s="60">
        <f t="shared" si="23"/>
        <v>1188685.7536682126</v>
      </c>
      <c r="AF31" s="105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93"/>
      <c r="AP31" s="93"/>
    </row>
    <row r="32" spans="2:47" x14ac:dyDescent="0.3">
      <c r="B32" s="93" t="s">
        <v>11</v>
      </c>
      <c r="C32" t="s">
        <v>34</v>
      </c>
      <c r="D32" s="101">
        <f t="shared" si="18"/>
        <v>1818402.8975099178</v>
      </c>
      <c r="E32" s="101">
        <f t="shared" si="18"/>
        <v>16404518.797906647</v>
      </c>
      <c r="F32" s="101">
        <f t="shared" si="25"/>
        <v>74000000</v>
      </c>
      <c r="G32" s="21">
        <f t="shared" si="19"/>
        <v>15210532.99378133</v>
      </c>
      <c r="H32" s="102">
        <f t="shared" si="2"/>
        <v>2.5937424601000023</v>
      </c>
      <c r="I32" s="103">
        <f t="shared" si="20"/>
        <v>8760</v>
      </c>
      <c r="J32" s="103">
        <f t="shared" si="20"/>
        <v>78888</v>
      </c>
      <c r="K32" s="104">
        <v>95.8</v>
      </c>
      <c r="L32" s="104">
        <f t="shared" si="21"/>
        <v>1.2800845441963566</v>
      </c>
      <c r="V32" s="93" t="s">
        <v>11</v>
      </c>
      <c r="W32" t="s">
        <v>34</v>
      </c>
      <c r="X32" s="105">
        <f t="shared" si="22"/>
        <v>2.5937424601000023</v>
      </c>
      <c r="AC32" s="93" t="s">
        <v>11</v>
      </c>
      <c r="AD32" t="s">
        <v>34</v>
      </c>
      <c r="AE32" s="60">
        <f t="shared" si="23"/>
        <v>1218402.8975099178</v>
      </c>
      <c r="AF32" s="105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93"/>
      <c r="AP32" s="93"/>
    </row>
    <row r="33" spans="2:42" x14ac:dyDescent="0.3">
      <c r="B33" s="93" t="s">
        <v>12</v>
      </c>
      <c r="C33" t="s">
        <v>34</v>
      </c>
      <c r="D33" s="101">
        <f t="shared" si="18"/>
        <v>1848862.9699476657</v>
      </c>
      <c r="E33" s="101">
        <f t="shared" si="18"/>
        <v>18253381.767854311</v>
      </c>
      <c r="F33" s="101">
        <f t="shared" si="25"/>
        <v>74000000</v>
      </c>
      <c r="G33" s="21">
        <f t="shared" si="19"/>
        <v>12894383.651546447</v>
      </c>
      <c r="H33" s="102">
        <f t="shared" si="2"/>
        <v>2.8531167061100029</v>
      </c>
      <c r="I33" s="103">
        <f t="shared" si="20"/>
        <v>8760</v>
      </c>
      <c r="J33" s="103">
        <f t="shared" si="20"/>
        <v>87648</v>
      </c>
      <c r="K33" s="104">
        <v>95.8</v>
      </c>
      <c r="L33" s="104">
        <f t="shared" si="21"/>
        <v>1.3120866578012655</v>
      </c>
      <c r="V33" s="93" t="s">
        <v>12</v>
      </c>
      <c r="W33" t="s">
        <v>34</v>
      </c>
      <c r="X33" s="105">
        <f t="shared" si="22"/>
        <v>2.8531167061100029</v>
      </c>
      <c r="AC33" s="93" t="s">
        <v>12</v>
      </c>
      <c r="AD33" t="s">
        <v>34</v>
      </c>
      <c r="AE33" s="60">
        <f t="shared" si="23"/>
        <v>1248862.9699476657</v>
      </c>
      <c r="AF33" s="105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93"/>
      <c r="AP33" s="93"/>
    </row>
    <row r="34" spans="2:42" x14ac:dyDescent="0.3">
      <c r="B34" s="93" t="s">
        <v>13</v>
      </c>
      <c r="C34" t="s">
        <v>34</v>
      </c>
      <c r="D34" s="101">
        <f t="shared" si="18"/>
        <v>3020084.544196357</v>
      </c>
      <c r="E34" s="101">
        <f t="shared" si="18"/>
        <v>21273466.312050667</v>
      </c>
      <c r="F34" s="101">
        <f t="shared" si="25"/>
        <v>74000000</v>
      </c>
      <c r="G34" s="21">
        <f t="shared" si="19"/>
        <v>10930920.6864246</v>
      </c>
      <c r="H34" s="102">
        <f t="shared" si="2"/>
        <v>3.1384283767210035</v>
      </c>
      <c r="I34" s="103">
        <f t="shared" si="20"/>
        <v>8784</v>
      </c>
      <c r="J34" s="103">
        <f t="shared" si="20"/>
        <v>96432</v>
      </c>
      <c r="K34" s="104">
        <v>95.8</v>
      </c>
      <c r="L34" s="104">
        <f t="shared" si="21"/>
        <v>1.3448888242462971</v>
      </c>
      <c r="V34" s="93" t="s">
        <v>13</v>
      </c>
      <c r="W34" t="s">
        <v>34</v>
      </c>
      <c r="X34" s="105">
        <f t="shared" si="22"/>
        <v>3.1384283767210035</v>
      </c>
      <c r="AC34" s="93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93"/>
      <c r="AP34" s="93"/>
    </row>
    <row r="35" spans="2:42" x14ac:dyDescent="0.3">
      <c r="B35" s="93" t="s">
        <v>14</v>
      </c>
      <c r="C35" t="s">
        <v>34</v>
      </c>
      <c r="D35" s="101">
        <f t="shared" si="18"/>
        <v>1942461.6578012661</v>
      </c>
      <c r="E35" s="101">
        <f t="shared" si="18"/>
        <v>23215927.969851933</v>
      </c>
      <c r="F35" s="101">
        <f t="shared" si="25"/>
        <v>74000000</v>
      </c>
      <c r="G35" s="21">
        <f t="shared" si="19"/>
        <v>9266439.5819008537</v>
      </c>
      <c r="H35" s="102">
        <f t="shared" si="2"/>
        <v>3.4522712143931042</v>
      </c>
      <c r="I35" s="103">
        <f t="shared" si="20"/>
        <v>8760</v>
      </c>
      <c r="J35" s="103">
        <f t="shared" si="20"/>
        <v>105192</v>
      </c>
      <c r="K35" s="104">
        <v>95.8</v>
      </c>
      <c r="L35" s="104">
        <f t="shared" si="21"/>
        <v>1.3785110448524545</v>
      </c>
      <c r="V35" s="93" t="s">
        <v>14</v>
      </c>
      <c r="W35" t="s">
        <v>34</v>
      </c>
      <c r="X35" s="105">
        <f t="shared" si="22"/>
        <v>3.4522712143931042</v>
      </c>
      <c r="AC35" s="93" t="s">
        <v>14</v>
      </c>
      <c r="AD35" t="s">
        <v>34</v>
      </c>
      <c r="AE35" s="60">
        <f t="shared" si="23"/>
        <v>1312086.6578012661</v>
      </c>
      <c r="AF35" s="105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93"/>
      <c r="AP35" s="93"/>
    </row>
    <row r="36" spans="2:42" x14ac:dyDescent="0.3">
      <c r="B36" s="93" t="s">
        <v>15</v>
      </c>
      <c r="C36" t="s">
        <v>34</v>
      </c>
      <c r="D36" s="101">
        <f t="shared" si="18"/>
        <v>1991023.1992462976</v>
      </c>
      <c r="E36" s="101">
        <f t="shared" si="18"/>
        <v>25206951.169098232</v>
      </c>
      <c r="F36" s="101">
        <f t="shared" si="25"/>
        <v>74000000</v>
      </c>
      <c r="G36" s="21">
        <f t="shared" si="19"/>
        <v>7855413.5546568586</v>
      </c>
      <c r="H36" s="102">
        <f t="shared" si="2"/>
        <v>3.7974983358324148</v>
      </c>
      <c r="I36" s="103">
        <f t="shared" si="20"/>
        <v>8760</v>
      </c>
      <c r="J36" s="103">
        <f t="shared" si="20"/>
        <v>113952</v>
      </c>
      <c r="K36" s="104">
        <v>95.8</v>
      </c>
      <c r="L36" s="104">
        <f t="shared" si="21"/>
        <v>1.4129738209737657</v>
      </c>
      <c r="V36" s="93" t="s">
        <v>15</v>
      </c>
      <c r="W36" t="s">
        <v>34</v>
      </c>
      <c r="X36" s="105">
        <f t="shared" si="22"/>
        <v>3.7974983358324148</v>
      </c>
      <c r="AC36" s="93" t="s">
        <v>15</v>
      </c>
      <c r="AD36" t="s">
        <v>34</v>
      </c>
      <c r="AE36" s="60">
        <f t="shared" si="23"/>
        <v>1344888.8242462976</v>
      </c>
      <c r="AF36" s="105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93"/>
      <c r="AP36" s="93"/>
    </row>
    <row r="37" spans="2:42" x14ac:dyDescent="0.3">
      <c r="B37" s="93" t="s">
        <v>16</v>
      </c>
      <c r="C37" t="s">
        <v>34</v>
      </c>
      <c r="D37" s="101">
        <f t="shared" si="18"/>
        <v>2040798.7792274549</v>
      </c>
      <c r="E37" s="101">
        <f t="shared" si="18"/>
        <v>27247749.948325686</v>
      </c>
      <c r="F37" s="101">
        <f t="shared" si="25"/>
        <v>74000000</v>
      </c>
      <c r="G37" s="21">
        <f t="shared" si="19"/>
        <v>6659248.3088341104</v>
      </c>
      <c r="H37" s="102">
        <f t="shared" si="2"/>
        <v>4.1772481694156562</v>
      </c>
      <c r="I37" s="103">
        <f t="shared" si="20"/>
        <v>8760</v>
      </c>
      <c r="J37" s="103">
        <f t="shared" si="20"/>
        <v>122712</v>
      </c>
      <c r="K37" s="104">
        <v>95.8</v>
      </c>
      <c r="L37" s="104">
        <f t="shared" si="21"/>
        <v>1.4482981664981096</v>
      </c>
      <c r="V37" s="93" t="s">
        <v>16</v>
      </c>
      <c r="W37" t="s">
        <v>34</v>
      </c>
      <c r="X37" s="105">
        <f t="shared" si="22"/>
        <v>4.1772481694156562</v>
      </c>
      <c r="AC37" s="93" t="s">
        <v>16</v>
      </c>
      <c r="AD37" t="s">
        <v>34</v>
      </c>
      <c r="AE37" s="60">
        <f t="shared" si="23"/>
        <v>1378511.0448524549</v>
      </c>
      <c r="AF37" s="105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93"/>
      <c r="AP37" s="93"/>
    </row>
    <row r="38" spans="2:42" x14ac:dyDescent="0.3">
      <c r="B38" s="93" t="s">
        <v>17</v>
      </c>
      <c r="C38" t="s">
        <v>34</v>
      </c>
      <c r="D38" s="101">
        <f t="shared" si="18"/>
        <v>2091818.748708141</v>
      </c>
      <c r="E38" s="101">
        <f t="shared" si="18"/>
        <v>29339568.697033826</v>
      </c>
      <c r="F38" s="101">
        <f t="shared" si="25"/>
        <v>74000000</v>
      </c>
      <c r="G38" s="21">
        <f t="shared" si="19"/>
        <v>5645226.4072616436</v>
      </c>
      <c r="H38" s="102">
        <f t="shared" si="2"/>
        <v>4.594972986357222</v>
      </c>
      <c r="I38" s="103">
        <f t="shared" si="20"/>
        <v>8784</v>
      </c>
      <c r="J38" s="103">
        <f t="shared" si="20"/>
        <v>131496</v>
      </c>
      <c r="K38" s="104">
        <v>95.8</v>
      </c>
      <c r="L38" s="104">
        <f t="shared" si="21"/>
        <v>1.4845056206605622</v>
      </c>
      <c r="V38" s="93" t="s">
        <v>17</v>
      </c>
      <c r="W38" t="s">
        <v>34</v>
      </c>
      <c r="X38" s="105">
        <f t="shared" si="22"/>
        <v>4.594972986357222</v>
      </c>
      <c r="AC38" s="93" t="s">
        <v>17</v>
      </c>
      <c r="AD38" t="s">
        <v>34</v>
      </c>
      <c r="AE38" s="60">
        <f t="shared" si="23"/>
        <v>1412973.8209737663</v>
      </c>
      <c r="AF38" s="105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93"/>
      <c r="AP38" s="93"/>
    </row>
    <row r="39" spans="2:42" x14ac:dyDescent="0.3">
      <c r="B39" s="93" t="s">
        <v>18</v>
      </c>
      <c r="C39" t="s">
        <v>34</v>
      </c>
      <c r="D39" s="101">
        <f t="shared" si="18"/>
        <v>2144114.2174258446</v>
      </c>
      <c r="E39" s="101">
        <f t="shared" si="18"/>
        <v>31483682.914459672</v>
      </c>
      <c r="F39" s="101">
        <f t="shared" si="25"/>
        <v>74000000</v>
      </c>
      <c r="G39" s="21">
        <f t="shared" si="19"/>
        <v>4785612.3861558922</v>
      </c>
      <c r="H39" s="102">
        <f t="shared" si="2"/>
        <v>5.0544702849929442</v>
      </c>
      <c r="I39" s="103">
        <f t="shared" si="20"/>
        <v>8760</v>
      </c>
      <c r="J39" s="103">
        <f t="shared" si="20"/>
        <v>140256</v>
      </c>
      <c r="K39" s="104">
        <v>95.8</v>
      </c>
      <c r="L39" s="104">
        <f t="shared" si="21"/>
        <v>1.5216182611770761</v>
      </c>
      <c r="V39" s="93" t="s">
        <v>18</v>
      </c>
      <c r="W39" t="s">
        <v>34</v>
      </c>
      <c r="X39" s="105">
        <f t="shared" si="22"/>
        <v>5.0544702849929442</v>
      </c>
      <c r="AC39" s="93" t="s">
        <v>18</v>
      </c>
      <c r="AD39" t="s">
        <v>34</v>
      </c>
      <c r="AE39" s="60">
        <f t="shared" si="23"/>
        <v>1448298.1664981104</v>
      </c>
      <c r="AF39" s="105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93"/>
      <c r="AP39" s="9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D4F42-199C-47BE-A31A-DD8705FBE2C3}">
  <dimension ref="A2:AZ260"/>
  <sheetViews>
    <sheetView tabSelected="1" topLeftCell="AA1" workbookViewId="0">
      <selection activeCell="AF5" sqref="AF5:AF260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97</v>
      </c>
      <c r="AL2" s="1" t="s">
        <v>98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84" t="s">
        <v>58</v>
      </c>
      <c r="C4" s="84" t="s">
        <v>59</v>
      </c>
      <c r="D4" s="84" t="s">
        <v>0</v>
      </c>
      <c r="E4" s="84" t="s">
        <v>20</v>
      </c>
      <c r="F4" s="84" t="s">
        <v>60</v>
      </c>
      <c r="G4" s="84" t="s">
        <v>61</v>
      </c>
      <c r="H4" s="84" t="s">
        <v>81</v>
      </c>
      <c r="I4" s="84" t="s">
        <v>63</v>
      </c>
      <c r="J4" s="84" t="s">
        <v>82</v>
      </c>
      <c r="K4" s="84" t="s">
        <v>83</v>
      </c>
      <c r="L4" s="84" t="s">
        <v>84</v>
      </c>
      <c r="M4" s="84" t="s">
        <v>85</v>
      </c>
      <c r="N4" s="84" t="s">
        <v>86</v>
      </c>
      <c r="O4" s="84" t="s">
        <v>87</v>
      </c>
      <c r="P4" s="85" t="s">
        <v>88</v>
      </c>
      <c r="Q4" s="85" t="s">
        <v>80</v>
      </c>
      <c r="R4" s="85" t="s">
        <v>89</v>
      </c>
      <c r="S4" s="86" t="s">
        <v>90</v>
      </c>
      <c r="T4" s="112" t="s">
        <v>132</v>
      </c>
      <c r="U4" s="112" t="s">
        <v>133</v>
      </c>
      <c r="V4" s="112" t="s">
        <v>134</v>
      </c>
      <c r="W4" s="112" t="s">
        <v>135</v>
      </c>
      <c r="X4" s="87" t="s">
        <v>91</v>
      </c>
      <c r="Y4" s="87" t="s">
        <v>92</v>
      </c>
      <c r="Z4" s="87" t="s">
        <v>93</v>
      </c>
      <c r="AA4" s="87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88" t="s">
        <v>94</v>
      </c>
      <c r="AG4" s="88" t="s">
        <v>95</v>
      </c>
      <c r="AH4" s="88" t="s">
        <v>96</v>
      </c>
      <c r="AI4" s="88" t="s">
        <v>141</v>
      </c>
      <c r="AL4" s="89" t="s">
        <v>99</v>
      </c>
      <c r="AM4" s="89" t="s">
        <v>100</v>
      </c>
      <c r="AN4" s="89" t="s">
        <v>101</v>
      </c>
      <c r="AP4" s="113" t="s">
        <v>142</v>
      </c>
      <c r="AX4" s="114"/>
    </row>
    <row r="5" spans="1:52" x14ac:dyDescent="0.3">
      <c r="A5">
        <v>1</v>
      </c>
      <c r="B5" t="str">
        <f>Summary!B5</f>
        <v>MarinusSnowyYallourn</v>
      </c>
      <c r="C5" t="str">
        <f>Summary!C5</f>
        <v>Wind</v>
      </c>
      <c r="D5" s="90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-13164153.597292095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41659658.197123967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5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5">
        <f>H5*AP5</f>
        <v>-13164153.597292095</v>
      </c>
      <c r="AC5" s="73">
        <f>AB5/SUMIFS(FinParameters!$L$8:$L$39,FinParameters!$B$8:$B$39,Financials!$E5,FinParameters!$C$8:$C$39,Financials!$F5)</f>
        <v>-12529830.907595094</v>
      </c>
      <c r="AD5" s="73">
        <f>AC5</f>
        <v>-12529830.907595094</v>
      </c>
      <c r="AE5" s="12"/>
      <c r="AF5" s="73">
        <f>X5+AB5</f>
        <v>39009658.197123967</v>
      </c>
      <c r="AG5" s="73">
        <f>Y5+AC5</f>
        <v>35970015.55856967</v>
      </c>
      <c r="AH5" s="73">
        <f>Z5+AD5</f>
        <v>20604705.73488662</v>
      </c>
      <c r="AI5" s="12">
        <f>-AH5/SUM($N5,$O5)</f>
        <v>1.2141073259903965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-13164153.597292095</v>
      </c>
      <c r="AN5" s="20">
        <f>Summary!I5</f>
        <v>11902262.444492944</v>
      </c>
      <c r="AP5" s="12">
        <v>1</v>
      </c>
      <c r="AU5" s="90"/>
      <c r="AX5" s="20"/>
      <c r="AY5" s="116"/>
      <c r="AZ5" s="117"/>
    </row>
    <row r="6" spans="1:52" x14ac:dyDescent="0.3">
      <c r="A6">
        <v>2</v>
      </c>
      <c r="B6" t="str">
        <f>Summary!B6</f>
        <v>MarinusSnowyYallourn</v>
      </c>
      <c r="C6" t="str">
        <f>Summary!C6</f>
        <v>Wind</v>
      </c>
      <c r="D6" s="90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-5607118.7421609182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32484342.105614081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5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5">
        <f t="shared" ref="AB6:AB69" si="10">H6*AP6</f>
        <v>-5607118.7421609182</v>
      </c>
      <c r="AC6" s="73">
        <f>AB6/SUMIFS(FinParameters!$L$8:$L$39,FinParameters!$B$8:$B$39,Financials!$E6,FinParameters!$C$8:$C$39,Financials!$F6)</f>
        <v>-5336936.3399509043</v>
      </c>
      <c r="AD6" s="73">
        <f t="shared" ref="AD6:AD69" si="11">AC6</f>
        <v>-5336936.3399509043</v>
      </c>
      <c r="AE6" s="12"/>
      <c r="AF6" s="73">
        <f t="shared" ref="AF6:AF69" si="12">X6+AB6</f>
        <v>29834342.105614088</v>
      </c>
      <c r="AG6" s="73">
        <f t="shared" ref="AG6:AH69" si="13">Y6+AC6</f>
        <v>27741813.260450378</v>
      </c>
      <c r="AH6" s="73">
        <f t="shared" si="13"/>
        <v>11677411.227009572</v>
      </c>
      <c r="AI6" s="12">
        <f t="shared" ref="AI6:AI69" si="14">-AH6/SUM($N6,$O6)</f>
        <v>0.68807731116053428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-5607118.7421609182</v>
      </c>
      <c r="AN6" s="20">
        <f>Summary!I6</f>
        <v>7874159.7120792056</v>
      </c>
      <c r="AP6" s="12">
        <v>1</v>
      </c>
      <c r="AU6" s="90"/>
      <c r="AX6" s="20"/>
      <c r="AY6" s="116"/>
      <c r="AZ6" s="117"/>
    </row>
    <row r="7" spans="1:52" x14ac:dyDescent="0.3">
      <c r="A7">
        <v>3</v>
      </c>
      <c r="B7" t="str">
        <f>Summary!B7</f>
        <v>MarinusSnowyYallourn</v>
      </c>
      <c r="C7" t="str">
        <f>Summary!C7</f>
        <v>Wind</v>
      </c>
      <c r="D7" s="90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-2272600.1174960025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27535953.450551145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5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5">
        <f t="shared" si="10"/>
        <v>-2272600.1174960025</v>
      </c>
      <c r="AC7" s="73">
        <f>AB7/SUMIFS(FinParameters!$L$8:$L$39,FinParameters!$B$8:$B$39,Financials!$E7,FinParameters!$C$8:$C$39,Financials!$F7)</f>
        <v>-2163093.508622013</v>
      </c>
      <c r="AD7" s="73">
        <f t="shared" si="11"/>
        <v>-2163093.508622013</v>
      </c>
      <c r="AE7" s="12"/>
      <c r="AF7" s="73">
        <f t="shared" si="12"/>
        <v>24885953.450551145</v>
      </c>
      <c r="AG7" s="73">
        <f t="shared" si="13"/>
        <v>23243095.500620492</v>
      </c>
      <c r="AH7" s="73">
        <f t="shared" si="13"/>
        <v>6886276.8722636029</v>
      </c>
      <c r="AI7" s="12">
        <f t="shared" si="14"/>
        <v>0.40576552303087188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-2272600.1174960025</v>
      </c>
      <c r="AN7" s="20">
        <f>Summary!I7</f>
        <v>6189283.1413722942</v>
      </c>
      <c r="AP7" s="12">
        <v>1</v>
      </c>
      <c r="AU7" s="90"/>
      <c r="AX7" s="20"/>
      <c r="AY7" s="116"/>
      <c r="AZ7" s="117"/>
    </row>
    <row r="8" spans="1:52" x14ac:dyDescent="0.3">
      <c r="A8">
        <v>4</v>
      </c>
      <c r="B8" t="str">
        <f>Summary!B8</f>
        <v>MarinusSnowyYallourn</v>
      </c>
      <c r="C8" t="str">
        <f>Summary!C8</f>
        <v>Wind</v>
      </c>
      <c r="D8" s="90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132.20129058144181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23106273.474228896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5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5">
        <f t="shared" si="10"/>
        <v>132.20129058144181</v>
      </c>
      <c r="AC8" s="73">
        <f>AB8/SUMIFS(FinParameters!$L$8:$L$39,FinParameters!$B$8:$B$39,Financials!$E8,FinParameters!$C$8:$C$39,Financials!$F8)</f>
        <v>125.83109157067634</v>
      </c>
      <c r="AD8" s="73">
        <f t="shared" si="11"/>
        <v>125.83109157067634</v>
      </c>
      <c r="AE8" s="12"/>
      <c r="AF8" s="73">
        <f t="shared" si="12"/>
        <v>20456273.474228892</v>
      </c>
      <c r="AG8" s="73">
        <f t="shared" si="13"/>
        <v>19154270.298460197</v>
      </c>
      <c r="AH8" s="73">
        <f t="shared" si="13"/>
        <v>2621074.0723398915</v>
      </c>
      <c r="AI8" s="12">
        <f t="shared" si="14"/>
        <v>0.15444361468377241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132.20129058144181</v>
      </c>
      <c r="AN8" s="20">
        <f>Summary!I8</f>
        <v>5173012.2209259439</v>
      </c>
      <c r="AP8" s="12">
        <v>1</v>
      </c>
      <c r="AU8" s="90"/>
      <c r="AX8" s="20"/>
      <c r="AY8" s="116"/>
      <c r="AZ8" s="117"/>
    </row>
    <row r="9" spans="1:52" x14ac:dyDescent="0.3">
      <c r="A9">
        <v>5</v>
      </c>
      <c r="B9" t="str">
        <f>Summary!B9</f>
        <v>MarinusSnowyYallourn</v>
      </c>
      <c r="C9" t="str">
        <f>Summary!C9</f>
        <v>Wind</v>
      </c>
      <c r="D9" s="90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2017122.5657024563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20394091.735597409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5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5">
        <f t="shared" si="10"/>
        <v>2017122.5657024563</v>
      </c>
      <c r="AC9" s="73">
        <f>AB9/SUMIFS(FinParameters!$L$8:$L$39,FinParameters!$B$8:$B$39,Financials!$E9,FinParameters!$C$8:$C$39,Financials!$F9)</f>
        <v>1919926.296920839</v>
      </c>
      <c r="AD9" s="73">
        <f t="shared" si="11"/>
        <v>1919926.296920839</v>
      </c>
      <c r="AE9" s="12"/>
      <c r="AF9" s="73">
        <f t="shared" si="12"/>
        <v>17744091.735597409</v>
      </c>
      <c r="AG9" s="73">
        <f t="shared" si="13"/>
        <v>16669682.235547265</v>
      </c>
      <c r="AH9" s="73">
        <f t="shared" si="13"/>
        <v>2334.5110297698993</v>
      </c>
      <c r="AI9" s="12">
        <f t="shared" si="14"/>
        <v>1.3755823452746901E-4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2017122.5657024563</v>
      </c>
      <c r="AN9" s="20">
        <f>Summary!I9</f>
        <v>4400044.0634945026</v>
      </c>
      <c r="AP9" s="12">
        <v>1</v>
      </c>
      <c r="AU9" s="90"/>
      <c r="AX9" s="20"/>
      <c r="AY9" s="116"/>
      <c r="AZ9" s="117"/>
    </row>
    <row r="10" spans="1:52" x14ac:dyDescent="0.3">
      <c r="A10">
        <v>6</v>
      </c>
      <c r="B10" t="str">
        <f>Summary!B10</f>
        <v>MarinusSnowyYallourn</v>
      </c>
      <c r="C10" t="str">
        <f>Summary!C10</f>
        <v>Wind</v>
      </c>
      <c r="D10" s="90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4722167.6592375943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18504011.219124243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5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5">
        <f t="shared" si="10"/>
        <v>4722167.6592375943</v>
      </c>
      <c r="AC10" s="73">
        <f>AB10/SUMIFS(FinParameters!$L$8:$L$39,FinParameters!$B$8:$B$39,Financials!$E10,FinParameters!$C$8:$C$39,Financials!$F10)</f>
        <v>4494627.1592981266</v>
      </c>
      <c r="AD10" s="73">
        <f t="shared" si="11"/>
        <v>4494627.1592981266</v>
      </c>
      <c r="AE10" s="12"/>
      <c r="AF10" s="73">
        <f t="shared" si="12"/>
        <v>15854011.219124239</v>
      </c>
      <c r="AG10" s="73">
        <f t="shared" si="13"/>
        <v>14989511.169485435</v>
      </c>
      <c r="AH10" s="73">
        <f t="shared" si="13"/>
        <v>-1842345.8315202938</v>
      </c>
      <c r="AI10" s="12">
        <f t="shared" si="14"/>
        <v>-0.1085579964031923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4722167.6592375943</v>
      </c>
      <c r="AN10" s="20">
        <f>Summary!I10</f>
        <v>3452157.2799194478</v>
      </c>
      <c r="AP10" s="12">
        <v>1</v>
      </c>
      <c r="AU10" s="90"/>
      <c r="AX10" s="20"/>
      <c r="AY10" s="116"/>
      <c r="AZ10" s="117"/>
    </row>
    <row r="11" spans="1:52" x14ac:dyDescent="0.3">
      <c r="A11">
        <v>7</v>
      </c>
      <c r="B11" t="str">
        <f>Summary!B11</f>
        <v>MarinusSnowyYallourn</v>
      </c>
      <c r="C11" t="str">
        <f>Summary!C11</f>
        <v>Wind</v>
      </c>
      <c r="D11" s="90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10540206.020953761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16128521.928053716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5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5">
        <f t="shared" si="10"/>
        <v>10540206.020953761</v>
      </c>
      <c r="AC11" s="73">
        <f>AB11/SUMIFS(FinParameters!$L$8:$L$39,FinParameters!$B$8:$B$39,Financials!$E11,FinParameters!$C$8:$C$39,Financials!$F11)</f>
        <v>10032319.829581214</v>
      </c>
      <c r="AD11" s="73">
        <f t="shared" si="11"/>
        <v>10032319.829581214</v>
      </c>
      <c r="AE11" s="12"/>
      <c r="AF11" s="73">
        <f t="shared" si="12"/>
        <v>13478521.928053716</v>
      </c>
      <c r="AG11" s="73">
        <f t="shared" si="13"/>
        <v>12928707.199075781</v>
      </c>
      <c r="AH11" s="73">
        <f t="shared" si="13"/>
        <v>-4180326.2419510633</v>
      </c>
      <c r="AI11" s="12">
        <f t="shared" si="14"/>
        <v>-0.24632065998348104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10540206.020953761</v>
      </c>
      <c r="AN11" s="20">
        <f>Summary!I11</f>
        <v>1855093.030273994</v>
      </c>
      <c r="AP11" s="12">
        <v>1</v>
      </c>
      <c r="AU11" s="90"/>
      <c r="AX11" s="20"/>
      <c r="AY11" s="116"/>
      <c r="AZ11" s="117"/>
    </row>
    <row r="12" spans="1:52" x14ac:dyDescent="0.3">
      <c r="A12">
        <v>8</v>
      </c>
      <c r="B12" t="str">
        <f>Summary!B12</f>
        <v>MarinusSnowyYallourn</v>
      </c>
      <c r="C12" t="str">
        <f>Summary!C12</f>
        <v>Wind</v>
      </c>
      <c r="D12" s="90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-175137.67494567842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24199656.233599514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5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5">
        <f t="shared" si="10"/>
        <v>-175137.67494567842</v>
      </c>
      <c r="AC12" s="73">
        <f>AB12/SUMIFS(FinParameters!$L$8:$L$39,FinParameters!$B$8:$B$39,Financials!$E12,FinParameters!$C$8:$C$39,Financials!$F12)</f>
        <v>-166698.56032902171</v>
      </c>
      <c r="AD12" s="73">
        <f t="shared" si="11"/>
        <v>-166698.56032902171</v>
      </c>
      <c r="AE12" s="12"/>
      <c r="AF12" s="73">
        <f t="shared" si="12"/>
        <v>21549656.233599514</v>
      </c>
      <c r="AG12" s="73">
        <f t="shared" si="13"/>
        <v>20171381.15862561</v>
      </c>
      <c r="AH12" s="73">
        <f t="shared" si="13"/>
        <v>3670837.0987858418</v>
      </c>
      <c r="AI12" s="12">
        <f t="shared" si="14"/>
        <v>0.21629962939035138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-175137.67494567842</v>
      </c>
      <c r="AN12" s="20">
        <f>Summary!I12</f>
        <v>5361150.893304239</v>
      </c>
      <c r="AP12" s="12">
        <v>1</v>
      </c>
      <c r="AU12" s="90"/>
      <c r="AX12" s="20"/>
      <c r="AY12" s="116"/>
    </row>
    <row r="13" spans="1:52" x14ac:dyDescent="0.3">
      <c r="A13">
        <v>9</v>
      </c>
      <c r="B13" t="str">
        <f>Summary!B13</f>
        <v>MarinusSnowyYallourn</v>
      </c>
      <c r="C13" t="str">
        <f>Summary!C13</f>
        <v>Wind</v>
      </c>
      <c r="D13" s="90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71487589.094742</v>
      </c>
      <c r="H13" s="73">
        <f>SUMIFS(AM$5:AM13,$F$5:$F13,$F13,$D$5:$D13,$D13)</f>
        <v>-33052995.604568675</v>
      </c>
      <c r="I13" s="20">
        <f>SUMIFS(AN$5:AN13,$F$5:$F13,$F13,$D$5:$D13,$D13)</f>
        <v>26184811.005965274</v>
      </c>
      <c r="J13" s="73">
        <f t="shared" si="0"/>
        <v>26184811.005965274</v>
      </c>
      <c r="K13" s="73">
        <f t="shared" si="1"/>
        <v>97672400.100707278</v>
      </c>
      <c r="L13" s="73">
        <f t="shared" si="2"/>
        <v>64619404.496138602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21909811.005965274</v>
      </c>
      <c r="Q13" s="73">
        <f>P13/SUMIFS(FinParameters!$H$8:$H$39,FinParameters!$B$8:$B$39,Financials!$E13,FinParameters!$C$8:$C$39,Financials!$F13)</f>
        <v>16461165.293737993</v>
      </c>
      <c r="R13" s="73">
        <f t="shared" si="15"/>
        <v>-3745213.4117657691</v>
      </c>
      <c r="S13" s="12">
        <f t="shared" si="4"/>
        <v>-0.145983622965384</v>
      </c>
      <c r="T13" s="115">
        <f t="shared" si="5"/>
        <v>71487589.094742</v>
      </c>
      <c r="U13" s="73">
        <f>T13/SUMIFS(FinParameters!$L$8:$L$39,FinParameters!$B$8:$B$39,Financials!$E13,FinParameters!$C$8:$C$39,Financials!$F13)</f>
        <v>66383333.121450476</v>
      </c>
      <c r="V13" s="73">
        <f t="shared" si="6"/>
        <v>66383333.121450476</v>
      </c>
      <c r="W13" s="12"/>
      <c r="X13" s="73">
        <f t="shared" si="7"/>
        <v>93397400.100707278</v>
      </c>
      <c r="Y13" s="73">
        <f t="shared" si="8"/>
        <v>82844498.415188462</v>
      </c>
      <c r="Z13" s="73">
        <f t="shared" si="8"/>
        <v>62638119.709684707</v>
      </c>
      <c r="AA13" s="12">
        <f t="shared" si="9"/>
        <v>2.4415536968420661</v>
      </c>
      <c r="AB13" s="115">
        <f t="shared" si="10"/>
        <v>-33052995.604568675</v>
      </c>
      <c r="AC13" s="73">
        <f>AB13/SUMIFS(FinParameters!$L$8:$L$39,FinParameters!$B$8:$B$39,Financials!$E13,FinParameters!$C$8:$C$39,Financials!$F13)</f>
        <v>-30692992.247535519</v>
      </c>
      <c r="AD13" s="73">
        <f t="shared" si="11"/>
        <v>-30692992.247535519</v>
      </c>
      <c r="AE13" s="12"/>
      <c r="AF13" s="73">
        <f t="shared" si="12"/>
        <v>60344404.496138602</v>
      </c>
      <c r="AG13" s="73">
        <f t="shared" si="13"/>
        <v>52151506.167652942</v>
      </c>
      <c r="AH13" s="73">
        <f t="shared" si="13"/>
        <v>31945127.462149188</v>
      </c>
      <c r="AI13" s="12">
        <f t="shared" si="14"/>
        <v>1.2451801620609972</v>
      </c>
      <c r="AL13" s="73">
        <f>Summary!G13</f>
        <v>28566039.744818877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-19888842.00727658</v>
      </c>
      <c r="AN13" s="20">
        <f>Summary!I13</f>
        <v>14282548.56147233</v>
      </c>
      <c r="AP13" s="12">
        <v>1</v>
      </c>
      <c r="AU13" s="90"/>
      <c r="AX13" s="20"/>
      <c r="AY13" s="116"/>
      <c r="AZ13" s="117"/>
    </row>
    <row r="14" spans="1:52" x14ac:dyDescent="0.3">
      <c r="A14">
        <v>10</v>
      </c>
      <c r="B14" t="str">
        <f>Summary!B14</f>
        <v>MarinusSnowyYallourn</v>
      </c>
      <c r="C14" t="str">
        <f>Summary!C14</f>
        <v>Wind</v>
      </c>
      <c r="D14" s="90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50270699.003352918</v>
      </c>
      <c r="H14" s="73">
        <f>SUMIFS(AM$5:AM14,$F$5:$F14,$F14,$D$5:$D14,$D14)</f>
        <v>-13297546.526213914</v>
      </c>
      <c r="I14" s="20">
        <f>SUMIFS(AN$5:AN14,$F$5:$F14,$F14,$D$5:$D14,$D14)</f>
        <v>18479918.096409403</v>
      </c>
      <c r="J14" s="73">
        <f t="shared" si="0"/>
        <v>18479918.096409403</v>
      </c>
      <c r="K14" s="73">
        <f t="shared" si="1"/>
        <v>68750617.099762321</v>
      </c>
      <c r="L14" s="73">
        <f t="shared" si="2"/>
        <v>55453070.573548406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14204918.096409403</v>
      </c>
      <c r="Q14" s="73">
        <f>P14/SUMIFS(FinParameters!$H$8:$H$39,FinParameters!$B$8:$B$39,Financials!$E14,FinParameters!$C$8:$C$39,Financials!$F14)</f>
        <v>10672365.211427046</v>
      </c>
      <c r="R14" s="73">
        <f t="shared" si="15"/>
        <v>-11450106.321321644</v>
      </c>
      <c r="S14" s="12">
        <f t="shared" si="4"/>
        <v>-0.44631048230100656</v>
      </c>
      <c r="T14" s="115">
        <f t="shared" si="5"/>
        <v>50270699.003352918</v>
      </c>
      <c r="U14" s="73">
        <f>T14/SUMIFS(FinParameters!$L$8:$L$39,FinParameters!$B$8:$B$39,Financials!$E14,FinParameters!$C$8:$C$39,Financials!$F14)</f>
        <v>46681341.48103752</v>
      </c>
      <c r="V14" s="73">
        <f t="shared" si="6"/>
        <v>46681341.48103752</v>
      </c>
      <c r="W14" s="12"/>
      <c r="X14" s="73">
        <f t="shared" si="7"/>
        <v>64475617.099762321</v>
      </c>
      <c r="Y14" s="73">
        <f t="shared" si="8"/>
        <v>57353706.692464568</v>
      </c>
      <c r="Z14" s="73">
        <f t="shared" si="8"/>
        <v>35231235.159715876</v>
      </c>
      <c r="AA14" s="12">
        <f t="shared" si="9"/>
        <v>1.3732684321815103</v>
      </c>
      <c r="AB14" s="115">
        <f t="shared" si="10"/>
        <v>-13297546.526213914</v>
      </c>
      <c r="AC14" s="73">
        <f>AB14/SUMIFS(FinParameters!$L$8:$L$39,FinParameters!$B$8:$B$39,Financials!$E14,FinParameters!$C$8:$C$39,Financials!$F14)</f>
        <v>-12348093.870920192</v>
      </c>
      <c r="AD14" s="73">
        <f t="shared" si="11"/>
        <v>-12348093.870920192</v>
      </c>
      <c r="AE14" s="12"/>
      <c r="AF14" s="73">
        <f t="shared" si="12"/>
        <v>51178070.573548406</v>
      </c>
      <c r="AG14" s="73">
        <f t="shared" si="13"/>
        <v>45005612.821544379</v>
      </c>
      <c r="AH14" s="73">
        <f t="shared" si="13"/>
        <v>22883141.288795684</v>
      </c>
      <c r="AI14" s="12">
        <f t="shared" si="14"/>
        <v>0.89195554508926445</v>
      </c>
      <c r="AL14" s="73">
        <f>Summary!G14</f>
        <v>20053397.867657121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-7690427.784052995</v>
      </c>
      <c r="AN14" s="20">
        <f>Summary!I14</f>
        <v>10605758.384330196</v>
      </c>
      <c r="AP14" s="12">
        <v>1</v>
      </c>
      <c r="AU14" s="90"/>
      <c r="AX14" s="20"/>
      <c r="AY14" s="116"/>
      <c r="AZ14" s="117"/>
    </row>
    <row r="15" spans="1:52" x14ac:dyDescent="0.3">
      <c r="A15">
        <v>11</v>
      </c>
      <c r="B15" t="str">
        <f>Summary!B15</f>
        <v>MarinusSnowyYallourn</v>
      </c>
      <c r="C15" t="str">
        <f>Summary!C15</f>
        <v>Wind</v>
      </c>
      <c r="D15" s="90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37234100.253835961</v>
      </c>
      <c r="H15" s="73">
        <f>SUMIFS(AM$5:AM15,$F$5:$F15,$F15,$D$5:$D15,$D15)</f>
        <v>-5427416.464563543</v>
      </c>
      <c r="I15" s="20">
        <f>SUMIFS(AN$5:AN15,$F$5:$F15,$F15,$D$5:$D15,$D15)</f>
        <v>14961325.558844678</v>
      </c>
      <c r="J15" s="73">
        <f t="shared" si="0"/>
        <v>14961325.558844678</v>
      </c>
      <c r="K15" s="73">
        <f t="shared" si="1"/>
        <v>52195425.812680639</v>
      </c>
      <c r="L15" s="73">
        <f t="shared" si="2"/>
        <v>46768009.348117098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10686325.558844678</v>
      </c>
      <c r="Q15" s="73">
        <f>P15/SUMIFS(FinParameters!$H$8:$H$39,FinParameters!$B$8:$B$39,Financials!$E15,FinParameters!$C$8:$C$39,Financials!$F15)</f>
        <v>8028794.5596128283</v>
      </c>
      <c r="R15" s="73">
        <f t="shared" si="15"/>
        <v>-14968698.858886369</v>
      </c>
      <c r="S15" s="12">
        <f t="shared" si="4"/>
        <v>-0.58346071378287212</v>
      </c>
      <c r="T15" s="115">
        <f t="shared" si="5"/>
        <v>37234100.253835961</v>
      </c>
      <c r="U15" s="73">
        <f>T15/SUMIFS(FinParameters!$L$8:$L$39,FinParameters!$B$8:$B$39,Financials!$E15,FinParameters!$C$8:$C$39,Financials!$F15)</f>
        <v>34575563.56183894</v>
      </c>
      <c r="V15" s="73">
        <f t="shared" si="6"/>
        <v>34575563.56183894</v>
      </c>
      <c r="W15" s="12"/>
      <c r="X15" s="73">
        <f t="shared" si="7"/>
        <v>47920425.812680639</v>
      </c>
      <c r="Y15" s="73">
        <f t="shared" si="8"/>
        <v>42604358.121451765</v>
      </c>
      <c r="Z15" s="73">
        <f t="shared" si="8"/>
        <v>19606864.702952571</v>
      </c>
      <c r="AA15" s="12">
        <f t="shared" si="9"/>
        <v>0.76425047911478927</v>
      </c>
      <c r="AB15" s="115">
        <f t="shared" si="10"/>
        <v>-5427416.464563543</v>
      </c>
      <c r="AC15" s="73">
        <f>AB15/SUMIFS(FinParameters!$L$8:$L$39,FinParameters!$B$8:$B$39,Financials!$E15,FinParameters!$C$8:$C$39,Financials!$F15)</f>
        <v>-5039895.7318098517</v>
      </c>
      <c r="AD15" s="73">
        <f t="shared" si="11"/>
        <v>-5039895.7318098517</v>
      </c>
      <c r="AE15" s="12"/>
      <c r="AF15" s="73">
        <f t="shared" si="12"/>
        <v>42493009.348117098</v>
      </c>
      <c r="AG15" s="73">
        <f t="shared" si="13"/>
        <v>37564462.389641911</v>
      </c>
      <c r="AH15" s="73">
        <f t="shared" si="13"/>
        <v>14566968.97114272</v>
      </c>
      <c r="AI15" s="12">
        <f t="shared" si="14"/>
        <v>0.56780179718227053</v>
      </c>
      <c r="AL15" s="73">
        <f>Summary!G15</f>
        <v>13614829.827161105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-3154816.34706754</v>
      </c>
      <c r="AN15" s="20">
        <f>Summary!I15</f>
        <v>8772042.4174723849</v>
      </c>
      <c r="AP15" s="12">
        <v>1</v>
      </c>
      <c r="AU15" s="90"/>
      <c r="AX15" s="20"/>
      <c r="AY15" s="116"/>
      <c r="AZ15" s="117"/>
    </row>
    <row r="16" spans="1:52" x14ac:dyDescent="0.3">
      <c r="A16">
        <v>12</v>
      </c>
      <c r="B16" t="str">
        <f>Summary!B16</f>
        <v>MarinusSnowyYallourn</v>
      </c>
      <c r="C16" t="str">
        <f>Summary!C16</f>
        <v>Wind</v>
      </c>
      <c r="D16" s="90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26226198.818253011</v>
      </c>
      <c r="H16" s="73">
        <f>SUMIFS(AM$5:AM16,$F$5:$F16,$F16,$D$5:$D16,$D16)</f>
        <v>132.20129058144181</v>
      </c>
      <c r="I16" s="20">
        <f>SUMIFS(AN$5:AN16,$F$5:$F16,$F16,$D$5:$D16,$D16)</f>
        <v>12849076.570143765</v>
      </c>
      <c r="J16" s="73">
        <f t="shared" si="0"/>
        <v>12849076.570143765</v>
      </c>
      <c r="K16" s="73">
        <f t="shared" si="1"/>
        <v>39075275.388396777</v>
      </c>
      <c r="L16" s="73">
        <f t="shared" si="2"/>
        <v>39075407.589687355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8574076.5701437648</v>
      </c>
      <c r="Q16" s="73">
        <f>P16/SUMIFS(FinParameters!$H$8:$H$39,FinParameters!$B$8:$B$39,Financials!$E16,FinParameters!$C$8:$C$39,Financials!$F16)</f>
        <v>6441830.6312124431</v>
      </c>
      <c r="R16" s="73">
        <f t="shared" si="15"/>
        <v>-17080947.84758728</v>
      </c>
      <c r="S16" s="12">
        <f t="shared" si="4"/>
        <v>-0.66579347458278249</v>
      </c>
      <c r="T16" s="115">
        <f t="shared" si="5"/>
        <v>26226198.818253011</v>
      </c>
      <c r="U16" s="73">
        <f>T16/SUMIFS(FinParameters!$L$8:$L$39,FinParameters!$B$8:$B$39,Financials!$E16,FinParameters!$C$8:$C$39,Financials!$F16)</f>
        <v>24353632.773293957</v>
      </c>
      <c r="V16" s="73">
        <f t="shared" si="6"/>
        <v>24353632.773293957</v>
      </c>
      <c r="W16" s="12"/>
      <c r="X16" s="73">
        <f t="shared" si="7"/>
        <v>34800275.388396777</v>
      </c>
      <c r="Y16" s="73">
        <f t="shared" si="8"/>
        <v>30795463.4045064</v>
      </c>
      <c r="Z16" s="73">
        <f t="shared" si="8"/>
        <v>7272684.9257066771</v>
      </c>
      <c r="AA16" s="12">
        <f t="shared" si="9"/>
        <v>0.28347994557667544</v>
      </c>
      <c r="AB16" s="115">
        <f t="shared" si="10"/>
        <v>132.20129058144181</v>
      </c>
      <c r="AC16" s="73">
        <f>AB16/SUMIFS(FinParameters!$L$8:$L$39,FinParameters!$B$8:$B$39,Financials!$E16,FinParameters!$C$8:$C$39,Financials!$F16)</f>
        <v>122.7620405567574</v>
      </c>
      <c r="AD16" s="73">
        <f t="shared" si="11"/>
        <v>122.7620405567574</v>
      </c>
      <c r="AE16" s="12"/>
      <c r="AF16" s="73">
        <f t="shared" si="12"/>
        <v>34800407.589687362</v>
      </c>
      <c r="AG16" s="73">
        <f t="shared" si="13"/>
        <v>30795586.166546956</v>
      </c>
      <c r="AH16" s="73">
        <f t="shared" si="13"/>
        <v>7272807.6877472335</v>
      </c>
      <c r="AI16" s="12">
        <f t="shared" si="14"/>
        <v>0.28348473068381697</v>
      </c>
      <c r="AL16" s="73">
        <f>Summary!G16</f>
        <v>8293069.7662406433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0</v>
      </c>
      <c r="AN16" s="20">
        <f>Summary!I16</f>
        <v>7676064.3492178209</v>
      </c>
      <c r="AP16" s="12">
        <v>1</v>
      </c>
      <c r="AU16" s="90"/>
      <c r="AX16" s="20"/>
      <c r="AY16" s="116"/>
      <c r="AZ16" s="117"/>
    </row>
    <row r="17" spans="1:52" x14ac:dyDescent="0.3">
      <c r="A17">
        <v>13</v>
      </c>
      <c r="B17" t="str">
        <f>Summary!B17</f>
        <v>MarinusSnowyYallourn</v>
      </c>
      <c r="C17" t="str">
        <f>Summary!C17</f>
        <v>Wind</v>
      </c>
      <c r="D17" s="90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20010563.52174937</v>
      </c>
      <c r="H17" s="73">
        <f>SUMIFS(AM$5:AM17,$F$5:$F17,$F17,$D$5:$D17,$D17)</f>
        <v>4790228.1856406014</v>
      </c>
      <c r="I17" s="20">
        <f>SUMIFS(AN$5:AN17,$F$5:$F17,$F17,$D$5:$D17,$D17)</f>
        <v>11077221.927922819</v>
      </c>
      <c r="J17" s="73">
        <f t="shared" si="0"/>
        <v>11077221.927922819</v>
      </c>
      <c r="K17" s="73">
        <f t="shared" si="1"/>
        <v>31087785.449672189</v>
      </c>
      <c r="L17" s="73">
        <f t="shared" si="2"/>
        <v>35878013.635312796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6802221.9279228188</v>
      </c>
      <c r="Q17" s="73">
        <f>P17/SUMIFS(FinParameters!$H$8:$H$39,FinParameters!$B$8:$B$39,Financials!$E17,FinParameters!$C$8:$C$39,Financials!$F17)</f>
        <v>5110610.0134656774</v>
      </c>
      <c r="R17" s="73">
        <f t="shared" si="15"/>
        <v>-18852802.489808232</v>
      </c>
      <c r="S17" s="12">
        <f t="shared" si="4"/>
        <v>-0.73485809963908777</v>
      </c>
      <c r="T17" s="115">
        <f t="shared" si="5"/>
        <v>20010563.52174937</v>
      </c>
      <c r="U17" s="73">
        <f>T17/SUMIFS(FinParameters!$L$8:$L$39,FinParameters!$B$8:$B$39,Financials!$E17,FinParameters!$C$8:$C$39,Financials!$F17)</f>
        <v>18581797.498468678</v>
      </c>
      <c r="V17" s="73">
        <f t="shared" si="6"/>
        <v>18581797.498468678</v>
      </c>
      <c r="W17" s="12"/>
      <c r="X17" s="73">
        <f t="shared" si="7"/>
        <v>26812785.449672189</v>
      </c>
      <c r="Y17" s="73">
        <f t="shared" si="8"/>
        <v>23692407.511934355</v>
      </c>
      <c r="Z17" s="73">
        <f t="shared" si="8"/>
        <v>-271004.99133955315</v>
      </c>
      <c r="AA17" s="12">
        <f t="shared" si="9"/>
        <v>-1.0563427534773755E-2</v>
      </c>
      <c r="AB17" s="115">
        <f t="shared" si="10"/>
        <v>4790228.1856406014</v>
      </c>
      <c r="AC17" s="73">
        <f>AB17/SUMIFS(FinParameters!$L$8:$L$39,FinParameters!$B$8:$B$39,Financials!$E17,FinParameters!$C$8:$C$39,Financials!$F17)</f>
        <v>4448203.0713570397</v>
      </c>
      <c r="AD17" s="73">
        <f t="shared" si="11"/>
        <v>4448203.0713570397</v>
      </c>
      <c r="AE17" s="12"/>
      <c r="AF17" s="73">
        <f t="shared" si="12"/>
        <v>31603013.635312788</v>
      </c>
      <c r="AG17" s="73">
        <f t="shared" si="13"/>
        <v>28140610.583291396</v>
      </c>
      <c r="AH17" s="73">
        <f t="shared" si="13"/>
        <v>4177198.0800174866</v>
      </c>
      <c r="AI17" s="12">
        <f t="shared" si="14"/>
        <v>0.16282183216830171</v>
      </c>
      <c r="AL17" s="73">
        <f>Summary!G17</f>
        <v>6033638.4153489191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2773105.6199381454</v>
      </c>
      <c r="AN17" s="20">
        <f>Summary!I17</f>
        <v>6677177.8644283172</v>
      </c>
      <c r="AP17" s="12">
        <v>1</v>
      </c>
      <c r="AU17" s="90"/>
      <c r="AX17" s="20"/>
      <c r="AY17" s="116"/>
      <c r="AZ17" s="117"/>
    </row>
    <row r="18" spans="1:52" x14ac:dyDescent="0.3">
      <c r="A18">
        <v>14</v>
      </c>
      <c r="B18" t="str">
        <f>Summary!B18</f>
        <v>MarinusSnowyYallourn</v>
      </c>
      <c r="C18" t="str">
        <f>Summary!C18</f>
        <v>Wind</v>
      </c>
      <c r="D18" s="90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12553042.875294978</v>
      </c>
      <c r="H18" s="73">
        <f>SUMIFS(AM$5:AM18,$F$5:$F18,$F18,$D$5:$D18,$D18)</f>
        <v>11199918.280795397</v>
      </c>
      <c r="I18" s="20">
        <f>SUMIFS(AN$5:AN18,$F$5:$F18,$F18,$D$5:$D18,$D18)</f>
        <v>8883333.4607859515</v>
      </c>
      <c r="J18" s="73">
        <f t="shared" si="0"/>
        <v>8883333.4607859515</v>
      </c>
      <c r="K18" s="73">
        <f t="shared" si="1"/>
        <v>21436376.336080931</v>
      </c>
      <c r="L18" s="73">
        <f t="shared" si="2"/>
        <v>32636294.616876327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4608333.4607859515</v>
      </c>
      <c r="Q18" s="73">
        <f>P18/SUMIFS(FinParameters!$H$8:$H$39,FinParameters!$B$8:$B$39,Financials!$E18,FinParameters!$C$8:$C$39,Financials!$F18)</f>
        <v>3462309.1365784747</v>
      </c>
      <c r="R18" s="73">
        <f t="shared" si="15"/>
        <v>-21046690.956945091</v>
      </c>
      <c r="S18" s="12">
        <f t="shared" si="4"/>
        <v>-0.82037306276734701</v>
      </c>
      <c r="T18" s="115">
        <f t="shared" si="5"/>
        <v>12553042.875294978</v>
      </c>
      <c r="U18" s="73">
        <f>T18/SUMIFS(FinParameters!$L$8:$L$39,FinParameters!$B$8:$B$39,Financials!$E18,FinParameters!$C$8:$C$39,Financials!$F18)</f>
        <v>11656748.219249265</v>
      </c>
      <c r="V18" s="73">
        <f t="shared" si="6"/>
        <v>11656748.219249265</v>
      </c>
      <c r="W18" s="12"/>
      <c r="X18" s="73">
        <f t="shared" si="7"/>
        <v>17161376.336080931</v>
      </c>
      <c r="Y18" s="73">
        <f t="shared" si="8"/>
        <v>15119057.355827739</v>
      </c>
      <c r="Z18" s="73">
        <f t="shared" si="8"/>
        <v>-9389942.7376958262</v>
      </c>
      <c r="AA18" s="12">
        <f t="shared" si="9"/>
        <v>-0.3660079438944569</v>
      </c>
      <c r="AB18" s="115">
        <f t="shared" si="10"/>
        <v>11199918.280795397</v>
      </c>
      <c r="AC18" s="73">
        <f>AB18/SUMIFS(FinParameters!$L$8:$L$39,FinParameters!$B$8:$B$39,Financials!$E18,FinParameters!$C$8:$C$39,Financials!$F18)</f>
        <v>10400237.517895931</v>
      </c>
      <c r="AD18" s="73">
        <f t="shared" si="11"/>
        <v>10400237.517895931</v>
      </c>
      <c r="AE18" s="12"/>
      <c r="AF18" s="73">
        <f t="shared" si="12"/>
        <v>28361294.616876327</v>
      </c>
      <c r="AG18" s="73">
        <f t="shared" si="13"/>
        <v>25519294.873723671</v>
      </c>
      <c r="AH18" s="73">
        <f t="shared" si="13"/>
        <v>1010294.7802001052</v>
      </c>
      <c r="AI18" s="12">
        <f t="shared" si="14"/>
        <v>3.9379996828296002E-2</v>
      </c>
      <c r="AL18" s="73">
        <f>Summary!G18</f>
        <v>2223356.5953277797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6477750.6215578029</v>
      </c>
      <c r="AN18" s="20">
        <f>Summary!I18</f>
        <v>5431176.1808665041</v>
      </c>
      <c r="AP18" s="12">
        <v>1</v>
      </c>
      <c r="AU18" s="90"/>
      <c r="AX18" s="20"/>
      <c r="AY18" s="116"/>
      <c r="AZ18" s="117"/>
    </row>
    <row r="19" spans="1:52" x14ac:dyDescent="0.3">
      <c r="A19">
        <v>15</v>
      </c>
      <c r="B19" t="str">
        <f>Summary!B19</f>
        <v>MarinusSnowyYallourn</v>
      </c>
      <c r="C19" t="str">
        <f>Summary!C19</f>
        <v>Wind</v>
      </c>
      <c r="D19" s="90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972379.52002861956</v>
      </c>
      <c r="H19" s="73">
        <f>SUMIFS(AM$5:AM19,$F$5:$F19,$F19,$D$5:$D19,$D19)</f>
        <v>25793210.418980293</v>
      </c>
      <c r="I19" s="20">
        <f>SUMIFS(AN$5:AN19,$F$5:$F19,$F19,$D$5:$D19,$D19)</f>
        <v>4707709.8263169434</v>
      </c>
      <c r="J19" s="73">
        <f t="shared" si="0"/>
        <v>4707709.8263169434</v>
      </c>
      <c r="K19" s="73">
        <f t="shared" si="1"/>
        <v>5680089.3463455625</v>
      </c>
      <c r="L19" s="73">
        <f t="shared" si="2"/>
        <v>31473299.765325859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432709.82631694339</v>
      </c>
      <c r="Q19" s="73">
        <f>P19/SUMIFS(FinParameters!$H$8:$H$39,FinParameters!$B$8:$B$39,Financials!$E19,FinParameters!$C$8:$C$39,Financials!$F19)</f>
        <v>325101.29700747051</v>
      </c>
      <c r="R19" s="73">
        <f t="shared" si="15"/>
        <v>-25222314.591414109</v>
      </c>
      <c r="S19" s="12">
        <f t="shared" si="4"/>
        <v>-0.98313352506428031</v>
      </c>
      <c r="T19" s="115">
        <f t="shared" si="5"/>
        <v>972379.52002861956</v>
      </c>
      <c r="U19" s="73">
        <f>T19/SUMIFS(FinParameters!$L$8:$L$39,FinParameters!$B$8:$B$39,Financials!$E19,FinParameters!$C$8:$C$39,Financials!$F19)</f>
        <v>902951.04948900419</v>
      </c>
      <c r="V19" s="73">
        <f t="shared" si="6"/>
        <v>902951.04948900419</v>
      </c>
      <c r="W19" s="12"/>
      <c r="X19" s="73">
        <f t="shared" si="7"/>
        <v>1405089.3463455625</v>
      </c>
      <c r="Y19" s="73">
        <f t="shared" si="8"/>
        <v>1228052.3464964747</v>
      </c>
      <c r="Z19" s="73">
        <f t="shared" si="8"/>
        <v>-24319363.541925106</v>
      </c>
      <c r="AA19" s="12">
        <f t="shared" si="9"/>
        <v>-0.94793764940317815</v>
      </c>
      <c r="AB19" s="115">
        <f t="shared" si="10"/>
        <v>25793210.418980293</v>
      </c>
      <c r="AC19" s="73">
        <f>AB19/SUMIFS(FinParameters!$L$8:$L$39,FinParameters!$B$8:$B$39,Financials!$E19,FinParameters!$C$8:$C$39,Financials!$F19)</f>
        <v>23951560.000794228</v>
      </c>
      <c r="AD19" s="73">
        <f t="shared" si="11"/>
        <v>23951560.000794228</v>
      </c>
      <c r="AE19" s="12"/>
      <c r="AF19" s="73">
        <f t="shared" si="12"/>
        <v>27198299.765325855</v>
      </c>
      <c r="AG19" s="73">
        <f t="shared" si="13"/>
        <v>25179612.347290702</v>
      </c>
      <c r="AH19" s="73">
        <f t="shared" si="13"/>
        <v>-367803.54113087803</v>
      </c>
      <c r="AI19" s="12">
        <f t="shared" si="14"/>
        <v>-1.4336511053042565E-2</v>
      </c>
      <c r="AL19" s="73">
        <f>Summary!G19</f>
        <v>-2760843.3567973408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15253004.398026532</v>
      </c>
      <c r="AN19" s="20">
        <f>Summary!I19</f>
        <v>2852616.7960429494</v>
      </c>
      <c r="AP19" s="12">
        <v>1</v>
      </c>
      <c r="AU19" s="90"/>
      <c r="AX19" s="20"/>
      <c r="AY19" s="116"/>
      <c r="AZ19" s="117"/>
    </row>
    <row r="20" spans="1:52" x14ac:dyDescent="0.3">
      <c r="A20">
        <v>16</v>
      </c>
      <c r="B20" t="str">
        <f>Summary!B20</f>
        <v>MarinusSnowyYallourn</v>
      </c>
      <c r="C20" t="str">
        <f>Summary!C20</f>
        <v>Wind</v>
      </c>
      <c r="D20" s="90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28930640.141471021</v>
      </c>
      <c r="H20" s="73">
        <f>SUMIFS(AM$5:AM20,$F$5:$F20,$F20,$D$5:$D20,$D20)</f>
        <v>-424991.74562369799</v>
      </c>
      <c r="I20" s="20">
        <f>SUMIFS(AN$5:AN20,$F$5:$F20,$F20,$D$5:$D20,$D20)</f>
        <v>13156049.016918369</v>
      </c>
      <c r="J20" s="73">
        <f t="shared" si="0"/>
        <v>13156049.016918369</v>
      </c>
      <c r="K20" s="73">
        <f t="shared" si="1"/>
        <v>42086689.15838939</v>
      </c>
      <c r="L20" s="73">
        <f t="shared" si="2"/>
        <v>41661697.412765697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8881049.0169183686</v>
      </c>
      <c r="Q20" s="73">
        <f>P20/SUMIFS(FinParameters!$H$8:$H$39,FinParameters!$B$8:$B$39,Financials!$E20,FinParameters!$C$8:$C$39,Financials!$F20)</f>
        <v>6672463.5739431754</v>
      </c>
      <c r="R20" s="73">
        <f t="shared" si="15"/>
        <v>-16773975.400812678</v>
      </c>
      <c r="S20" s="12">
        <f t="shared" si="4"/>
        <v>-0.65382808169224049</v>
      </c>
      <c r="T20" s="115">
        <f t="shared" si="5"/>
        <v>28930640.141471021</v>
      </c>
      <c r="U20" s="73">
        <f>T20/SUMIFS(FinParameters!$L$8:$L$39,FinParameters!$B$8:$B$39,Financials!$E20,FinParameters!$C$8:$C$39,Financials!$F20)</f>
        <v>26864975.392901227</v>
      </c>
      <c r="V20" s="73">
        <f t="shared" si="6"/>
        <v>26864975.392901227</v>
      </c>
      <c r="W20" s="12"/>
      <c r="X20" s="73">
        <f t="shared" si="7"/>
        <v>37811689.15838939</v>
      </c>
      <c r="Y20" s="73">
        <f t="shared" si="8"/>
        <v>33537438.966844402</v>
      </c>
      <c r="Z20" s="73">
        <f t="shared" si="8"/>
        <v>10090999.992088549</v>
      </c>
      <c r="AA20" s="12">
        <f t="shared" si="9"/>
        <v>0.39333425795199478</v>
      </c>
      <c r="AB20" s="115">
        <f t="shared" si="10"/>
        <v>-424991.74562369799</v>
      </c>
      <c r="AC20" s="73">
        <f>AB20/SUMIFS(FinParameters!$L$8:$L$39,FinParameters!$B$8:$B$39,Financials!$E20,FinParameters!$C$8:$C$39,Financials!$F20)</f>
        <v>-394647.08463192167</v>
      </c>
      <c r="AD20" s="73">
        <f t="shared" si="11"/>
        <v>-394647.08463192167</v>
      </c>
      <c r="AE20" s="12"/>
      <c r="AF20" s="73">
        <f t="shared" si="12"/>
        <v>37386697.412765689</v>
      </c>
      <c r="AG20" s="73">
        <f t="shared" si="13"/>
        <v>33142791.882212482</v>
      </c>
      <c r="AH20" s="73">
        <f t="shared" si="13"/>
        <v>9696352.9074566271</v>
      </c>
      <c r="AI20" s="12">
        <f t="shared" si="14"/>
        <v>0.37795141994700859</v>
      </c>
      <c r="AL20" s="73">
        <f>Summary!G20</f>
        <v>9916997.1262300704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-249854.07067801958</v>
      </c>
      <c r="AN20" s="20">
        <f>Summary!I20</f>
        <v>7794898.1236141296</v>
      </c>
      <c r="AP20" s="12">
        <v>1</v>
      </c>
      <c r="AU20" s="90"/>
      <c r="AX20" s="20"/>
      <c r="AY20" s="116"/>
    </row>
    <row r="21" spans="1:52" x14ac:dyDescent="0.3">
      <c r="A21">
        <v>17</v>
      </c>
      <c r="B21" t="str">
        <f>Summary!B21</f>
        <v>MarinusSnowyYallourn</v>
      </c>
      <c r="C21" t="str">
        <f>Summary!C21</f>
        <v>Wind</v>
      </c>
      <c r="D21" s="90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90666589.108795375</v>
      </c>
      <c r="H21" s="73">
        <f>SUMIFS(AM$5:AM21,$F$5:$F21,$F21,$D$5:$D21,$D21)</f>
        <v>-47962299.866815567</v>
      </c>
      <c r="I21" s="20">
        <f>SUMIFS(AN$5:AN21,$F$5:$F21,$F21,$D$5:$D21,$D21)</f>
        <v>38816654.599141181</v>
      </c>
      <c r="J21" s="73">
        <f t="shared" si="0"/>
        <v>38816654.599141181</v>
      </c>
      <c r="K21" s="73">
        <f t="shared" si="1"/>
        <v>129483243.70793656</v>
      </c>
      <c r="L21" s="73">
        <f t="shared" si="2"/>
        <v>81520943.841120988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32891029.599141181</v>
      </c>
      <c r="Q21" s="73">
        <f>P21/SUMIFS(FinParameters!$H$8:$H$39,FinParameters!$B$8:$B$39,Financials!$E21,FinParameters!$C$8:$C$39,Financials!$F21)</f>
        <v>22465015.777024224</v>
      </c>
      <c r="R21" s="73">
        <f t="shared" si="15"/>
        <v>-125616.10043536872</v>
      </c>
      <c r="S21" s="12">
        <f t="shared" si="4"/>
        <v>-3.8046293853824099E-3</v>
      </c>
      <c r="T21" s="115">
        <f t="shared" si="5"/>
        <v>90666589.108795375</v>
      </c>
      <c r="U21" s="73">
        <f>T21/SUMIFS(FinParameters!$L$8:$L$39,FinParameters!$B$8:$B$39,Financials!$E21,FinParameters!$C$8:$C$39,Financials!$F21)</f>
        <v>82139454.864907622</v>
      </c>
      <c r="V21" s="73">
        <f t="shared" si="6"/>
        <v>82139454.864907622</v>
      </c>
      <c r="W21" s="12"/>
      <c r="X21" s="73">
        <f t="shared" si="7"/>
        <v>123557618.70793656</v>
      </c>
      <c r="Y21" s="73">
        <f t="shared" si="8"/>
        <v>104604470.64193185</v>
      </c>
      <c r="Z21" s="73">
        <f t="shared" si="8"/>
        <v>82013838.764472246</v>
      </c>
      <c r="AA21" s="12">
        <f t="shared" si="9"/>
        <v>2.4840148666441939</v>
      </c>
      <c r="AB21" s="115">
        <f t="shared" si="10"/>
        <v>-47962299.866815567</v>
      </c>
      <c r="AC21" s="73">
        <f>AB21/SUMIFS(FinParameters!$L$8:$L$39,FinParameters!$B$8:$B$39,Financials!$E21,FinParameters!$C$8:$C$39,Financials!$F21)</f>
        <v>-43451476.490420766</v>
      </c>
      <c r="AD21" s="73">
        <f t="shared" si="11"/>
        <v>-43451476.490420766</v>
      </c>
      <c r="AE21" s="12"/>
      <c r="AF21" s="73">
        <f t="shared" si="12"/>
        <v>75595318.841120988</v>
      </c>
      <c r="AG21" s="73">
        <f t="shared" si="13"/>
        <v>61152994.151511081</v>
      </c>
      <c r="AH21" s="73">
        <f t="shared" si="13"/>
        <v>38562362.27405148</v>
      </c>
      <c r="AI21" s="12">
        <f t="shared" si="14"/>
        <v>1.1679672921633604</v>
      </c>
      <c r="AL21" s="73">
        <f>Summary!G21</f>
        <v>19179000.014053375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-14909304.262246892</v>
      </c>
      <c r="AN21" s="20">
        <f>Summary!I21</f>
        <v>12631843.59317591</v>
      </c>
      <c r="AP21" s="12">
        <v>1</v>
      </c>
    </row>
    <row r="22" spans="1:52" x14ac:dyDescent="0.3">
      <c r="A22">
        <v>18</v>
      </c>
      <c r="B22" t="str">
        <f>Summary!B22</f>
        <v>MarinusSnowyYallourn</v>
      </c>
      <c r="C22" t="str">
        <f>Summary!C22</f>
        <v>Wind</v>
      </c>
      <c r="D22" s="90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63085509.717595197</v>
      </c>
      <c r="H22" s="73">
        <f>SUMIFS(AM$5:AM22,$F$5:$F22,$F22,$D$5:$D22,$D22)</f>
        <v>-20723735.614567924</v>
      </c>
      <c r="I22" s="20">
        <f>SUMIFS(AN$5:AN22,$F$5:$F22,$F22,$D$5:$D22,$D22)</f>
        <v>28002627.654024303</v>
      </c>
      <c r="J22" s="73">
        <f t="shared" si="0"/>
        <v>28002627.654024303</v>
      </c>
      <c r="K22" s="73">
        <f t="shared" si="1"/>
        <v>91088137.371619493</v>
      </c>
      <c r="L22" s="73">
        <f t="shared" si="2"/>
        <v>70364401.757051572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22077002.654024303</v>
      </c>
      <c r="Q22" s="73">
        <f>P22/SUMIFS(FinParameters!$H$8:$H$39,FinParameters!$B$8:$B$39,Financials!$E22,FinParameters!$C$8:$C$39,Financials!$F22)</f>
        <v>15078889.866828969</v>
      </c>
      <c r="R22" s="73">
        <f t="shared" si="15"/>
        <v>-10939643.045552246</v>
      </c>
      <c r="S22" s="12">
        <f t="shared" si="4"/>
        <v>-0.33133720321239513</v>
      </c>
      <c r="T22" s="115">
        <f t="shared" si="5"/>
        <v>63085509.717595197</v>
      </c>
      <c r="U22" s="73">
        <f>T22/SUMIFS(FinParameters!$L$8:$L$39,FinParameters!$B$8:$B$39,Financials!$E22,FinParameters!$C$8:$C$39,Financials!$F22)</f>
        <v>57152358.206176579</v>
      </c>
      <c r="V22" s="73">
        <f t="shared" si="6"/>
        <v>57152358.206176579</v>
      </c>
      <c r="W22" s="12"/>
      <c r="X22" s="73">
        <f t="shared" si="7"/>
        <v>85162512.371619493</v>
      </c>
      <c r="Y22" s="73">
        <f t="shared" si="8"/>
        <v>72231248.073005542</v>
      </c>
      <c r="Z22" s="73">
        <f t="shared" si="8"/>
        <v>46212715.160624333</v>
      </c>
      <c r="AA22" s="12">
        <f t="shared" si="9"/>
        <v>1.3996792884752987</v>
      </c>
      <c r="AB22" s="115">
        <f t="shared" si="10"/>
        <v>-20723735.614567924</v>
      </c>
      <c r="AC22" s="73">
        <f>AB22/SUMIFS(FinParameters!$L$8:$L$39,FinParameters!$B$8:$B$39,Financials!$E22,FinParameters!$C$8:$C$39,Financials!$F22)</f>
        <v>-18774681.64267746</v>
      </c>
      <c r="AD22" s="73">
        <f t="shared" si="11"/>
        <v>-18774681.64267746</v>
      </c>
      <c r="AE22" s="12"/>
      <c r="AF22" s="73">
        <f t="shared" si="12"/>
        <v>64438776.757051572</v>
      </c>
      <c r="AG22" s="73">
        <f t="shared" si="13"/>
        <v>53456566.430328086</v>
      </c>
      <c r="AH22" s="73">
        <f t="shared" si="13"/>
        <v>27438033.517946873</v>
      </c>
      <c r="AI22" s="12">
        <f t="shared" si="14"/>
        <v>0.8310363738221529</v>
      </c>
      <c r="AL22" s="73">
        <f>Summary!G22</f>
        <v>12814810.71424228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-7426189.0883540092</v>
      </c>
      <c r="AN22" s="20">
        <f>Summary!I22</f>
        <v>9522709.557614902</v>
      </c>
      <c r="AP22" s="12">
        <v>1</v>
      </c>
    </row>
    <row r="23" spans="1:52" x14ac:dyDescent="0.3">
      <c r="A23">
        <v>19</v>
      </c>
      <c r="B23" t="str">
        <f>Summary!B23</f>
        <v>MarinusSnowyYallourn</v>
      </c>
      <c r="C23" t="str">
        <f>Summary!C23</f>
        <v>Wind</v>
      </c>
      <c r="D23" s="90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44452385.133129254</v>
      </c>
      <c r="H23" s="73">
        <f>SUMIFS(AM$5:AM23,$F$5:$F23,$F23,$D$5:$D23,$D23)</f>
        <v>-8403990.3989704046</v>
      </c>
      <c r="I23" s="20">
        <f>SUMIFS(AN$5:AN23,$F$5:$F23,$F23,$D$5:$D23,$D23)</f>
        <v>22934125.502888583</v>
      </c>
      <c r="J23" s="73">
        <f t="shared" si="0"/>
        <v>22934125.502888583</v>
      </c>
      <c r="K23" s="73">
        <f t="shared" si="1"/>
        <v>67386510.636017829</v>
      </c>
      <c r="L23" s="73">
        <f t="shared" si="2"/>
        <v>58982520.237047434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17008500.502888583</v>
      </c>
      <c r="Q23" s="73">
        <f>P23/SUMIFS(FinParameters!$H$8:$H$39,FinParameters!$B$8:$B$39,Financials!$E23,FinParameters!$C$8:$C$39,Financials!$F23)</f>
        <v>11617034.699056469</v>
      </c>
      <c r="R23" s="73">
        <f t="shared" si="15"/>
        <v>-16008145.196687967</v>
      </c>
      <c r="S23" s="12">
        <f t="shared" si="4"/>
        <v>-0.48485074293580577</v>
      </c>
      <c r="T23" s="115">
        <f t="shared" si="5"/>
        <v>44452385.133129254</v>
      </c>
      <c r="U23" s="73">
        <f>T23/SUMIFS(FinParameters!$L$8:$L$39,FinParameters!$B$8:$B$39,Financials!$E23,FinParameters!$C$8:$C$39,Financials!$F23)</f>
        <v>40271666.974245489</v>
      </c>
      <c r="V23" s="73">
        <f t="shared" si="6"/>
        <v>40271666.974245489</v>
      </c>
      <c r="W23" s="12"/>
      <c r="X23" s="73">
        <f t="shared" si="7"/>
        <v>61460885.636017829</v>
      </c>
      <c r="Y23" s="73">
        <f t="shared" si="8"/>
        <v>51888701.673301958</v>
      </c>
      <c r="Z23" s="73">
        <f t="shared" si="8"/>
        <v>24263521.777557522</v>
      </c>
      <c r="AA23" s="12">
        <f t="shared" si="9"/>
        <v>0.73488754727948369</v>
      </c>
      <c r="AB23" s="115">
        <f t="shared" si="10"/>
        <v>-8403990.3989704046</v>
      </c>
      <c r="AC23" s="73">
        <f>AB23/SUMIFS(FinParameters!$L$8:$L$39,FinParameters!$B$8:$B$39,Financials!$E23,FinParameters!$C$8:$C$39,Financials!$F23)</f>
        <v>-7613600.5208381889</v>
      </c>
      <c r="AD23" s="73">
        <f t="shared" si="11"/>
        <v>-7613600.5208381889</v>
      </c>
      <c r="AE23" s="12"/>
      <c r="AF23" s="73">
        <f t="shared" si="12"/>
        <v>53056895.237047426</v>
      </c>
      <c r="AG23" s="73">
        <f t="shared" si="13"/>
        <v>44275101.152463771</v>
      </c>
      <c r="AH23" s="73">
        <f t="shared" si="13"/>
        <v>16649921.256719332</v>
      </c>
      <c r="AI23" s="12">
        <f t="shared" si="14"/>
        <v>0.50428869753213224</v>
      </c>
      <c r="AL23" s="73">
        <f>Summary!G23</f>
        <v>7218284.8792932946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-2976573.9344068612</v>
      </c>
      <c r="AN23" s="20">
        <f>Summary!I23</f>
        <v>7972799.9440439055</v>
      </c>
      <c r="AP23" s="12">
        <v>1</v>
      </c>
    </row>
    <row r="24" spans="1:52" x14ac:dyDescent="0.3">
      <c r="A24">
        <v>20</v>
      </c>
      <c r="B24" t="str">
        <f>Summary!B24</f>
        <v>MarinusSnowyYallourn</v>
      </c>
      <c r="C24" t="str">
        <f>Summary!C24</f>
        <v>Wind</v>
      </c>
      <c r="D24" s="90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29604488.17694762</v>
      </c>
      <c r="H24" s="73">
        <f>SUMIFS(AM$5:AM24,$F$5:$F24,$F24,$D$5:$D24,$D24)</f>
        <v>132.20129057988146</v>
      </c>
      <c r="I24" s="20">
        <f>SUMIFS(AN$5:AN24,$F$5:$F24,$F24,$D$5:$D24,$D24)</f>
        <v>19735511.918006234</v>
      </c>
      <c r="J24" s="73">
        <f t="shared" si="0"/>
        <v>19735511.918006234</v>
      </c>
      <c r="K24" s="73">
        <f t="shared" si="1"/>
        <v>49340000.09495385</v>
      </c>
      <c r="L24" s="73">
        <f t="shared" si="2"/>
        <v>49340132.296244435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13809886.918006234</v>
      </c>
      <c r="Q24" s="73">
        <f>P24/SUMIFS(FinParameters!$H$8:$H$39,FinParameters!$B$8:$B$39,Financials!$E24,FinParameters!$C$8:$C$39,Financials!$F24)</f>
        <v>9432338.5820683204</v>
      </c>
      <c r="R24" s="73">
        <f t="shared" si="15"/>
        <v>-19206758.781570315</v>
      </c>
      <c r="S24" s="12">
        <f t="shared" si="4"/>
        <v>-0.58172956018414224</v>
      </c>
      <c r="T24" s="115">
        <f t="shared" si="5"/>
        <v>29604488.17694762</v>
      </c>
      <c r="U24" s="73">
        <f>T24/SUMIFS(FinParameters!$L$8:$L$39,FinParameters!$B$8:$B$39,Financials!$E24,FinParameters!$C$8:$C$39,Financials!$F24)</f>
        <v>26820205.152872421</v>
      </c>
      <c r="V24" s="73">
        <f t="shared" si="6"/>
        <v>26820205.152872421</v>
      </c>
      <c r="W24" s="12"/>
      <c r="X24" s="73">
        <f t="shared" si="7"/>
        <v>43414375.09495385</v>
      </c>
      <c r="Y24" s="73">
        <f t="shared" si="8"/>
        <v>36252543.734940737</v>
      </c>
      <c r="Z24" s="73">
        <f t="shared" si="8"/>
        <v>7613446.3713021055</v>
      </c>
      <c r="AA24" s="12">
        <f t="shared" si="9"/>
        <v>0.23059418090432338</v>
      </c>
      <c r="AB24" s="115">
        <f t="shared" si="10"/>
        <v>132.20129057988146</v>
      </c>
      <c r="AC24" s="73">
        <f>AB24/SUMIFS(FinParameters!$L$8:$L$39,FinParameters!$B$8:$B$39,Financials!$E24,FinParameters!$C$8:$C$39,Financials!$F24)</f>
        <v>119.76784444420339</v>
      </c>
      <c r="AD24" s="73">
        <f t="shared" si="11"/>
        <v>119.76784444420339</v>
      </c>
      <c r="AE24" s="12"/>
      <c r="AF24" s="73">
        <f t="shared" si="12"/>
        <v>43414507.296244428</v>
      </c>
      <c r="AG24" s="73">
        <f t="shared" si="13"/>
        <v>36252663.502785183</v>
      </c>
      <c r="AH24" s="73">
        <f t="shared" si="13"/>
        <v>7613566.1391465496</v>
      </c>
      <c r="AI24" s="12">
        <f t="shared" si="14"/>
        <v>0.23059780840317756</v>
      </c>
      <c r="AL24" s="73">
        <f>Summary!G24</f>
        <v>3378289.3586946107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-1.56035184772918E-9</v>
      </c>
      <c r="AN24" s="20">
        <f>Summary!I24</f>
        <v>6886435.3478624709</v>
      </c>
      <c r="AP24" s="12">
        <v>1</v>
      </c>
    </row>
    <row r="25" spans="1:52" x14ac:dyDescent="0.3">
      <c r="A25">
        <v>21</v>
      </c>
      <c r="B25" t="str">
        <f>Summary!B25</f>
        <v>MarinusSnowyYallourn</v>
      </c>
      <c r="C25" t="str">
        <f>Summary!C25</f>
        <v>Wind</v>
      </c>
      <c r="D25" s="90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20903611.202221569</v>
      </c>
      <c r="H25" s="73">
        <f>SUMIFS(AM$5:AM25,$F$5:$F25,$F25,$D$5:$D25,$D25)</f>
        <v>7701276.5578484461</v>
      </c>
      <c r="I25" s="20">
        <f>SUMIFS(AN$5:AN25,$F$5:$F25,$F25,$D$5:$D25,$D25)</f>
        <v>17018194.65452721</v>
      </c>
      <c r="J25" s="73">
        <f t="shared" si="0"/>
        <v>17018194.65452721</v>
      </c>
      <c r="K25" s="73">
        <f t="shared" si="1"/>
        <v>37921805.856748775</v>
      </c>
      <c r="L25" s="73">
        <f t="shared" si="2"/>
        <v>45623082.414597228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11092569.65452721</v>
      </c>
      <c r="Q25" s="73">
        <f>P25/SUMIFS(FinParameters!$H$8:$H$39,FinParameters!$B$8:$B$39,Financials!$E25,FinParameters!$C$8:$C$39,Financials!$F25)</f>
        <v>7576374.3286163546</v>
      </c>
      <c r="R25" s="73">
        <f t="shared" si="15"/>
        <v>-21924076.04504934</v>
      </c>
      <c r="S25" s="12">
        <f t="shared" si="4"/>
        <v>-0.66403099347340799</v>
      </c>
      <c r="T25" s="115">
        <f t="shared" si="5"/>
        <v>20903611.202221569</v>
      </c>
      <c r="U25" s="73">
        <f>T25/SUMIFS(FinParameters!$L$8:$L$39,FinParameters!$B$8:$B$39,Financials!$E25,FinParameters!$C$8:$C$39,Financials!$F25)</f>
        <v>18937640.047296014</v>
      </c>
      <c r="V25" s="73">
        <f t="shared" si="6"/>
        <v>18937640.047296014</v>
      </c>
      <c r="W25" s="12"/>
      <c r="X25" s="73">
        <f t="shared" si="7"/>
        <v>31996180.856748775</v>
      </c>
      <c r="Y25" s="73">
        <f t="shared" si="8"/>
        <v>26514014.375912368</v>
      </c>
      <c r="Z25" s="73">
        <f t="shared" si="8"/>
        <v>-2986435.9977533258</v>
      </c>
      <c r="AA25" s="12">
        <f t="shared" si="9"/>
        <v>-9.0452434960454756E-2</v>
      </c>
      <c r="AB25" s="115">
        <f t="shared" si="10"/>
        <v>7701276.5578484461</v>
      </c>
      <c r="AC25" s="73">
        <f>AB25/SUMIFS(FinParameters!$L$8:$L$39,FinParameters!$B$8:$B$39,Financials!$E25,FinParameters!$C$8:$C$39,Financials!$F25)</f>
        <v>6976976.4633640377</v>
      </c>
      <c r="AD25" s="73">
        <f t="shared" si="11"/>
        <v>6976976.4633640377</v>
      </c>
      <c r="AE25" s="12"/>
      <c r="AF25" s="73">
        <f t="shared" si="12"/>
        <v>39697457.414597221</v>
      </c>
      <c r="AG25" s="73">
        <f t="shared" si="13"/>
        <v>33490990.839276407</v>
      </c>
      <c r="AH25" s="73">
        <f t="shared" si="13"/>
        <v>3990540.4656107118</v>
      </c>
      <c r="AI25" s="12">
        <f t="shared" si="14"/>
        <v>0.12086450276994347</v>
      </c>
      <c r="AL25" s="73">
        <f>Summary!G25</f>
        <v>893047.68047220027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2911048.3722078446</v>
      </c>
      <c r="AN25" s="20">
        <f>Summary!I25</f>
        <v>5940972.726604389</v>
      </c>
      <c r="AP25" s="12">
        <v>1</v>
      </c>
    </row>
    <row r="26" spans="1:52" x14ac:dyDescent="0.3">
      <c r="A26">
        <v>22</v>
      </c>
      <c r="B26" t="str">
        <f>Summary!B26</f>
        <v>MarinusSnowyYallourn</v>
      </c>
      <c r="C26" t="str">
        <f>Summary!C26</f>
        <v>Wind</v>
      </c>
      <c r="D26" s="90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10343955.02060969</v>
      </c>
      <c r="H26" s="73">
        <f>SUMIFS(AM$5:AM26,$F$5:$F26,$F26,$D$5:$D26,$D26)</f>
        <v>17955562.219091401</v>
      </c>
      <c r="I26" s="20">
        <f>SUMIFS(AN$5:AN26,$F$5:$F26,$F26,$D$5:$D26,$D26)</f>
        <v>13618317.08333417</v>
      </c>
      <c r="J26" s="73">
        <f t="shared" si="0"/>
        <v>13618317.08333417</v>
      </c>
      <c r="K26" s="73">
        <f t="shared" si="1"/>
        <v>23962272.103943862</v>
      </c>
      <c r="L26" s="73">
        <f t="shared" si="2"/>
        <v>41917834.323035263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7692692.0833341703</v>
      </c>
      <c r="Q26" s="73">
        <f>P26/SUMIFS(FinParameters!$H$8:$H$39,FinParameters!$B$8:$B$39,Financials!$E26,FinParameters!$C$8:$C$39,Financials!$F26)</f>
        <v>5254212.200897594</v>
      </c>
      <c r="R26" s="73">
        <f t="shared" si="15"/>
        <v>-25323953.616242379</v>
      </c>
      <c r="S26" s="12">
        <f t="shared" si="4"/>
        <v>-0.76700564456695153</v>
      </c>
      <c r="T26" s="115">
        <f t="shared" si="5"/>
        <v>10343955.02060969</v>
      </c>
      <c r="U26" s="73">
        <f>T26/SUMIFS(FinParameters!$L$8:$L$39,FinParameters!$B$8:$B$39,Financials!$E26,FinParameters!$C$8:$C$39,Financials!$F26)</f>
        <v>9371112.7207010109</v>
      </c>
      <c r="V26" s="73">
        <f t="shared" si="6"/>
        <v>9371112.7207010109</v>
      </c>
      <c r="W26" s="12"/>
      <c r="X26" s="73">
        <f t="shared" si="7"/>
        <v>18036647.103943862</v>
      </c>
      <c r="Y26" s="73">
        <f t="shared" si="8"/>
        <v>14625324.921598606</v>
      </c>
      <c r="Z26" s="73">
        <f t="shared" si="8"/>
        <v>-15952840.895541368</v>
      </c>
      <c r="AA26" s="12">
        <f t="shared" si="9"/>
        <v>-0.48317569993931786</v>
      </c>
      <c r="AB26" s="115">
        <f t="shared" si="10"/>
        <v>17955562.219091401</v>
      </c>
      <c r="AC26" s="73">
        <f>AB26/SUMIFS(FinParameters!$L$8:$L$39,FinParameters!$B$8:$B$39,Financials!$E26,FinParameters!$C$8:$C$39,Financials!$F26)</f>
        <v>16266853.170127975</v>
      </c>
      <c r="AD26" s="73">
        <f t="shared" si="11"/>
        <v>16266853.170127975</v>
      </c>
      <c r="AE26" s="12"/>
      <c r="AF26" s="73">
        <f t="shared" si="12"/>
        <v>35992209.323035263</v>
      </c>
      <c r="AG26" s="73">
        <f t="shared" si="13"/>
        <v>30892178.091726579</v>
      </c>
      <c r="AH26" s="73">
        <f t="shared" si="13"/>
        <v>314012.27458660677</v>
      </c>
      <c r="AI26" s="12">
        <f t="shared" si="14"/>
        <v>9.5107261180875837E-3</v>
      </c>
      <c r="AL26" s="73">
        <f>Summary!G26</f>
        <v>-2209087.8546852884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6755643.9382960051</v>
      </c>
      <c r="AN26" s="20">
        <f>Summary!I26</f>
        <v>4734983.6225482197</v>
      </c>
      <c r="AP26" s="12">
        <v>1</v>
      </c>
    </row>
    <row r="27" spans="1:52" x14ac:dyDescent="0.3">
      <c r="A27">
        <v>23</v>
      </c>
      <c r="B27" t="str">
        <f>Summary!B27</f>
        <v>MarinusSnowyYallourn</v>
      </c>
      <c r="C27" t="str">
        <f>Summary!C27</f>
        <v>Wind</v>
      </c>
      <c r="D27" s="90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-6020884.1564858928</v>
      </c>
      <c r="H27" s="73">
        <f>SUMIFS(AM$5:AM27,$F$5:$F27,$F27,$D$5:$D27,$D27)</f>
        <v>40175020.384541623</v>
      </c>
      <c r="I27" s="20">
        <f>SUMIFS(AN$5:AN27,$F$5:$F27,$F27,$D$5:$D27,$D27)</f>
        <v>7785017.9119294202</v>
      </c>
      <c r="J27" s="73">
        <f t="shared" si="0"/>
        <v>7785017.9119294202</v>
      </c>
      <c r="K27" s="73">
        <f t="shared" si="1"/>
        <v>1764133.7554435274</v>
      </c>
      <c r="L27" s="73">
        <f t="shared" si="2"/>
        <v>41939154.139985152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1859392.9119294202</v>
      </c>
      <c r="Q27" s="73">
        <f>P27/SUMIFS(FinParameters!$H$8:$H$39,FinParameters!$B$8:$B$39,Financials!$E27,FinParameters!$C$8:$C$39,Financials!$F27)</f>
        <v>1269990.3776582333</v>
      </c>
      <c r="R27" s="73">
        <f t="shared" si="15"/>
        <v>-31157252.787647136</v>
      </c>
      <c r="S27" s="12">
        <f t="shared" si="4"/>
        <v>-0.94368316730753599</v>
      </c>
      <c r="T27" s="115">
        <f t="shared" si="5"/>
        <v>-6020884.1564858928</v>
      </c>
      <c r="U27" s="73">
        <f>T27/SUMIFS(FinParameters!$L$8:$L$39,FinParameters!$B$8:$B$39,Financials!$E27,FinParameters!$C$8:$C$39,Financials!$F27)</f>
        <v>-5454623.8838330237</v>
      </c>
      <c r="V27" s="73">
        <f t="shared" si="6"/>
        <v>-5454623.8838330237</v>
      </c>
      <c r="W27" s="12"/>
      <c r="X27" s="73">
        <f t="shared" si="7"/>
        <v>-4161491.2445564726</v>
      </c>
      <c r="Y27" s="73">
        <f t="shared" si="8"/>
        <v>-4184633.5061747907</v>
      </c>
      <c r="Z27" s="73">
        <f t="shared" si="8"/>
        <v>-36611876.671480156</v>
      </c>
      <c r="AA27" s="12">
        <f t="shared" si="9"/>
        <v>-1.1088914665837699</v>
      </c>
      <c r="AB27" s="115">
        <f t="shared" si="10"/>
        <v>40175020.384541623</v>
      </c>
      <c r="AC27" s="73">
        <f>AB27/SUMIFS(FinParameters!$L$8:$L$39,FinParameters!$B$8:$B$39,Financials!$E27,FinParameters!$C$8:$C$39,Financials!$F27)</f>
        <v>36396585.622218788</v>
      </c>
      <c r="AD27" s="73">
        <f t="shared" si="11"/>
        <v>36396585.622218788</v>
      </c>
      <c r="AE27" s="12"/>
      <c r="AF27" s="73">
        <f t="shared" si="12"/>
        <v>36013529.139985152</v>
      </c>
      <c r="AG27" s="73">
        <f t="shared" si="13"/>
        <v>32211952.116043996</v>
      </c>
      <c r="AH27" s="73">
        <f t="shared" si="13"/>
        <v>-215291.04926136881</v>
      </c>
      <c r="AI27" s="12">
        <f t="shared" si="14"/>
        <v>-6.5206820589933517E-3</v>
      </c>
      <c r="AL27" s="73">
        <f>Summary!G27</f>
        <v>-6993263.6765145119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14381809.96556133</v>
      </c>
      <c r="AN27" s="20">
        <f>Summary!I27</f>
        <v>3077308.0856124768</v>
      </c>
      <c r="AP27" s="12">
        <v>1</v>
      </c>
    </row>
    <row r="28" spans="1:52" x14ac:dyDescent="0.3">
      <c r="A28">
        <v>24</v>
      </c>
      <c r="B28" t="str">
        <f>Summary!B28</f>
        <v>MarinusSnowyYallourn</v>
      </c>
      <c r="C28" t="str">
        <f>Summary!C28</f>
        <v>Wind</v>
      </c>
      <c r="D28" s="90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33150694.877183214</v>
      </c>
      <c r="H28" s="73">
        <f>SUMIFS(AM$5:AM28,$F$5:$F28,$F28,$D$5:$D28,$D28)</f>
        <v>-553709.62243720936</v>
      </c>
      <c r="I28" s="20">
        <f>SUMIFS(AN$5:AN28,$F$5:$F28,$F28,$D$5:$D28,$D28)</f>
        <v>20152242.551310156</v>
      </c>
      <c r="J28" s="73">
        <f t="shared" si="0"/>
        <v>20152242.551310156</v>
      </c>
      <c r="K28" s="73">
        <f t="shared" si="1"/>
        <v>53302937.428493366</v>
      </c>
      <c r="L28" s="73">
        <f t="shared" si="2"/>
        <v>52749227.806056157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14226617.551310156</v>
      </c>
      <c r="Q28" s="73">
        <f>P28/SUMIFS(FinParameters!$H$8:$H$39,FinParameters!$B$8:$B$39,Financials!$E28,FinParameters!$C$8:$C$39,Financials!$F28)</f>
        <v>9716971.2118777055</v>
      </c>
      <c r="R28" s="73">
        <f t="shared" si="15"/>
        <v>-18790028.148266397</v>
      </c>
      <c r="S28" s="12">
        <f t="shared" si="4"/>
        <v>-0.56910772581926417</v>
      </c>
      <c r="T28" s="115">
        <f t="shared" si="5"/>
        <v>33150694.877183214</v>
      </c>
      <c r="U28" s="73">
        <f>T28/SUMIFS(FinParameters!$L$8:$L$39,FinParameters!$B$8:$B$39,Financials!$E28,FinParameters!$C$8:$C$39,Financials!$F28)</f>
        <v>30032893.399544068</v>
      </c>
      <c r="V28" s="73">
        <f t="shared" si="6"/>
        <v>30032893.399544068</v>
      </c>
      <c r="W28" s="12"/>
      <c r="X28" s="73">
        <f t="shared" si="7"/>
        <v>47377312.428493366</v>
      </c>
      <c r="Y28" s="73">
        <f t="shared" si="8"/>
        <v>39749864.611421771</v>
      </c>
      <c r="Z28" s="73">
        <f t="shared" si="8"/>
        <v>11242865.25127767</v>
      </c>
      <c r="AA28" s="12">
        <f t="shared" si="9"/>
        <v>0.34052112239317711</v>
      </c>
      <c r="AB28" s="115">
        <f t="shared" si="10"/>
        <v>-553709.62243720936</v>
      </c>
      <c r="AC28" s="73">
        <f>AB28/SUMIFS(FinParameters!$L$8:$L$39,FinParameters!$B$8:$B$39,Financials!$E28,FinParameters!$C$8:$C$39,Financials!$F28)</f>
        <v>-501633.5894788187</v>
      </c>
      <c r="AD28" s="73">
        <f t="shared" si="11"/>
        <v>-501633.5894788187</v>
      </c>
      <c r="AE28" s="12"/>
      <c r="AF28" s="73">
        <f t="shared" si="12"/>
        <v>46823602.806056157</v>
      </c>
      <c r="AG28" s="73">
        <f t="shared" si="13"/>
        <v>39248231.021942951</v>
      </c>
      <c r="AH28" s="73">
        <f t="shared" si="13"/>
        <v>10741231.661798852</v>
      </c>
      <c r="AI28" s="12">
        <f t="shared" si="14"/>
        <v>0.32532776828800064</v>
      </c>
      <c r="AL28" s="73">
        <f>Summary!G28</f>
        <v>4220054.735712192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-128717.87681351135</v>
      </c>
      <c r="AN28" s="20">
        <f>Summary!I28</f>
        <v>6996193.5343917878</v>
      </c>
      <c r="AP28" s="12">
        <v>1</v>
      </c>
    </row>
    <row r="29" spans="1:52" x14ac:dyDescent="0.3">
      <c r="A29">
        <v>25</v>
      </c>
      <c r="B29" t="str">
        <f>Summary!B29</f>
        <v>MarinusSnowyYallourn</v>
      </c>
      <c r="C29" t="str">
        <f>Summary!C29</f>
        <v>Wind</v>
      </c>
      <c r="D29" s="90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108535062.17561491</v>
      </c>
      <c r="H29" s="73">
        <f>SUMIFS(AM$5:AM29,$F$5:$F29,$F29,$D$5:$D29,$D29)</f>
        <v>-67288023.870336309</v>
      </c>
      <c r="I29" s="20">
        <f>SUMIFS(AN$5:AN29,$F$5:$F29,$F29,$D$5:$D29,$D29)</f>
        <v>50730732.532351412</v>
      </c>
      <c r="J29" s="73">
        <f t="shared" si="0"/>
        <v>50730732.532351412</v>
      </c>
      <c r="K29" s="73">
        <f t="shared" si="1"/>
        <v>159265794.70796633</v>
      </c>
      <c r="L29" s="73">
        <f t="shared" si="2"/>
        <v>91977770.837630004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43128216.907351412</v>
      </c>
      <c r="Q29" s="73">
        <f>P29/SUMIFS(FinParameters!$H$8:$H$39,FinParameters!$B$8:$B$39,Financials!$E29,FinParameters!$C$8:$C$39,Financials!$F29)</f>
        <v>26779229.503294852</v>
      </c>
      <c r="R29" s="73">
        <f t="shared" si="15"/>
        <v>3870924.07566493</v>
      </c>
      <c r="S29" s="12">
        <f t="shared" si="4"/>
        <v>9.8603948373651426E-2</v>
      </c>
      <c r="T29" s="115">
        <f t="shared" si="5"/>
        <v>108535062.17561491</v>
      </c>
      <c r="U29" s="73">
        <f>T29/SUMIFS(FinParameters!$L$8:$L$39,FinParameters!$B$8:$B$39,Financials!$E29,FinParameters!$C$8:$C$39,Financials!$F29)</f>
        <v>95929180.059882775</v>
      </c>
      <c r="V29" s="73">
        <f t="shared" si="6"/>
        <v>95929180.059882775</v>
      </c>
      <c r="W29" s="12"/>
      <c r="X29" s="73">
        <f t="shared" si="7"/>
        <v>151663279.08296633</v>
      </c>
      <c r="Y29" s="73">
        <f t="shared" si="8"/>
        <v>122708409.56317763</v>
      </c>
      <c r="Z29" s="73">
        <f t="shared" si="8"/>
        <v>99800104.135547698</v>
      </c>
      <c r="AA29" s="12">
        <f t="shared" si="9"/>
        <v>2.5422054588286369</v>
      </c>
      <c r="AB29" s="115">
        <f t="shared" si="10"/>
        <v>-67288023.870336309</v>
      </c>
      <c r="AC29" s="73">
        <f>AB29/SUMIFS(FinParameters!$L$8:$L$39,FinParameters!$B$8:$B$39,Financials!$E29,FinParameters!$C$8:$C$39,Financials!$F29)</f>
        <v>-59472808.402568288</v>
      </c>
      <c r="AD29" s="73">
        <f t="shared" si="11"/>
        <v>-59472808.402568288</v>
      </c>
      <c r="AE29" s="12"/>
      <c r="AF29" s="73">
        <f t="shared" si="12"/>
        <v>84375255.212630019</v>
      </c>
      <c r="AG29" s="73">
        <f t="shared" si="13"/>
        <v>63235601.160609342</v>
      </c>
      <c r="AH29" s="73">
        <f t="shared" si="13"/>
        <v>40327295.732979409</v>
      </c>
      <c r="AI29" s="12">
        <f t="shared" si="14"/>
        <v>1.0272561560951365</v>
      </c>
      <c r="AL29" s="73">
        <f>Summary!G29</f>
        <v>17868473.066819534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-19325724.003520742</v>
      </c>
      <c r="AN29" s="20">
        <f>Summary!I29</f>
        <v>11914077.933210233</v>
      </c>
      <c r="AP29" s="12">
        <v>1</v>
      </c>
    </row>
    <row r="30" spans="1:52" x14ac:dyDescent="0.3">
      <c r="A30">
        <v>26</v>
      </c>
      <c r="B30" t="str">
        <f>Summary!B30</f>
        <v>MarinusSnowyYallourn</v>
      </c>
      <c r="C30" t="str">
        <f>Summary!C30</f>
        <v>Wind</v>
      </c>
      <c r="D30" s="90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73046567.876522616</v>
      </c>
      <c r="H30" s="73">
        <f>SUMIFS(AM$5:AM30,$F$5:$F30,$F30,$D$5:$D30,$D30)</f>
        <v>-27861802.364812829</v>
      </c>
      <c r="I30" s="20">
        <f>SUMIFS(AN$5:AN30,$F$5:$F30,$F30,$D$5:$D30,$D30)</f>
        <v>37670485.146147013</v>
      </c>
      <c r="J30" s="73">
        <f t="shared" si="0"/>
        <v>37670485.146147013</v>
      </c>
      <c r="K30" s="73">
        <f t="shared" si="1"/>
        <v>110717053.02266963</v>
      </c>
      <c r="L30" s="73">
        <f t="shared" si="2"/>
        <v>82855250.657856792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30067969.521147013</v>
      </c>
      <c r="Q30" s="73">
        <f>P30/SUMIFS(FinParameters!$H$8:$H$39,FinParameters!$B$8:$B$39,Financials!$E30,FinParameters!$C$8:$C$39,Financials!$F30)</f>
        <v>18669843.416772947</v>
      </c>
      <c r="R30" s="73">
        <f t="shared" si="15"/>
        <v>-9189323.3105394691</v>
      </c>
      <c r="S30" s="12">
        <f t="shared" si="4"/>
        <v>-0.23407939385780357</v>
      </c>
      <c r="T30" s="115">
        <f t="shared" si="5"/>
        <v>73046567.876522616</v>
      </c>
      <c r="U30" s="73">
        <f>T30/SUMIFS(FinParameters!$L$8:$L$39,FinParameters!$B$8:$B$39,Financials!$E30,FinParameters!$C$8:$C$39,Financials!$F30)</f>
        <v>64562522.212824136</v>
      </c>
      <c r="V30" s="73">
        <f t="shared" si="6"/>
        <v>64562522.212824136</v>
      </c>
      <c r="W30" s="12"/>
      <c r="X30" s="73">
        <f t="shared" si="7"/>
        <v>103114537.39766963</v>
      </c>
      <c r="Y30" s="73">
        <f t="shared" si="8"/>
        <v>83232365.629597083</v>
      </c>
      <c r="Z30" s="73">
        <f t="shared" si="8"/>
        <v>55373198.902284667</v>
      </c>
      <c r="AA30" s="12">
        <f t="shared" si="9"/>
        <v>1.4105200564820977</v>
      </c>
      <c r="AB30" s="115">
        <f t="shared" si="10"/>
        <v>-27861802.364812829</v>
      </c>
      <c r="AC30" s="73">
        <f>AB30/SUMIFS(FinParameters!$L$8:$L$39,FinParameters!$B$8:$B$39,Financials!$E30,FinParameters!$C$8:$C$39,Financials!$F30)</f>
        <v>-24625773.480668802</v>
      </c>
      <c r="AD30" s="73">
        <f t="shared" si="11"/>
        <v>-24625773.480668802</v>
      </c>
      <c r="AE30" s="12"/>
      <c r="AF30" s="73">
        <f t="shared" si="12"/>
        <v>75252735.032856792</v>
      </c>
      <c r="AG30" s="73">
        <f t="shared" si="13"/>
        <v>58606592.148928285</v>
      </c>
      <c r="AH30" s="73">
        <f t="shared" si="13"/>
        <v>30747425.421615865</v>
      </c>
      <c r="AI30" s="12">
        <f t="shared" si="14"/>
        <v>0.78322836863570255</v>
      </c>
      <c r="AL30" s="73">
        <f>Summary!G30</f>
        <v>9961058.1589274127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-7138066.7502449034</v>
      </c>
      <c r="AN30" s="20">
        <f>Summary!I30</f>
        <v>9667857.4921227079</v>
      </c>
      <c r="AP30" s="12">
        <v>1</v>
      </c>
    </row>
    <row r="31" spans="1:52" x14ac:dyDescent="0.3">
      <c r="A31">
        <v>27</v>
      </c>
      <c r="B31" t="str">
        <f>Summary!B31</f>
        <v>MarinusSnowyYallourn</v>
      </c>
      <c r="C31" t="str">
        <f>Summary!C31</f>
        <v>Wind</v>
      </c>
      <c r="D31" s="90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48992276.144187681</v>
      </c>
      <c r="H31" s="73">
        <f>SUMIFS(AM$5:AM31,$F$5:$F31,$F31,$D$5:$D31,$D31)</f>
        <v>-11280210.181281023</v>
      </c>
      <c r="I31" s="20">
        <f>SUMIFS(AN$5:AN31,$F$5:$F31,$F31,$D$5:$D31,$D31)</f>
        <v>30694665.948886611</v>
      </c>
      <c r="J31" s="73">
        <f t="shared" si="0"/>
        <v>30694665.948886611</v>
      </c>
      <c r="K31" s="73">
        <f t="shared" si="1"/>
        <v>79686942.093074292</v>
      </c>
      <c r="L31" s="73">
        <f t="shared" si="2"/>
        <v>68406731.911793262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23092150.323886611</v>
      </c>
      <c r="Q31" s="73">
        <f>P31/SUMIFS(FinParameters!$H$8:$H$39,FinParameters!$B$8:$B$39,Financials!$E31,FinParameters!$C$8:$C$39,Financials!$F31)</f>
        <v>14338408.531388566</v>
      </c>
      <c r="R31" s="73">
        <f t="shared" si="15"/>
        <v>-16165142.507799871</v>
      </c>
      <c r="S31" s="12">
        <f t="shared" si="4"/>
        <v>-0.41177425496727565</v>
      </c>
      <c r="T31" s="115">
        <f t="shared" si="5"/>
        <v>48992276.144187681</v>
      </c>
      <c r="U31" s="73">
        <f>T31/SUMIFS(FinParameters!$L$8:$L$39,FinParameters!$B$8:$B$39,Financials!$E31,FinParameters!$C$8:$C$39,Financials!$F31)</f>
        <v>43302033.329789743</v>
      </c>
      <c r="V31" s="73">
        <f t="shared" si="6"/>
        <v>43302033.329789743</v>
      </c>
      <c r="W31" s="12"/>
      <c r="X31" s="73">
        <f t="shared" si="7"/>
        <v>72084426.468074292</v>
      </c>
      <c r="Y31" s="73">
        <f t="shared" si="8"/>
        <v>57640441.861178309</v>
      </c>
      <c r="Z31" s="73">
        <f t="shared" si="8"/>
        <v>27136890.821989872</v>
      </c>
      <c r="AA31" s="12">
        <f t="shared" si="9"/>
        <v>0.69125731461763862</v>
      </c>
      <c r="AB31" s="115">
        <f t="shared" si="10"/>
        <v>-11280210.181281023</v>
      </c>
      <c r="AC31" s="73">
        <f>AB31/SUMIFS(FinParameters!$L$8:$L$39,FinParameters!$B$8:$B$39,Financials!$E31,FinParameters!$C$8:$C$39,Financials!$F31)</f>
        <v>-9970062.1338617615</v>
      </c>
      <c r="AD31" s="73">
        <f t="shared" si="11"/>
        <v>-9970062.1338617615</v>
      </c>
      <c r="AE31" s="12"/>
      <c r="AF31" s="73">
        <f t="shared" si="12"/>
        <v>60804216.286793269</v>
      </c>
      <c r="AG31" s="73">
        <f t="shared" si="13"/>
        <v>47670379.727316543</v>
      </c>
      <c r="AH31" s="73">
        <f t="shared" si="13"/>
        <v>17166828.68812811</v>
      </c>
      <c r="AI31" s="12">
        <f t="shared" si="14"/>
        <v>0.43729018100483796</v>
      </c>
      <c r="AL31" s="73">
        <f>Summary!G31</f>
        <v>4539891.0110584283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-2876219.7823106181</v>
      </c>
      <c r="AN31" s="20">
        <f>Summary!I31</f>
        <v>7760540.4459980298</v>
      </c>
      <c r="AP31" s="12">
        <v>1</v>
      </c>
    </row>
    <row r="32" spans="1:52" x14ac:dyDescent="0.3">
      <c r="A32">
        <v>28</v>
      </c>
      <c r="B32" t="str">
        <f>Summary!B32</f>
        <v>MarinusSnowyYallourn</v>
      </c>
      <c r="C32" t="str">
        <f>Summary!C32</f>
        <v>Wind</v>
      </c>
      <c r="D32" s="90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31034666.338769529</v>
      </c>
      <c r="H32" s="73">
        <f>SUMIFS(AM$5:AM32,$F$5:$F32,$F32,$D$5:$D32,$D32)</f>
        <v>132.20129057676928</v>
      </c>
      <c r="I32" s="20">
        <f>SUMIFS(AN$5:AN32,$F$5:$F32,$F32,$D$5:$D32,$D32)</f>
        <v>26531967.897375938</v>
      </c>
      <c r="J32" s="73">
        <f t="shared" si="0"/>
        <v>26531967.897375938</v>
      </c>
      <c r="K32" s="73">
        <f t="shared" si="1"/>
        <v>57566634.236145467</v>
      </c>
      <c r="L32" s="73">
        <f t="shared" si="2"/>
        <v>57566766.437436044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18929452.272375938</v>
      </c>
      <c r="Q32" s="73">
        <f>P32/SUMIFS(FinParameters!$H$8:$H$39,FinParameters!$B$8:$B$39,Financials!$E32,FinParameters!$C$8:$C$39,Financials!$F32)</f>
        <v>11753700.549748793</v>
      </c>
      <c r="R32" s="73">
        <f t="shared" si="15"/>
        <v>-20327840.559310541</v>
      </c>
      <c r="S32" s="12">
        <f t="shared" si="4"/>
        <v>-0.51781055424440647</v>
      </c>
      <c r="T32" s="115">
        <f t="shared" si="5"/>
        <v>31034666.338769529</v>
      </c>
      <c r="U32" s="73">
        <f>T32/SUMIFS(FinParameters!$L$8:$L$39,FinParameters!$B$8:$B$39,Financials!$E32,FinParameters!$C$8:$C$39,Financials!$F32)</f>
        <v>27430122.908052206</v>
      </c>
      <c r="V32" s="73">
        <f t="shared" si="6"/>
        <v>27430122.908052206</v>
      </c>
      <c r="W32" s="12"/>
      <c r="X32" s="73">
        <f t="shared" si="7"/>
        <v>49964118.611145467</v>
      </c>
      <c r="Y32" s="73">
        <f t="shared" si="8"/>
        <v>39183823.457800999</v>
      </c>
      <c r="Z32" s="73">
        <f t="shared" si="8"/>
        <v>7102282.3487416655</v>
      </c>
      <c r="AA32" s="12">
        <f t="shared" si="9"/>
        <v>0.18091625368036243</v>
      </c>
      <c r="AB32" s="115">
        <f t="shared" si="10"/>
        <v>132.20129057676928</v>
      </c>
      <c r="AC32" s="73">
        <f>AB32/SUMIFS(FinParameters!$L$8:$L$39,FinParameters!$B$8:$B$39,Financials!$E32,FinParameters!$C$8:$C$39,Financials!$F32)</f>
        <v>116.84667750378919</v>
      </c>
      <c r="AD32" s="73">
        <f t="shared" si="11"/>
        <v>116.84667750378919</v>
      </c>
      <c r="AE32" s="12"/>
      <c r="AF32" s="73">
        <f t="shared" si="12"/>
        <v>49964250.812436044</v>
      </c>
      <c r="AG32" s="73">
        <f t="shared" si="13"/>
        <v>39183940.304478504</v>
      </c>
      <c r="AH32" s="73">
        <f t="shared" si="13"/>
        <v>7102399.195419169</v>
      </c>
      <c r="AI32" s="12">
        <f t="shared" si="14"/>
        <v>0.18091923011274164</v>
      </c>
      <c r="AL32" s="73">
        <f>Summary!G32</f>
        <v>1430178.1618219099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-3.1121771826292388E-9</v>
      </c>
      <c r="AN32" s="20">
        <f>Summary!I32</f>
        <v>6796455.9793697046</v>
      </c>
      <c r="AP32" s="12">
        <v>1</v>
      </c>
    </row>
    <row r="33" spans="1:42" x14ac:dyDescent="0.3">
      <c r="A33">
        <v>29</v>
      </c>
      <c r="B33" t="str">
        <f>Summary!B33</f>
        <v>MarinusSnowyYallourn</v>
      </c>
      <c r="C33" t="str">
        <f>Summary!C33</f>
        <v>Wind</v>
      </c>
      <c r="D33" s="90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20060551.789210334</v>
      </c>
      <c r="H33" s="73">
        <f>SUMIFS(AM$5:AM33,$F$5:$F33,$F33,$D$5:$D33,$D33)</f>
        <v>10511694.275857693</v>
      </c>
      <c r="I33" s="20">
        <f>SUMIFS(AN$5:AN33,$F$5:$F33,$F33,$D$5:$D33,$D33)</f>
        <v>22950700.613438681</v>
      </c>
      <c r="J33" s="73">
        <f t="shared" si="0"/>
        <v>22950700.613438681</v>
      </c>
      <c r="K33" s="73">
        <f t="shared" si="1"/>
        <v>43011252.402649015</v>
      </c>
      <c r="L33" s="73">
        <f t="shared" si="2"/>
        <v>53522946.67850671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15348184.988438681</v>
      </c>
      <c r="Q33" s="73">
        <f>P33/SUMIFS(FinParameters!$H$8:$H$39,FinParameters!$B$8:$B$39,Financials!$E33,FinParameters!$C$8:$C$39,Financials!$F33)</f>
        <v>9530015.3295780048</v>
      </c>
      <c r="R33" s="73">
        <f t="shared" si="15"/>
        <v>-23909107.843247801</v>
      </c>
      <c r="S33" s="12">
        <f t="shared" si="4"/>
        <v>-0.60903608269059217</v>
      </c>
      <c r="T33" s="115">
        <f t="shared" si="5"/>
        <v>20060551.789210334</v>
      </c>
      <c r="U33" s="73">
        <f>T33/SUMIFS(FinParameters!$L$8:$L$39,FinParameters!$B$8:$B$39,Financials!$E33,FinParameters!$C$8:$C$39,Financials!$F33)</f>
        <v>17730604.710706327</v>
      </c>
      <c r="V33" s="73">
        <f t="shared" si="6"/>
        <v>17730604.710706327</v>
      </c>
      <c r="W33" s="12"/>
      <c r="X33" s="73">
        <f t="shared" si="7"/>
        <v>35408736.777649015</v>
      </c>
      <c r="Y33" s="73">
        <f t="shared" si="8"/>
        <v>27260620.040284332</v>
      </c>
      <c r="Z33" s="73">
        <f t="shared" si="8"/>
        <v>-6178503.132541474</v>
      </c>
      <c r="AA33" s="12">
        <f t="shared" si="9"/>
        <v>-0.1573848497152229</v>
      </c>
      <c r="AB33" s="115">
        <f t="shared" si="10"/>
        <v>10511694.275857693</v>
      </c>
      <c r="AC33" s="73">
        <f>AB33/SUMIFS(FinParameters!$L$8:$L$39,FinParameters!$B$8:$B$39,Financials!$E33,FinParameters!$C$8:$C$39,Financials!$F33)</f>
        <v>9290806.0557572395</v>
      </c>
      <c r="AD33" s="73">
        <f t="shared" si="11"/>
        <v>9290806.0557572395</v>
      </c>
      <c r="AE33" s="12"/>
      <c r="AF33" s="73">
        <f t="shared" si="12"/>
        <v>45920431.05350671</v>
      </c>
      <c r="AG33" s="73">
        <f t="shared" si="13"/>
        <v>36551426.096041575</v>
      </c>
      <c r="AH33" s="73">
        <f t="shared" si="13"/>
        <v>3112302.9232157655</v>
      </c>
      <c r="AI33" s="12">
        <f t="shared" si="14"/>
        <v>7.9279611473964742E-2</v>
      </c>
      <c r="AL33" s="73">
        <f>Summary!G33</f>
        <v>-843059.41301123507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2810417.7180092465</v>
      </c>
      <c r="AN33" s="20">
        <f>Summary!I33</f>
        <v>5932505.958911472</v>
      </c>
      <c r="AP33" s="12">
        <v>1</v>
      </c>
    </row>
    <row r="34" spans="1:42" x14ac:dyDescent="0.3">
      <c r="A34">
        <v>30</v>
      </c>
      <c r="B34" t="str">
        <f>Summary!B34</f>
        <v>MarinusSnowyYallourn</v>
      </c>
      <c r="C34" t="str">
        <f>Summary!C34</f>
        <v>Wind</v>
      </c>
      <c r="D34" s="90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6039995.1753607225</v>
      </c>
      <c r="H34" s="73">
        <f>SUMIFS(AM$5:AM34,$F$5:$F34,$F34,$D$5:$D34,$D34)</f>
        <v>24833186.971813269</v>
      </c>
      <c r="I34" s="20">
        <f>SUMIFS(AN$5:AN34,$F$5:$F34,$F34,$D$5:$D34,$D34)</f>
        <v>18355048.625235006</v>
      </c>
      <c r="J34" s="73">
        <f t="shared" si="0"/>
        <v>18355048.625235006</v>
      </c>
      <c r="K34" s="73">
        <f t="shared" si="1"/>
        <v>24395043.800595731</v>
      </c>
      <c r="L34" s="73">
        <f t="shared" si="2"/>
        <v>49228230.772409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10752533.000235006</v>
      </c>
      <c r="Q34" s="73">
        <f>P34/SUMIFS(FinParameters!$H$8:$H$39,FinParameters!$B$8:$B$39,Financials!$E34,FinParameters!$C$8:$C$39,Financials!$F34)</f>
        <v>6676477.016743144</v>
      </c>
      <c r="R34" s="73">
        <f t="shared" si="15"/>
        <v>-28504759.831451476</v>
      </c>
      <c r="S34" s="12">
        <f t="shared" si="4"/>
        <v>-0.72610100634458141</v>
      </c>
      <c r="T34" s="115">
        <f t="shared" si="5"/>
        <v>6039995.1753607225</v>
      </c>
      <c r="U34" s="73">
        <f>T34/SUMIFS(FinParameters!$L$8:$L$39,FinParameters!$B$8:$B$39,Financials!$E34,FinParameters!$C$8:$C$39,Financials!$F34)</f>
        <v>5338475.6328833718</v>
      </c>
      <c r="V34" s="73">
        <f t="shared" si="6"/>
        <v>5338475.6328833718</v>
      </c>
      <c r="W34" s="12"/>
      <c r="X34" s="73">
        <f t="shared" si="7"/>
        <v>16792528.175595731</v>
      </c>
      <c r="Y34" s="73">
        <f t="shared" si="8"/>
        <v>12014952.649626516</v>
      </c>
      <c r="Z34" s="73">
        <f t="shared" si="8"/>
        <v>-23166284.198568106</v>
      </c>
      <c r="AA34" s="12">
        <f t="shared" si="9"/>
        <v>-0.59011415529573819</v>
      </c>
      <c r="AB34" s="115">
        <f t="shared" si="10"/>
        <v>24833186.971813269</v>
      </c>
      <c r="AC34" s="73">
        <f>AB34/SUMIFS(FinParameters!$L$8:$L$39,FinParameters!$B$8:$B$39,Financials!$E34,FinParameters!$C$8:$C$39,Financials!$F34)</f>
        <v>21948918.78004596</v>
      </c>
      <c r="AD34" s="73">
        <f t="shared" si="11"/>
        <v>21948918.78004596</v>
      </c>
      <c r="AE34" s="12"/>
      <c r="AF34" s="73">
        <f t="shared" si="12"/>
        <v>41625715.147409</v>
      </c>
      <c r="AG34" s="73">
        <f t="shared" si="13"/>
        <v>33963871.42967248</v>
      </c>
      <c r="AH34" s="73">
        <f t="shared" si="13"/>
        <v>-1217365.4185221456</v>
      </c>
      <c r="AI34" s="12">
        <f t="shared" si="14"/>
        <v>-3.1009917666547562E-2</v>
      </c>
      <c r="AL34" s="73">
        <f>Summary!G34</f>
        <v>-4303959.8452489674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6877624.7527218703</v>
      </c>
      <c r="AN34" s="20">
        <f>Summary!I34</f>
        <v>4736731.5419008378</v>
      </c>
      <c r="AP34" s="12">
        <v>1</v>
      </c>
    </row>
    <row r="35" spans="1:42" x14ac:dyDescent="0.3">
      <c r="A35">
        <v>31</v>
      </c>
      <c r="B35" t="str">
        <f>Summary!B35</f>
        <v>MarinusSnowyYallourn</v>
      </c>
      <c r="C35" t="str">
        <f>Summary!C35</f>
        <v>Wind</v>
      </c>
      <c r="D35" s="90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-13162386.437169567</v>
      </c>
      <c r="H35" s="73">
        <f>SUMIFS(AM$5:AM35,$F$5:$F35,$F35,$D$5:$D35,$D35)</f>
        <v>54722905.38256523</v>
      </c>
      <c r="I35" s="20">
        <f>SUMIFS(AN$5:AN35,$F$5:$F35,$F35,$D$5:$D35,$D35)</f>
        <v>10962968.782861354</v>
      </c>
      <c r="J35" s="73">
        <f t="shared" si="0"/>
        <v>10962968.782861354</v>
      </c>
      <c r="K35" s="73">
        <f t="shared" si="1"/>
        <v>-2199417.6543082129</v>
      </c>
      <c r="L35" s="73">
        <f t="shared" si="2"/>
        <v>52523487.728257015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3360453.1578613538</v>
      </c>
      <c r="Q35" s="73">
        <f>P35/SUMIFS(FinParameters!$H$8:$H$39,FinParameters!$B$8:$B$39,Financials!$E35,FinParameters!$C$8:$C$39,Financials!$F35)</f>
        <v>2086577.0208575868</v>
      </c>
      <c r="R35" s="73">
        <f t="shared" si="15"/>
        <v>-35896839.67382513</v>
      </c>
      <c r="S35" s="12">
        <f t="shared" si="4"/>
        <v>-0.91439926404836136</v>
      </c>
      <c r="T35" s="115">
        <f t="shared" si="5"/>
        <v>-13162386.437169567</v>
      </c>
      <c r="U35" s="73">
        <f>T35/SUMIFS(FinParameters!$L$8:$L$39,FinParameters!$B$8:$B$39,Financials!$E35,FinParameters!$C$8:$C$39,Financials!$F35)</f>
        <v>-11633631.687665679</v>
      </c>
      <c r="V35" s="73">
        <f t="shared" si="6"/>
        <v>-11633631.687665679</v>
      </c>
      <c r="W35" s="12"/>
      <c r="X35" s="73">
        <f t="shared" si="7"/>
        <v>-9801933.2793082129</v>
      </c>
      <c r="Y35" s="73">
        <f t="shared" si="8"/>
        <v>-9547054.6668080911</v>
      </c>
      <c r="Z35" s="73">
        <f t="shared" si="8"/>
        <v>-47530471.361490808</v>
      </c>
      <c r="AA35" s="12">
        <f t="shared" si="9"/>
        <v>-1.2107424616688454</v>
      </c>
      <c r="AB35" s="115">
        <f t="shared" si="10"/>
        <v>54722905.38256523</v>
      </c>
      <c r="AC35" s="73">
        <f>AB35/SUMIFS(FinParameters!$L$8:$L$39,FinParameters!$B$8:$B$39,Financials!$E35,FinParameters!$C$8:$C$39,Financials!$F35)</f>
        <v>48367074.552830204</v>
      </c>
      <c r="AD35" s="73">
        <f t="shared" si="11"/>
        <v>48367074.552830204</v>
      </c>
      <c r="AE35" s="12"/>
      <c r="AF35" s="73">
        <f t="shared" si="12"/>
        <v>44920972.103257015</v>
      </c>
      <c r="AG35" s="73">
        <f t="shared" si="13"/>
        <v>38820019.886022113</v>
      </c>
      <c r="AH35" s="73">
        <f t="shared" si="13"/>
        <v>836603.19133939594</v>
      </c>
      <c r="AI35" s="12">
        <f t="shared" si="14"/>
        <v>2.1310771349575399E-2</v>
      </c>
      <c r="AL35" s="73">
        <f>Summary!G35</f>
        <v>-7141502.280683673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14547884.998023611</v>
      </c>
      <c r="AN35" s="20">
        <f>Summary!I35</f>
        <v>3177950.8709319332</v>
      </c>
      <c r="AP35" s="12">
        <v>1</v>
      </c>
    </row>
    <row r="36" spans="1:42" x14ac:dyDescent="0.3">
      <c r="A36">
        <v>32</v>
      </c>
      <c r="B36" t="str">
        <f>Summary!B36</f>
        <v>MarinusSnowyYallourn</v>
      </c>
      <c r="C36" t="str">
        <f>Summary!C36</f>
        <v>Wind</v>
      </c>
      <c r="D36" s="90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35155850.684817642</v>
      </c>
      <c r="H36" s="73">
        <f>SUMIFS(AM$5:AM36,$F$5:$F36,$F36,$D$5:$D36,$D36)</f>
        <v>-612119.83102260262</v>
      </c>
      <c r="I36" s="20">
        <f>SUMIFS(AN$5:AN36,$F$5:$F36,$F36,$D$5:$D36,$D36)</f>
        <v>27084616.017432787</v>
      </c>
      <c r="J36" s="73">
        <f t="shared" si="0"/>
        <v>27084616.017432787</v>
      </c>
      <c r="K36" s="73">
        <f t="shared" si="1"/>
        <v>62240466.702250428</v>
      </c>
      <c r="L36" s="73">
        <f t="shared" si="2"/>
        <v>61628346.871227823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19482100.392432787</v>
      </c>
      <c r="Q36" s="73">
        <f>P36/SUMIFS(FinParameters!$H$8:$H$39,FinParameters!$B$8:$B$39,Financials!$E36,FinParameters!$C$8:$C$39,Financials!$F36)</f>
        <v>12096851.551640647</v>
      </c>
      <c r="R36" s="73">
        <f t="shared" si="15"/>
        <v>-19775192.439253695</v>
      </c>
      <c r="S36" s="12">
        <f t="shared" si="4"/>
        <v>-0.50373296304558657</v>
      </c>
      <c r="T36" s="115">
        <f t="shared" si="5"/>
        <v>35155850.684817642</v>
      </c>
      <c r="U36" s="73">
        <f>T36/SUMIFS(FinParameters!$L$8:$L$39,FinParameters!$B$8:$B$39,Financials!$E36,FinParameters!$C$8:$C$39,Financials!$F36)</f>
        <v>31072649.362336054</v>
      </c>
      <c r="V36" s="73">
        <f t="shared" si="6"/>
        <v>31072649.362336054</v>
      </c>
      <c r="W36" s="12"/>
      <c r="X36" s="73">
        <f t="shared" si="7"/>
        <v>54637951.077250428</v>
      </c>
      <c r="Y36" s="73">
        <f t="shared" si="8"/>
        <v>43169500.913976699</v>
      </c>
      <c r="Z36" s="73">
        <f t="shared" si="8"/>
        <v>11297456.923082359</v>
      </c>
      <c r="AA36" s="12">
        <f t="shared" si="9"/>
        <v>0.28777982657947387</v>
      </c>
      <c r="AB36" s="115">
        <f t="shared" si="10"/>
        <v>-612119.83102260262</v>
      </c>
      <c r="AC36" s="73">
        <f>AB36/SUMIFS(FinParameters!$L$8:$L$39,FinParameters!$B$8:$B$39,Financials!$E36,FinParameters!$C$8:$C$39,Financials!$F36)</f>
        <v>-541024.73718014045</v>
      </c>
      <c r="AD36" s="73">
        <f t="shared" si="11"/>
        <v>-541024.73718014045</v>
      </c>
      <c r="AE36" s="12"/>
      <c r="AF36" s="73">
        <f t="shared" si="12"/>
        <v>54025831.246227823</v>
      </c>
      <c r="AG36" s="73">
        <f t="shared" si="13"/>
        <v>42628476.176796556</v>
      </c>
      <c r="AH36" s="73">
        <f t="shared" si="13"/>
        <v>10756432.185902219</v>
      </c>
      <c r="AI36" s="12">
        <f t="shared" si="14"/>
        <v>0.27399831751057924</v>
      </c>
      <c r="AL36" s="73">
        <f>Summary!G36</f>
        <v>2005155.8076344277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-58410.208585393229</v>
      </c>
      <c r="AN36" s="20">
        <f>Summary!I36</f>
        <v>6932373.466122631</v>
      </c>
      <c r="AP36" s="12">
        <v>1</v>
      </c>
    </row>
    <row r="37" spans="1:42" x14ac:dyDescent="0.3">
      <c r="A37">
        <v>33</v>
      </c>
      <c r="B37" t="str">
        <f>Summary!B37</f>
        <v>MarinusSnowyYallourn</v>
      </c>
      <c r="C37" t="str">
        <f>Summary!C37</f>
        <v>Wind</v>
      </c>
      <c r="D37" s="90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128733983.03996497</v>
      </c>
      <c r="H37" s="73">
        <f>SUMIFS(AM$5:AM37,$F$5:$F37,$F37,$D$5:$D37,$D37)</f>
        <v>-88159559.597980976</v>
      </c>
      <c r="I37" s="20">
        <f>SUMIFS(AN$5:AN37,$F$5:$F37,$F37,$D$5:$D37,$D37)</f>
        <v>63861651.417856634</v>
      </c>
      <c r="J37" s="73">
        <f t="shared" si="0"/>
        <v>63861651.417856634</v>
      </c>
      <c r="K37" s="73">
        <f t="shared" si="1"/>
        <v>192595634.45782161</v>
      </c>
      <c r="L37" s="73">
        <f t="shared" si="2"/>
        <v>104436074.85984063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54555322.902231634</v>
      </c>
      <c r="Q37" s="73">
        <f>P37/SUMIFS(FinParameters!$H$8:$H$39,FinParameters!$B$8:$B$39,Financials!$E37,FinParameters!$C$8:$C$39,Financials!$F37)</f>
        <v>30795057.523975521</v>
      </c>
      <c r="R37" s="73">
        <f t="shared" si="15"/>
        <v>10007663.297188312</v>
      </c>
      <c r="S37" s="12">
        <f t="shared" si="4"/>
        <v>0.22465070860996086</v>
      </c>
      <c r="T37" s="115">
        <f t="shared" si="5"/>
        <v>128733983.03996497</v>
      </c>
      <c r="U37" s="73">
        <f>T37/SUMIFS(FinParameters!$L$8:$L$39,FinParameters!$B$8:$B$39,Financials!$E37,FinParameters!$C$8:$C$39,Financials!$F37)</f>
        <v>111006910.11797455</v>
      </c>
      <c r="V37" s="73">
        <f t="shared" si="6"/>
        <v>111006910.11797455</v>
      </c>
      <c r="W37" s="12"/>
      <c r="X37" s="73">
        <f t="shared" si="7"/>
        <v>183289305.94219661</v>
      </c>
      <c r="Y37" s="73">
        <f t="shared" si="8"/>
        <v>141801967.64195007</v>
      </c>
      <c r="Z37" s="73">
        <f t="shared" si="8"/>
        <v>121014573.41516286</v>
      </c>
      <c r="AA37" s="12">
        <f t="shared" si="9"/>
        <v>2.7165192175766419</v>
      </c>
      <c r="AB37" s="115">
        <f t="shared" si="10"/>
        <v>-88159559.597980976</v>
      </c>
      <c r="AC37" s="73">
        <f>AB37/SUMIFS(FinParameters!$L$8:$L$39,FinParameters!$B$8:$B$39,Financials!$E37,FinParameters!$C$8:$C$39,Financials!$F37)</f>
        <v>-76019711.945797324</v>
      </c>
      <c r="AD37" s="73">
        <f t="shared" si="11"/>
        <v>-76019711.945797324</v>
      </c>
      <c r="AE37" s="12"/>
      <c r="AF37" s="73">
        <f t="shared" si="12"/>
        <v>95129746.344215631</v>
      </c>
      <c r="AG37" s="73">
        <f t="shared" si="13"/>
        <v>65782255.696152747</v>
      </c>
      <c r="AH37" s="73">
        <f t="shared" si="13"/>
        <v>44994861.469365537</v>
      </c>
      <c r="AI37" s="12">
        <f t="shared" si="14"/>
        <v>1.0100387285951065</v>
      </c>
      <c r="AL37" s="73">
        <f>Summary!G37</f>
        <v>20198920.864350058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-20871535.727644667</v>
      </c>
      <c r="AN37" s="20">
        <f>Summary!I37</f>
        <v>13130918.885505224</v>
      </c>
      <c r="AP37" s="12">
        <v>1</v>
      </c>
    </row>
    <row r="38" spans="1:42" x14ac:dyDescent="0.3">
      <c r="A38">
        <v>34</v>
      </c>
      <c r="B38" t="str">
        <f>Summary!B38</f>
        <v>MarinusSnowyYallourn</v>
      </c>
      <c r="C38" t="str">
        <f>Summary!C38</f>
        <v>Wind</v>
      </c>
      <c r="D38" s="90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84579477.814597532</v>
      </c>
      <c r="H38" s="73">
        <f>SUMIFS(AM$5:AM38,$F$5:$F38,$F38,$D$5:$D38,$D38)</f>
        <v>-37000611.799627692</v>
      </c>
      <c r="I38" s="20">
        <f>SUMIFS(AN$5:AN38,$F$5:$F38,$F38,$D$5:$D38,$D38)</f>
        <v>47575351.272442944</v>
      </c>
      <c r="J38" s="73">
        <f t="shared" si="0"/>
        <v>47575351.272442944</v>
      </c>
      <c r="K38" s="73">
        <f t="shared" si="1"/>
        <v>132154829.08704048</v>
      </c>
      <c r="L38" s="73">
        <f t="shared" si="2"/>
        <v>95154217.287412792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38269022.756817944</v>
      </c>
      <c r="Q38" s="73">
        <f>P38/SUMIFS(FinParameters!$H$8:$H$39,FinParameters!$B$8:$B$39,Financials!$E38,FinParameters!$C$8:$C$39,Financials!$F38)</f>
        <v>21601865.674858455</v>
      </c>
      <c r="R38" s="73">
        <f t="shared" si="15"/>
        <v>-6278636.8482253775</v>
      </c>
      <c r="S38" s="12">
        <f t="shared" si="4"/>
        <v>-0.1409420136521507</v>
      </c>
      <c r="T38" s="115">
        <f t="shared" si="5"/>
        <v>84579477.814597532</v>
      </c>
      <c r="U38" s="73">
        <f>T38/SUMIFS(FinParameters!$L$8:$L$39,FinParameters!$B$8:$B$39,Financials!$E38,FinParameters!$C$8:$C$39,Financials!$F38)</f>
        <v>72932618.644103482</v>
      </c>
      <c r="V38" s="73">
        <f t="shared" si="6"/>
        <v>72932618.644103482</v>
      </c>
      <c r="W38" s="12"/>
      <c r="X38" s="73">
        <f t="shared" si="7"/>
        <v>122848500.57141548</v>
      </c>
      <c r="Y38" s="73">
        <f t="shared" si="8"/>
        <v>94534484.318961933</v>
      </c>
      <c r="Z38" s="73">
        <f t="shared" si="8"/>
        <v>66653981.795878105</v>
      </c>
      <c r="AA38" s="12">
        <f t="shared" si="9"/>
        <v>1.4962398111781408</v>
      </c>
      <c r="AB38" s="115">
        <f t="shared" si="10"/>
        <v>-37000611.799627692</v>
      </c>
      <c r="AC38" s="73">
        <f>AB38/SUMIFS(FinParameters!$L$8:$L$39,FinParameters!$B$8:$B$39,Financials!$E38,FinParameters!$C$8:$C$39,Financials!$F38)</f>
        <v>-31905511.593440227</v>
      </c>
      <c r="AD38" s="73">
        <f t="shared" si="11"/>
        <v>-31905511.593440227</v>
      </c>
      <c r="AE38" s="12"/>
      <c r="AF38" s="73">
        <f t="shared" si="12"/>
        <v>85847888.771787792</v>
      </c>
      <c r="AG38" s="73">
        <f t="shared" si="13"/>
        <v>62628972.725521706</v>
      </c>
      <c r="AH38" s="73">
        <f t="shared" si="13"/>
        <v>34748470.202437878</v>
      </c>
      <c r="AI38" s="12">
        <f t="shared" si="14"/>
        <v>0.78002908593887033</v>
      </c>
      <c r="AL38" s="73">
        <f>Summary!G38</f>
        <v>11532909.938074911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-9138809.434814861</v>
      </c>
      <c r="AN38" s="20">
        <f>Summary!I38</f>
        <v>9904866.1262959298</v>
      </c>
      <c r="AP38" s="12">
        <v>1</v>
      </c>
    </row>
    <row r="39" spans="1:42" x14ac:dyDescent="0.3">
      <c r="A39">
        <v>35</v>
      </c>
      <c r="B39" t="str">
        <f>Summary!B39</f>
        <v>MarinusSnowyYallourn</v>
      </c>
      <c r="C39" t="str">
        <f>Summary!C39</f>
        <v>Wind</v>
      </c>
      <c r="D39" s="90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55318554.967590794</v>
      </c>
      <c r="H39" s="73">
        <f>SUMIFS(AM$5:AM39,$F$5:$F39,$F39,$D$5:$D39,$D39)</f>
        <v>-14957506.308934074</v>
      </c>
      <c r="I39" s="20">
        <f>SUMIFS(AN$5:AN39,$F$5:$F39,$F39,$D$5:$D39,$D39)</f>
        <v>38937326.723630056</v>
      </c>
      <c r="J39" s="73">
        <f t="shared" si="0"/>
        <v>38937326.723630056</v>
      </c>
      <c r="K39" s="73">
        <f t="shared" si="1"/>
        <v>94255881.69122085</v>
      </c>
      <c r="L39" s="73">
        <f t="shared" si="2"/>
        <v>79298375.382286772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29630998.208005056</v>
      </c>
      <c r="Q39" s="73">
        <f>P39/SUMIFS(FinParameters!$H$8:$H$39,FinParameters!$B$8:$B$39,Financials!$E39,FinParameters!$C$8:$C$39,Financials!$F39)</f>
        <v>16725926.00988904</v>
      </c>
      <c r="R39" s="73">
        <f t="shared" si="15"/>
        <v>-14916661.397038266</v>
      </c>
      <c r="S39" s="12">
        <f t="shared" si="4"/>
        <v>-0.33484725189355458</v>
      </c>
      <c r="T39" s="115">
        <f t="shared" si="5"/>
        <v>55318554.967590794</v>
      </c>
      <c r="U39" s="73">
        <f>T39/SUMIFS(FinParameters!$L$8:$L$39,FinParameters!$B$8:$B$39,Financials!$E39,FinParameters!$C$8:$C$39,Financials!$F39)</f>
        <v>47701016.578017443</v>
      </c>
      <c r="V39" s="73">
        <f t="shared" si="6"/>
        <v>47701016.578017443</v>
      </c>
      <c r="W39" s="12"/>
      <c r="X39" s="73">
        <f t="shared" si="7"/>
        <v>84949553.17559585</v>
      </c>
      <c r="Y39" s="73">
        <f t="shared" si="8"/>
        <v>64426942.58790648</v>
      </c>
      <c r="Z39" s="73">
        <f t="shared" si="8"/>
        <v>32784355.180979177</v>
      </c>
      <c r="AA39" s="12">
        <f t="shared" si="9"/>
        <v>0.73593889042978144</v>
      </c>
      <c r="AB39" s="115">
        <f t="shared" si="10"/>
        <v>-14957506.308934074</v>
      </c>
      <c r="AC39" s="73">
        <f>AB39/SUMIFS(FinParameters!$L$8:$L$39,FinParameters!$B$8:$B$39,Financials!$E39,FinParameters!$C$8:$C$39,Financials!$F39)</f>
        <v>-12897810.812778328</v>
      </c>
      <c r="AD39" s="73">
        <f t="shared" si="11"/>
        <v>-12897810.812778328</v>
      </c>
      <c r="AE39" s="12"/>
      <c r="AF39" s="73">
        <f t="shared" si="12"/>
        <v>69992046.866661772</v>
      </c>
      <c r="AG39" s="73">
        <f t="shared" si="13"/>
        <v>51529131.775128156</v>
      </c>
      <c r="AH39" s="73">
        <f t="shared" si="13"/>
        <v>19886544.36820085</v>
      </c>
      <c r="AI39" s="12">
        <f t="shared" si="14"/>
        <v>0.44641053075545761</v>
      </c>
      <c r="AL39" s="73">
        <f>Summary!G39</f>
        <v>6326278.8234031145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-3677296.1276530507</v>
      </c>
      <c r="AN39" s="20">
        <f>Summary!I39</f>
        <v>8242660.7747434461</v>
      </c>
      <c r="AP39" s="12">
        <v>1</v>
      </c>
    </row>
    <row r="40" spans="1:42" x14ac:dyDescent="0.3">
      <c r="A40">
        <v>36</v>
      </c>
      <c r="B40" t="str">
        <f>Summary!B40</f>
        <v>MarinusSnowyYallourn</v>
      </c>
      <c r="C40" t="str">
        <f>Summary!C40</f>
        <v>Wind</v>
      </c>
      <c r="D40" s="90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33767003.564890906</v>
      </c>
      <c r="H40" s="73">
        <f>SUMIFS(AM$5:AM40,$F$5:$F40,$F40,$D$5:$D40,$D40)</f>
        <v>27215.517710943059</v>
      </c>
      <c r="I40" s="20">
        <f>SUMIFS(AN$5:AN40,$F$5:$F40,$F40,$D$5:$D40,$D40)</f>
        <v>33639909.561051548</v>
      </c>
      <c r="J40" s="73">
        <f t="shared" si="0"/>
        <v>33639909.561051548</v>
      </c>
      <c r="K40" s="73">
        <f t="shared" si="1"/>
        <v>67406913.125942454</v>
      </c>
      <c r="L40" s="73">
        <f t="shared" si="2"/>
        <v>67434128.643653393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24333581.045426548</v>
      </c>
      <c r="Q40" s="73">
        <f>P40/SUMIFS(FinParameters!$H$8:$H$39,FinParameters!$B$8:$B$39,Financials!$E40,FinParameters!$C$8:$C$39,Financials!$F40)</f>
        <v>13735672.124994021</v>
      </c>
      <c r="R40" s="73">
        <f t="shared" si="15"/>
        <v>-20214078.559616774</v>
      </c>
      <c r="S40" s="12">
        <f t="shared" si="4"/>
        <v>-0.45376297517834813</v>
      </c>
      <c r="T40" s="115">
        <f t="shared" si="5"/>
        <v>33767003.564890906</v>
      </c>
      <c r="U40" s="73">
        <f>T40/SUMIFS(FinParameters!$L$8:$L$39,FinParameters!$B$8:$B$39,Financials!$E40,FinParameters!$C$8:$C$39,Financials!$F40)</f>
        <v>29117181.346882615</v>
      </c>
      <c r="V40" s="73">
        <f t="shared" si="6"/>
        <v>29117181.346882615</v>
      </c>
      <c r="W40" s="12"/>
      <c r="X40" s="73">
        <f t="shared" si="7"/>
        <v>58100584.610317454</v>
      </c>
      <c r="Y40" s="73">
        <f t="shared" si="8"/>
        <v>42852853.471876636</v>
      </c>
      <c r="Z40" s="73">
        <f t="shared" si="8"/>
        <v>8903102.7872658409</v>
      </c>
      <c r="AA40" s="12">
        <f t="shared" si="9"/>
        <v>0.19985567965186446</v>
      </c>
      <c r="AB40" s="115">
        <f t="shared" si="10"/>
        <v>27215.517710943059</v>
      </c>
      <c r="AC40" s="73">
        <f>AB40/SUMIFS(FinParameters!$L$8:$L$39,FinParameters!$B$8:$B$39,Financials!$E40,FinParameters!$C$8:$C$39,Financials!$F40)</f>
        <v>23467.855627638808</v>
      </c>
      <c r="AD40" s="73">
        <f t="shared" si="11"/>
        <v>23467.855627638808</v>
      </c>
      <c r="AE40" s="12"/>
      <c r="AF40" s="73">
        <f t="shared" si="12"/>
        <v>58127800.1280284</v>
      </c>
      <c r="AG40" s="73">
        <f t="shared" si="13"/>
        <v>42876321.327504277</v>
      </c>
      <c r="AH40" s="73">
        <f t="shared" si="13"/>
        <v>8926570.6428934801</v>
      </c>
      <c r="AI40" s="12">
        <f t="shared" si="14"/>
        <v>0.20038248298644373</v>
      </c>
      <c r="AL40" s="73">
        <f>Summary!G40</f>
        <v>2732337.2261213772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27083.316420366289</v>
      </c>
      <c r="AN40" s="20">
        <f>Summary!I40</f>
        <v>7107941.66367561</v>
      </c>
      <c r="AP40" s="12">
        <v>1</v>
      </c>
    </row>
    <row r="41" spans="1:42" x14ac:dyDescent="0.3">
      <c r="A41">
        <v>37</v>
      </c>
      <c r="B41" t="str">
        <f>Summary!B41</f>
        <v>MarinusSnowyYallourn</v>
      </c>
      <c r="C41" t="str">
        <f>Summary!C41</f>
        <v>Wind</v>
      </c>
      <c r="D41" s="90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19852361.787283432</v>
      </c>
      <c r="H41" s="73">
        <f>SUMIFS(AM$5:AM41,$F$5:$F41,$F41,$D$5:$D41,$D41)</f>
        <v>14015778.45760658</v>
      </c>
      <c r="I41" s="20">
        <f>SUMIFS(AN$5:AN41,$F$5:$F41,$F41,$D$5:$D41,$D41)</f>
        <v>29134840.463466484</v>
      </c>
      <c r="J41" s="73">
        <f t="shared" si="0"/>
        <v>29134840.463466484</v>
      </c>
      <c r="K41" s="73">
        <f t="shared" si="1"/>
        <v>48987202.250749916</v>
      </c>
      <c r="L41" s="73">
        <f t="shared" si="2"/>
        <v>63002980.7083565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19828511.947841484</v>
      </c>
      <c r="Q41" s="73">
        <f>P41/SUMIFS(FinParameters!$H$8:$H$39,FinParameters!$B$8:$B$39,Financials!$E41,FinParameters!$C$8:$C$39,Financials!$F41)</f>
        <v>11192678.066316357</v>
      </c>
      <c r="R41" s="73">
        <f t="shared" si="15"/>
        <v>-24719147.657201841</v>
      </c>
      <c r="S41" s="12">
        <f t="shared" si="4"/>
        <v>-0.55489217337925745</v>
      </c>
      <c r="T41" s="115">
        <f t="shared" si="5"/>
        <v>19852361.787283432</v>
      </c>
      <c r="U41" s="73">
        <f>T41/SUMIFS(FinParameters!$L$8:$L$39,FinParameters!$B$8:$B$39,Financials!$E41,FinParameters!$C$8:$C$39,Financials!$F41)</f>
        <v>17118629.351088587</v>
      </c>
      <c r="V41" s="73">
        <f t="shared" si="6"/>
        <v>17118629.351088587</v>
      </c>
      <c r="W41" s="12"/>
      <c r="X41" s="73">
        <f t="shared" si="7"/>
        <v>39680873.735124916</v>
      </c>
      <c r="Y41" s="73">
        <f t="shared" si="8"/>
        <v>28311307.417404942</v>
      </c>
      <c r="Z41" s="73">
        <f t="shared" si="8"/>
        <v>-7600518.3061132543</v>
      </c>
      <c r="AA41" s="12">
        <f t="shared" si="9"/>
        <v>-0.17061543464906934</v>
      </c>
      <c r="AB41" s="115">
        <f t="shared" si="10"/>
        <v>14015778.45760658</v>
      </c>
      <c r="AC41" s="73">
        <f>AB41/SUMIFS(FinParameters!$L$8:$L$39,FinParameters!$B$8:$B$39,Financials!$E41,FinParameters!$C$8:$C$39,Financials!$F41)</f>
        <v>12085761.83799091</v>
      </c>
      <c r="AD41" s="73">
        <f t="shared" si="11"/>
        <v>12085761.83799091</v>
      </c>
      <c r="AE41" s="12"/>
      <c r="AF41" s="73">
        <f t="shared" si="12"/>
        <v>53696652.1927315</v>
      </c>
      <c r="AG41" s="73">
        <f t="shared" si="13"/>
        <v>40397069.255395852</v>
      </c>
      <c r="AH41" s="73">
        <f t="shared" si="13"/>
        <v>4485243.5318776555</v>
      </c>
      <c r="AI41" s="12">
        <f t="shared" si="14"/>
        <v>0.10068415651110599</v>
      </c>
      <c r="AL41" s="73">
        <f>Summary!G41</f>
        <v>-208190.00192690329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3504084.1817488866</v>
      </c>
      <c r="AN41" s="20">
        <f>Summary!I41</f>
        <v>6184139.8500278043</v>
      </c>
      <c r="AP41" s="12">
        <v>1</v>
      </c>
    </row>
    <row r="42" spans="1:42" x14ac:dyDescent="0.3">
      <c r="A42">
        <v>38</v>
      </c>
      <c r="B42" t="str">
        <f>Summary!B42</f>
        <v>MarinusSnowyYallourn</v>
      </c>
      <c r="C42" t="str">
        <f>Summary!C42</f>
        <v>Wind</v>
      </c>
      <c r="D42" s="90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3832299.2635316974</v>
      </c>
      <c r="H42" s="73">
        <f>SUMIFS(AM$5:AM42,$F$5:$F42,$F42,$D$5:$D42,$D42)</f>
        <v>33003791.461073563</v>
      </c>
      <c r="I42" s="20">
        <f>SUMIFS(AN$5:AN42,$F$5:$F42,$F42,$D$5:$D42,$D42)</f>
        <v>23290513.724900503</v>
      </c>
      <c r="J42" s="73">
        <f t="shared" si="0"/>
        <v>23290513.724900503</v>
      </c>
      <c r="K42" s="73">
        <f t="shared" si="1"/>
        <v>27122812.988432199</v>
      </c>
      <c r="L42" s="73">
        <f t="shared" si="2"/>
        <v>60126604.449505761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13984185.209275503</v>
      </c>
      <c r="Q42" s="73">
        <f>P42/SUMIFS(FinParameters!$H$8:$H$39,FinParameters!$B$8:$B$39,Financials!$E42,FinParameters!$C$8:$C$39,Financials!$F42)</f>
        <v>7893707.9836796448</v>
      </c>
      <c r="R42" s="73">
        <f t="shared" si="15"/>
        <v>-30563474.395767823</v>
      </c>
      <c r="S42" s="12">
        <f t="shared" si="4"/>
        <v>-0.68608485084831883</v>
      </c>
      <c r="T42" s="115">
        <f t="shared" si="5"/>
        <v>3832299.2635316974</v>
      </c>
      <c r="U42" s="73">
        <f>T42/SUMIFS(FinParameters!$L$8:$L$39,FinParameters!$B$8:$B$39,Financials!$E42,FinParameters!$C$8:$C$39,Financials!$F42)</f>
        <v>3304579.6443661326</v>
      </c>
      <c r="V42" s="73">
        <f t="shared" si="6"/>
        <v>3304579.6443661326</v>
      </c>
      <c r="W42" s="12"/>
      <c r="X42" s="73">
        <f t="shared" si="7"/>
        <v>17816484.472807199</v>
      </c>
      <c r="Y42" s="73">
        <f t="shared" si="8"/>
        <v>11198287.628045777</v>
      </c>
      <c r="Z42" s="73">
        <f t="shared" si="8"/>
        <v>-27258894.751401689</v>
      </c>
      <c r="AA42" s="12">
        <f t="shared" si="9"/>
        <v>-0.61190408189963941</v>
      </c>
      <c r="AB42" s="115">
        <f t="shared" si="10"/>
        <v>33003791.461073563</v>
      </c>
      <c r="AC42" s="73">
        <f>AB42/SUMIFS(FinParameters!$L$8:$L$39,FinParameters!$B$8:$B$39,Financials!$E42,FinParameters!$C$8:$C$39,Financials!$F42)</f>
        <v>28459065.941697799</v>
      </c>
      <c r="AD42" s="73">
        <f t="shared" si="11"/>
        <v>28459065.941697799</v>
      </c>
      <c r="AE42" s="12"/>
      <c r="AF42" s="73">
        <f t="shared" si="12"/>
        <v>50820275.933880761</v>
      </c>
      <c r="AG42" s="73">
        <f t="shared" si="13"/>
        <v>39657353.569743574</v>
      </c>
      <c r="AH42" s="73">
        <f t="shared" si="13"/>
        <v>1200171.1902961098</v>
      </c>
      <c r="AI42" s="12">
        <f t="shared" si="14"/>
        <v>2.6941284928024282E-2</v>
      </c>
      <c r="AL42" s="73">
        <f>Summary!G42</f>
        <v>-2207695.911829025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8170604.4892602935</v>
      </c>
      <c r="AN42" s="20">
        <f>Summary!I42</f>
        <v>4935465.0996654956</v>
      </c>
      <c r="AP42" s="12">
        <v>1</v>
      </c>
    </row>
    <row r="43" spans="1:42" x14ac:dyDescent="0.3">
      <c r="A43">
        <v>39</v>
      </c>
      <c r="B43" t="str">
        <f>Summary!B43</f>
        <v>MarinusSnowyYallourn</v>
      </c>
      <c r="C43" t="str">
        <f>Summary!C43</f>
        <v>Wind</v>
      </c>
      <c r="D43" s="90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-19510740.699053388</v>
      </c>
      <c r="H43" s="73">
        <f>SUMIFS(AM$5:AM43,$F$5:$F43,$F43,$D$5:$D43,$D43)</f>
        <v>71881227.146155909</v>
      </c>
      <c r="I43" s="20">
        <f>SUMIFS(AN$5:AN43,$F$5:$F43,$F43,$D$5:$D43,$D43)</f>
        <v>13541445.984290998</v>
      </c>
      <c r="J43" s="73">
        <f t="shared" si="0"/>
        <v>13541445.984290998</v>
      </c>
      <c r="K43" s="73">
        <f t="shared" si="1"/>
        <v>-5969294.7147623897</v>
      </c>
      <c r="L43" s="73">
        <f t="shared" si="2"/>
        <v>65911932.431393519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4235117.4686659984</v>
      </c>
      <c r="Q43" s="73">
        <f>P43/SUMIFS(FinParameters!$H$8:$H$39,FinParameters!$B$8:$B$39,Financials!$E43,FinParameters!$C$8:$C$39,Financials!$F43)</f>
        <v>2390613.4017773005</v>
      </c>
      <c r="R43" s="73">
        <f t="shared" si="15"/>
        <v>-40312542.13637732</v>
      </c>
      <c r="S43" s="12">
        <f t="shared" si="4"/>
        <v>-0.90493064043735894</v>
      </c>
      <c r="T43" s="115">
        <f t="shared" si="5"/>
        <v>-19510740.699053388</v>
      </c>
      <c r="U43" s="73">
        <f>T43/SUMIFS(FinParameters!$L$8:$L$39,FinParameters!$B$8:$B$39,Financials!$E43,FinParameters!$C$8:$C$39,Financials!$F43)</f>
        <v>-16824050.5573618</v>
      </c>
      <c r="V43" s="73">
        <f t="shared" si="6"/>
        <v>-16824050.5573618</v>
      </c>
      <c r="W43" s="12"/>
      <c r="X43" s="73">
        <f t="shared" si="7"/>
        <v>-15275623.23038739</v>
      </c>
      <c r="Y43" s="73">
        <f t="shared" si="8"/>
        <v>-14433437.155584499</v>
      </c>
      <c r="Z43" s="73">
        <f t="shared" si="8"/>
        <v>-57136592.693739116</v>
      </c>
      <c r="AA43" s="12">
        <f t="shared" si="9"/>
        <v>-1.282594713174799</v>
      </c>
      <c r="AB43" s="115">
        <f t="shared" si="10"/>
        <v>71881227.146155909</v>
      </c>
      <c r="AC43" s="73">
        <f>AB43/SUMIFS(FinParameters!$L$8:$L$39,FinParameters!$B$8:$B$39,Financials!$E43,FinParameters!$C$8:$C$39,Financials!$F43)</f>
        <v>61982956.889525391</v>
      </c>
      <c r="AD43" s="73">
        <f t="shared" si="11"/>
        <v>61982956.889525391</v>
      </c>
      <c r="AE43" s="12"/>
      <c r="AF43" s="73">
        <f t="shared" si="12"/>
        <v>56605603.915768519</v>
      </c>
      <c r="AG43" s="73">
        <f t="shared" si="13"/>
        <v>47549519.733940892</v>
      </c>
      <c r="AH43" s="73">
        <f t="shared" si="13"/>
        <v>4846364.195786275</v>
      </c>
      <c r="AI43" s="12">
        <f t="shared" si="14"/>
        <v>0.10879054564827485</v>
      </c>
      <c r="AL43" s="73">
        <f>Summary!G43</f>
        <v>-6348354.2618838204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17158321.763590675</v>
      </c>
      <c r="AN43" s="20">
        <f>Summary!I43</f>
        <v>2578477.2014296441</v>
      </c>
      <c r="AP43" s="12">
        <v>1</v>
      </c>
    </row>
    <row r="44" spans="1:42" x14ac:dyDescent="0.3">
      <c r="A44">
        <v>40</v>
      </c>
      <c r="B44" t="str">
        <f>Summary!B44</f>
        <v>MarinusSnowyYallourn</v>
      </c>
      <c r="C44" t="str">
        <f>Summary!C44</f>
        <v>Wind</v>
      </c>
      <c r="D44" s="90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38499297.446773052</v>
      </c>
      <c r="H44" s="73">
        <f>SUMIFS(AM$5:AM44,$F$5:$F44,$F44,$D$5:$D44,$D44)</f>
        <v>-784421.04440779565</v>
      </c>
      <c r="I44" s="20">
        <f>SUMIFS(AN$5:AN44,$F$5:$F44,$F44,$D$5:$D44,$D44)</f>
        <v>34325015.327138744</v>
      </c>
      <c r="J44" s="73">
        <f t="shared" si="0"/>
        <v>34325015.327138744</v>
      </c>
      <c r="K44" s="73">
        <f t="shared" si="1"/>
        <v>72824312.773911804</v>
      </c>
      <c r="L44" s="73">
        <f t="shared" si="2"/>
        <v>72039891.729504004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25018686.811513744</v>
      </c>
      <c r="Q44" s="73">
        <f>P44/SUMIFS(FinParameters!$H$8:$H$39,FinParameters!$B$8:$B$39,Financials!$E44,FinParameters!$C$8:$C$39,Financials!$F44)</f>
        <v>14122396.469279764</v>
      </c>
      <c r="R44" s="73">
        <f t="shared" si="15"/>
        <v>-19528972.793529578</v>
      </c>
      <c r="S44" s="12">
        <f t="shared" si="4"/>
        <v>-0.43838381110640134</v>
      </c>
      <c r="T44" s="115">
        <f t="shared" si="5"/>
        <v>38499297.446773052</v>
      </c>
      <c r="U44" s="73">
        <f>T44/SUMIFS(FinParameters!$L$8:$L$39,FinParameters!$B$8:$B$39,Financials!$E44,FinParameters!$C$8:$C$39,Financials!$F44)</f>
        <v>33197823.530033659</v>
      </c>
      <c r="V44" s="73">
        <f t="shared" si="6"/>
        <v>33197823.530033659</v>
      </c>
      <c r="W44" s="12"/>
      <c r="X44" s="73">
        <f t="shared" si="7"/>
        <v>63517984.258286804</v>
      </c>
      <c r="Y44" s="73">
        <f t="shared" si="8"/>
        <v>47320219.999313422</v>
      </c>
      <c r="Z44" s="73">
        <f t="shared" si="8"/>
        <v>13668850.736504082</v>
      </c>
      <c r="AA44" s="12">
        <f t="shared" si="9"/>
        <v>0.30683656240734603</v>
      </c>
      <c r="AB44" s="115">
        <f t="shared" si="10"/>
        <v>-784421.04440779565</v>
      </c>
      <c r="AC44" s="73">
        <f>AB44/SUMIFS(FinParameters!$L$8:$L$39,FinParameters!$B$8:$B$39,Financials!$E44,FinParameters!$C$8:$C$39,Financials!$F44)</f>
        <v>-676403.80818630802</v>
      </c>
      <c r="AD44" s="73">
        <f t="shared" si="11"/>
        <v>-676403.80818630802</v>
      </c>
      <c r="AE44" s="12"/>
      <c r="AF44" s="73">
        <f t="shared" si="12"/>
        <v>62733563.213879012</v>
      </c>
      <c r="AG44" s="73">
        <f t="shared" si="13"/>
        <v>46643816.191127114</v>
      </c>
      <c r="AH44" s="73">
        <f t="shared" si="13"/>
        <v>12992446.928317774</v>
      </c>
      <c r="AI44" s="12">
        <f t="shared" si="14"/>
        <v>0.29165273874111391</v>
      </c>
      <c r="AL44" s="73">
        <f>Summary!G44</f>
        <v>3343446.761955407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-172301.21338519297</v>
      </c>
      <c r="AN44" s="20">
        <f>Summary!I44</f>
        <v>7240399.3097059596</v>
      </c>
      <c r="AP44" s="12">
        <v>1</v>
      </c>
    </row>
    <row r="45" spans="1:42" x14ac:dyDescent="0.3">
      <c r="A45">
        <v>41</v>
      </c>
      <c r="B45" t="str">
        <f>Summary!B45</f>
        <v>MarinusSnowyYallourn</v>
      </c>
      <c r="C45" t="str">
        <f>Summary!C45</f>
        <v>Wind</v>
      </c>
      <c r="D45" s="90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148670160.57590249</v>
      </c>
      <c r="H45" s="73">
        <f>SUMIFS(AM$5:AM45,$F$5:$F45,$F45,$D$5:$D45,$D45)</f>
        <v>-111646978.55844225</v>
      </c>
      <c r="I45" s="20">
        <f>SUMIFS(AN$5:AN45,$F$5:$F45,$F45,$D$5:$D45,$D45)</f>
        <v>77168723.719503015</v>
      </c>
      <c r="J45" s="73">
        <f t="shared" si="0"/>
        <v>77168723.719503015</v>
      </c>
      <c r="K45" s="73">
        <f t="shared" si="1"/>
        <v>225838884.29540551</v>
      </c>
      <c r="L45" s="73">
        <f t="shared" si="2"/>
        <v>114191905.73696326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66130986.99098739</v>
      </c>
      <c r="Q45" s="73">
        <f>P45/SUMIFS(FinParameters!$H$8:$H$39,FinParameters!$B$8:$B$39,Financials!$E45,FinParameters!$C$8:$C$39,Financials!$F45)</f>
        <v>33935652.841034412</v>
      </c>
      <c r="R45" s="73">
        <f t="shared" si="15"/>
        <v>17098539.1894393</v>
      </c>
      <c r="S45" s="12">
        <f t="shared" si="4"/>
        <v>0.348718857737701</v>
      </c>
      <c r="T45" s="115">
        <f t="shared" si="5"/>
        <v>148670160.57590249</v>
      </c>
      <c r="U45" s="73">
        <f>T45/SUMIFS(FinParameters!$L$8:$L$39,FinParameters!$B$8:$B$39,Financials!$E45,FinParameters!$C$8:$C$39,Financials!$F45)</f>
        <v>125071037.5867763</v>
      </c>
      <c r="V45" s="73">
        <f t="shared" si="6"/>
        <v>125071037.5867763</v>
      </c>
      <c r="W45" s="12"/>
      <c r="X45" s="73">
        <f t="shared" si="7"/>
        <v>214801147.56688988</v>
      </c>
      <c r="Y45" s="73">
        <f t="shared" si="8"/>
        <v>159006690.42781073</v>
      </c>
      <c r="Z45" s="73">
        <f t="shared" si="8"/>
        <v>142169576.77621561</v>
      </c>
      <c r="AA45" s="12">
        <f t="shared" si="9"/>
        <v>2.8994998852928351</v>
      </c>
      <c r="AB45" s="115">
        <f t="shared" si="10"/>
        <v>-111646978.55844225</v>
      </c>
      <c r="AC45" s="73">
        <f>AB45/SUMIFS(FinParameters!$L$8:$L$39,FinParameters!$B$8:$B$39,Financials!$E45,FinParameters!$C$8:$C$39,Financials!$F45)</f>
        <v>-93924721.663321391</v>
      </c>
      <c r="AD45" s="73">
        <f t="shared" si="11"/>
        <v>-93924721.663321391</v>
      </c>
      <c r="AE45" s="12"/>
      <c r="AF45" s="73">
        <f t="shared" si="12"/>
        <v>103154169.00844763</v>
      </c>
      <c r="AG45" s="73">
        <f t="shared" si="13"/>
        <v>65081968.764489338</v>
      </c>
      <c r="AH45" s="73">
        <f t="shared" si="13"/>
        <v>48244855.112894222</v>
      </c>
      <c r="AI45" s="12">
        <f t="shared" si="14"/>
        <v>0.98393731653288974</v>
      </c>
      <c r="AL45" s="73">
        <f>Summary!G45</f>
        <v>19936177.535937529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-23487418.960461278</v>
      </c>
      <c r="AN45" s="20">
        <f>Summary!I45</f>
        <v>13307072.301646383</v>
      </c>
      <c r="AP45" s="12">
        <v>1</v>
      </c>
    </row>
    <row r="46" spans="1:42" x14ac:dyDescent="0.3">
      <c r="A46">
        <v>42</v>
      </c>
      <c r="B46" t="str">
        <f>Summary!B46</f>
        <v>MarinusSnowyYallourn</v>
      </c>
      <c r="C46" t="str">
        <f>Summary!C46</f>
        <v>Wind</v>
      </c>
      <c r="D46" s="90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95337598.474898815</v>
      </c>
      <c r="H46" s="73">
        <f>SUMIFS(AM$5:AM46,$F$5:$F46,$F46,$D$5:$D46,$D46)</f>
        <v>-46166717.462137423</v>
      </c>
      <c r="I46" s="20">
        <f>SUMIFS(AN$5:AN46,$F$5:$F46,$F46,$D$5:$D46,$D46)</f>
        <v>57092729.673583418</v>
      </c>
      <c r="J46" s="73">
        <f t="shared" si="0"/>
        <v>57092729.673583418</v>
      </c>
      <c r="K46" s="73">
        <f t="shared" si="1"/>
        <v>152430328.14848223</v>
      </c>
      <c r="L46" s="73">
        <f t="shared" si="2"/>
        <v>106263610.6863448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46054992.945067793</v>
      </c>
      <c r="Q46" s="73">
        <f>P46/SUMIFS(FinParameters!$H$8:$H$39,FinParameters!$B$8:$B$39,Financials!$E46,FinParameters!$C$8:$C$39,Financials!$F46)</f>
        <v>23633493.514819447</v>
      </c>
      <c r="R46" s="73">
        <f t="shared" si="15"/>
        <v>-2977454.8564802967</v>
      </c>
      <c r="S46" s="12">
        <f t="shared" si="4"/>
        <v>-6.0724173276666189E-2</v>
      </c>
      <c r="T46" s="115">
        <f t="shared" si="5"/>
        <v>95337598.474898815</v>
      </c>
      <c r="U46" s="73">
        <f>T46/SUMIFS(FinParameters!$L$8:$L$39,FinParameters!$B$8:$B$39,Financials!$E46,FinParameters!$C$8:$C$39,Financials!$F46)</f>
        <v>80204207.193274379</v>
      </c>
      <c r="V46" s="73">
        <f t="shared" si="6"/>
        <v>80204207.193274379</v>
      </c>
      <c r="W46" s="12"/>
      <c r="X46" s="73">
        <f t="shared" si="7"/>
        <v>141392591.41996661</v>
      </c>
      <c r="Y46" s="73">
        <f t="shared" si="8"/>
        <v>103837700.70809382</v>
      </c>
      <c r="Z46" s="73">
        <f t="shared" si="8"/>
        <v>77226752.336794078</v>
      </c>
      <c r="AA46" s="12">
        <f t="shared" si="9"/>
        <v>1.5750131963502709</v>
      </c>
      <c r="AB46" s="115">
        <f t="shared" si="10"/>
        <v>-46166717.462137423</v>
      </c>
      <c r="AC46" s="73">
        <f>AB46/SUMIFS(FinParameters!$L$8:$L$39,FinParameters!$B$8:$B$39,Financials!$E46,FinParameters!$C$8:$C$39,Financials!$F46)</f>
        <v>-38838454.418814838</v>
      </c>
      <c r="AD46" s="73">
        <f t="shared" si="11"/>
        <v>-38838454.418814838</v>
      </c>
      <c r="AE46" s="12"/>
      <c r="AF46" s="73">
        <f t="shared" si="12"/>
        <v>95225873.957829177</v>
      </c>
      <c r="AG46" s="73">
        <f t="shared" si="13"/>
        <v>64999246.289278984</v>
      </c>
      <c r="AH46" s="73">
        <f t="shared" si="13"/>
        <v>38388297.91797924</v>
      </c>
      <c r="AI46" s="12">
        <f t="shared" si="14"/>
        <v>0.78291620425214037</v>
      </c>
      <c r="AL46" s="73">
        <f>Summary!G46</f>
        <v>10758120.660301276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-9166105.6625097319</v>
      </c>
      <c r="AN46" s="20">
        <f>Summary!I46</f>
        <v>9517378.4011404775</v>
      </c>
      <c r="AP46" s="12">
        <v>1</v>
      </c>
    </row>
    <row r="47" spans="1:42" x14ac:dyDescent="0.3">
      <c r="A47">
        <v>43</v>
      </c>
      <c r="B47" t="str">
        <f>Summary!B47</f>
        <v>MarinusSnowyYallourn</v>
      </c>
      <c r="C47" t="str">
        <f>Summary!C47</f>
        <v>Wind</v>
      </c>
      <c r="D47" s="90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61072714.737942427</v>
      </c>
      <c r="H47" s="73">
        <f>SUMIFS(AM$5:AM47,$F$5:$F47,$F47,$D$5:$D47,$D47)</f>
        <v>-18663118.73949898</v>
      </c>
      <c r="I47" s="20">
        <f>SUMIFS(AN$5:AN47,$F$5:$F47,$F47,$D$5:$D47,$D47)</f>
        <v>46774607.163634315</v>
      </c>
      <c r="J47" s="73">
        <f t="shared" si="0"/>
        <v>46774607.163634315</v>
      </c>
      <c r="K47" s="73">
        <f t="shared" si="1"/>
        <v>107847321.90157674</v>
      </c>
      <c r="L47" s="73">
        <f t="shared" si="2"/>
        <v>89184203.162077755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35736870.43511869</v>
      </c>
      <c r="Q47" s="73">
        <f>P47/SUMIFS(FinParameters!$H$8:$H$39,FinParameters!$B$8:$B$39,Financials!$E47,FinParameters!$C$8:$C$39,Financials!$F47)</f>
        <v>18338665.183940072</v>
      </c>
      <c r="R47" s="73">
        <f t="shared" si="15"/>
        <v>-13295577.3664294</v>
      </c>
      <c r="S47" s="12">
        <f t="shared" si="4"/>
        <v>-0.27115875226628233</v>
      </c>
      <c r="T47" s="115">
        <f t="shared" si="5"/>
        <v>61072714.737942427</v>
      </c>
      <c r="U47" s="73">
        <f>T47/SUMIFS(FinParameters!$L$8:$L$39,FinParameters!$B$8:$B$39,Financials!$E47,FinParameters!$C$8:$C$39,Financials!$F47)</f>
        <v>51378351.721197739</v>
      </c>
      <c r="V47" s="73">
        <f t="shared" si="6"/>
        <v>51378351.721197739</v>
      </c>
      <c r="W47" s="12"/>
      <c r="X47" s="73">
        <f t="shared" si="7"/>
        <v>96809585.173061118</v>
      </c>
      <c r="Y47" s="73">
        <f t="shared" si="8"/>
        <v>69717016.905137807</v>
      </c>
      <c r="Z47" s="73">
        <f t="shared" si="8"/>
        <v>38082774.354768336</v>
      </c>
      <c r="AA47" s="12">
        <f t="shared" si="9"/>
        <v>0.77668515569328678</v>
      </c>
      <c r="AB47" s="115">
        <f t="shared" si="10"/>
        <v>-18663118.73949898</v>
      </c>
      <c r="AC47" s="73">
        <f>AB47/SUMIFS(FinParameters!$L$8:$L$39,FinParameters!$B$8:$B$39,Financials!$E47,FinParameters!$C$8:$C$39,Financials!$F47)</f>
        <v>-15700632.973774377</v>
      </c>
      <c r="AD47" s="73">
        <f t="shared" si="11"/>
        <v>-15700632.973774377</v>
      </c>
      <c r="AE47" s="12"/>
      <c r="AF47" s="73">
        <f t="shared" si="12"/>
        <v>78146466.43356213</v>
      </c>
      <c r="AG47" s="73">
        <f t="shared" si="13"/>
        <v>54016383.931363434</v>
      </c>
      <c r="AH47" s="73">
        <f t="shared" si="13"/>
        <v>22382141.380993959</v>
      </c>
      <c r="AI47" s="12">
        <f t="shared" si="14"/>
        <v>0.45647611703136898</v>
      </c>
      <c r="AL47" s="73">
        <f>Summary!G47</f>
        <v>5754159.7703516325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-3705612.4305649069</v>
      </c>
      <c r="AN47" s="20">
        <f>Summary!I47</f>
        <v>7837280.4400042631</v>
      </c>
      <c r="AP47" s="12">
        <v>1</v>
      </c>
    </row>
    <row r="48" spans="1:42" x14ac:dyDescent="0.3">
      <c r="A48">
        <v>44</v>
      </c>
      <c r="B48" t="str">
        <f>Summary!B48</f>
        <v>MarinusSnowyYallourn</v>
      </c>
      <c r="C48" t="str">
        <f>Summary!C48</f>
        <v>Wind</v>
      </c>
      <c r="D48" s="90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36127275.084720947</v>
      </c>
      <c r="H48" s="73">
        <f>SUMIFS(AM$5:AM48,$F$5:$F48,$F48,$D$5:$D48,$D48)</f>
        <v>38757.200787659509</v>
      </c>
      <c r="I48" s="20">
        <f>SUMIFS(AN$5:AN48,$F$5:$F48,$F48,$D$5:$D48,$D48)</f>
        <v>40441888.407472476</v>
      </c>
      <c r="J48" s="73">
        <f t="shared" si="0"/>
        <v>40441888.407472476</v>
      </c>
      <c r="K48" s="73">
        <f t="shared" si="1"/>
        <v>76569163.492193431</v>
      </c>
      <c r="L48" s="73">
        <f t="shared" si="2"/>
        <v>76607920.692981079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29404151.678956851</v>
      </c>
      <c r="Q48" s="73">
        <f>P48/SUMIFS(FinParameters!$H$8:$H$39,FinParameters!$B$8:$B$39,Financials!$E48,FinParameters!$C$8:$C$39,Financials!$F48)</f>
        <v>15088979.143743763</v>
      </c>
      <c r="R48" s="73">
        <f t="shared" si="15"/>
        <v>-19628296.122591238</v>
      </c>
      <c r="S48" s="12">
        <f t="shared" si="4"/>
        <v>-0.40031238501561239</v>
      </c>
      <c r="T48" s="115">
        <f t="shared" si="5"/>
        <v>36127275.084720947</v>
      </c>
      <c r="U48" s="73">
        <f>T48/SUMIFS(FinParameters!$L$8:$L$39,FinParameters!$B$8:$B$39,Financials!$E48,FinParameters!$C$8:$C$39,Financials!$F48)</f>
        <v>30392620.567071121</v>
      </c>
      <c r="V48" s="73">
        <f t="shared" si="6"/>
        <v>30392620.567071121</v>
      </c>
      <c r="W48" s="12"/>
      <c r="X48" s="73">
        <f t="shared" si="7"/>
        <v>65531426.763677806</v>
      </c>
      <c r="Y48" s="73">
        <f t="shared" si="8"/>
        <v>45481599.710814886</v>
      </c>
      <c r="Z48" s="73">
        <f t="shared" si="8"/>
        <v>10764324.444479883</v>
      </c>
      <c r="AA48" s="12">
        <f t="shared" si="9"/>
        <v>0.21953471480858891</v>
      </c>
      <c r="AB48" s="115">
        <f t="shared" si="10"/>
        <v>38757.200787659509</v>
      </c>
      <c r="AC48" s="73">
        <f>AB48/SUMIFS(FinParameters!$L$8:$L$39,FinParameters!$B$8:$B$39,Financials!$E48,FinParameters!$C$8:$C$39,Financials!$F48)</f>
        <v>32605.085631805658</v>
      </c>
      <c r="AD48" s="73">
        <f t="shared" si="11"/>
        <v>32605.085631805658</v>
      </c>
      <c r="AE48" s="12"/>
      <c r="AF48" s="73">
        <f t="shared" si="12"/>
        <v>65570183.964465462</v>
      </c>
      <c r="AG48" s="73">
        <f t="shared" si="13"/>
        <v>45514204.796446688</v>
      </c>
      <c r="AH48" s="73">
        <f t="shared" si="13"/>
        <v>10796929.530111689</v>
      </c>
      <c r="AI48" s="12">
        <f t="shared" si="14"/>
        <v>0.22019968437657317</v>
      </c>
      <c r="AL48" s="73">
        <f>Summary!G48</f>
        <v>2360271.5198300397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11541.683076716452</v>
      </c>
      <c r="AN48" s="20">
        <f>Summary!I48</f>
        <v>6801978.8464209298</v>
      </c>
      <c r="AP48" s="12">
        <v>1</v>
      </c>
    </row>
    <row r="49" spans="1:42" x14ac:dyDescent="0.3">
      <c r="A49">
        <v>45</v>
      </c>
      <c r="B49" t="str">
        <f>Summary!B49</f>
        <v>MarinusSnowyYallourn</v>
      </c>
      <c r="C49" t="str">
        <f>Summary!C49</f>
        <v>Wind</v>
      </c>
      <c r="D49" s="90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19675760.33677334</v>
      </c>
      <c r="H49" s="73">
        <f>SUMIFS(AM$5:AM49,$F$5:$F49,$F49,$D$5:$D49,$D49)</f>
        <v>17577366.138694234</v>
      </c>
      <c r="I49" s="20">
        <f>SUMIFS(AN$5:AN49,$F$5:$F49,$F49,$D$5:$D49,$D49)</f>
        <v>35037900.021803938</v>
      </c>
      <c r="J49" s="73">
        <f t="shared" si="0"/>
        <v>35037900.021803938</v>
      </c>
      <c r="K49" s="73">
        <f t="shared" si="1"/>
        <v>54713660.358577281</v>
      </c>
      <c r="L49" s="73">
        <f t="shared" si="2"/>
        <v>72291026.497271508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24000163.293288313</v>
      </c>
      <c r="Q49" s="73">
        <f>P49/SUMIFS(FinParameters!$H$8:$H$39,FinParameters!$B$8:$B$39,Financials!$E49,FinParameters!$C$8:$C$39,Financials!$F49)</f>
        <v>12315878.632813504</v>
      </c>
      <c r="R49" s="73">
        <f t="shared" si="15"/>
        <v>-25032284.508259777</v>
      </c>
      <c r="S49" s="12">
        <f t="shared" si="4"/>
        <v>-0.51052487955678683</v>
      </c>
      <c r="T49" s="115">
        <f t="shared" si="5"/>
        <v>19675760.33677334</v>
      </c>
      <c r="U49" s="73">
        <f>T49/SUMIFS(FinParameters!$L$8:$L$39,FinParameters!$B$8:$B$39,Financials!$E49,FinParameters!$C$8:$C$39,Financials!$F49)</f>
        <v>16552533.14516064</v>
      </c>
      <c r="V49" s="73">
        <f t="shared" si="6"/>
        <v>16552533.14516064</v>
      </c>
      <c r="W49" s="12"/>
      <c r="X49" s="73">
        <f t="shared" si="7"/>
        <v>43675923.630061656</v>
      </c>
      <c r="Y49" s="73">
        <f t="shared" si="8"/>
        <v>28868411.777974144</v>
      </c>
      <c r="Z49" s="73">
        <f t="shared" si="8"/>
        <v>-8479751.3630991373</v>
      </c>
      <c r="AA49" s="12">
        <f t="shared" si="9"/>
        <v>-0.17294162831559487</v>
      </c>
      <c r="AB49" s="115">
        <f t="shared" si="10"/>
        <v>17577366.138694234</v>
      </c>
      <c r="AC49" s="73">
        <f>AB49/SUMIFS(FinParameters!$L$8:$L$39,FinParameters!$B$8:$B$39,Financials!$E49,FinParameters!$C$8:$C$39,Financials!$F49)</f>
        <v>14787227.056815939</v>
      </c>
      <c r="AD49" s="73">
        <f t="shared" si="11"/>
        <v>14787227.056815939</v>
      </c>
      <c r="AE49" s="12"/>
      <c r="AF49" s="73">
        <f t="shared" si="12"/>
        <v>61253289.76875589</v>
      </c>
      <c r="AG49" s="73">
        <f t="shared" si="13"/>
        <v>43655638.834790081</v>
      </c>
      <c r="AH49" s="73">
        <f t="shared" si="13"/>
        <v>6307475.6937168017</v>
      </c>
      <c r="AI49" s="12">
        <f t="shared" si="14"/>
        <v>0.12863880912585515</v>
      </c>
      <c r="AL49" s="73">
        <f>Summary!G49</f>
        <v>-176601.45051009255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3561587.6810876536</v>
      </c>
      <c r="AN49" s="20">
        <f>Summary!I49</f>
        <v>5903059.5583374519</v>
      </c>
      <c r="AP49" s="12">
        <v>1</v>
      </c>
    </row>
    <row r="50" spans="1:42" x14ac:dyDescent="0.3">
      <c r="A50">
        <v>46</v>
      </c>
      <c r="B50" t="str">
        <f>Summary!B50</f>
        <v>MarinusSnowyYallourn</v>
      </c>
      <c r="C50" t="str">
        <f>Summary!C50</f>
        <v>Wind</v>
      </c>
      <c r="D50" s="90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1037861.1694860626</v>
      </c>
      <c r="H50" s="73">
        <f>SUMIFS(AM$5:AM50,$F$5:$F50,$F50,$D$5:$D50,$D50)</f>
        <v>41112968.683042601</v>
      </c>
      <c r="I50" s="20">
        <f>SUMIFS(AN$5:AN50,$F$5:$F50,$F50,$D$5:$D50,$D50)</f>
        <v>28004302.800182238</v>
      </c>
      <c r="J50" s="73">
        <f t="shared" si="0"/>
        <v>28004302.800182238</v>
      </c>
      <c r="K50" s="73">
        <f t="shared" si="1"/>
        <v>29042163.969668299</v>
      </c>
      <c r="L50" s="73">
        <f t="shared" si="2"/>
        <v>70155132.6527109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16966566.071666613</v>
      </c>
      <c r="Q50" s="73">
        <f>P50/SUMIFS(FinParameters!$H$8:$H$39,FinParameters!$B$8:$B$39,Financials!$E50,FinParameters!$C$8:$C$39,Financials!$F50)</f>
        <v>8706531.1181733869</v>
      </c>
      <c r="R50" s="73">
        <f t="shared" si="15"/>
        <v>-32065881.729881477</v>
      </c>
      <c r="S50" s="12">
        <f t="shared" si="4"/>
        <v>-0.65397268885419724</v>
      </c>
      <c r="T50" s="115">
        <f t="shared" si="5"/>
        <v>1037861.1694860626</v>
      </c>
      <c r="U50" s="73">
        <f>T50/SUMIFS(FinParameters!$L$8:$L$39,FinParameters!$B$8:$B$39,Financials!$E50,FinParameters!$C$8:$C$39,Financials!$F50)</f>
        <v>873116.52073164494</v>
      </c>
      <c r="V50" s="73">
        <f t="shared" si="6"/>
        <v>873116.52073164494</v>
      </c>
      <c r="W50" s="12"/>
      <c r="X50" s="73">
        <f t="shared" si="7"/>
        <v>18004427.241152674</v>
      </c>
      <c r="Y50" s="73">
        <f t="shared" si="8"/>
        <v>9579647.6389050316</v>
      </c>
      <c r="Z50" s="73">
        <f t="shared" si="8"/>
        <v>-31192765.20914983</v>
      </c>
      <c r="AA50" s="12">
        <f t="shared" si="9"/>
        <v>-0.63616577608766633</v>
      </c>
      <c r="AB50" s="115">
        <f t="shared" si="10"/>
        <v>41112968.683042601</v>
      </c>
      <c r="AC50" s="73">
        <f>AB50/SUMIFS(FinParameters!$L$8:$L$39,FinParameters!$B$8:$B$39,Financials!$E50,FinParameters!$C$8:$C$39,Financials!$F50)</f>
        <v>34586911.264117084</v>
      </c>
      <c r="AD50" s="73">
        <f t="shared" si="11"/>
        <v>34586911.264117084</v>
      </c>
      <c r="AE50" s="12"/>
      <c r="AF50" s="73">
        <f t="shared" si="12"/>
        <v>59117395.924195275</v>
      </c>
      <c r="AG50" s="73">
        <f t="shared" si="13"/>
        <v>44166558.903022118</v>
      </c>
      <c r="AH50" s="73">
        <f t="shared" si="13"/>
        <v>3394146.0549672544</v>
      </c>
      <c r="AI50" s="12">
        <f t="shared" si="14"/>
        <v>6.9222447728993275E-2</v>
      </c>
      <c r="AL50" s="73">
        <f>Summary!G50</f>
        <v>-2794438.0940456348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8109177.2219690382</v>
      </c>
      <c r="AN50" s="20">
        <f>Summary!I50</f>
        <v>4713789.0752817364</v>
      </c>
      <c r="AP50" s="12">
        <v>1</v>
      </c>
    </row>
    <row r="51" spans="1:42" x14ac:dyDescent="0.3">
      <c r="A51">
        <v>47</v>
      </c>
      <c r="B51" t="str">
        <f>Summary!B51</f>
        <v>MarinusSnowyYallourn</v>
      </c>
      <c r="C51" t="str">
        <f>Summary!C51</f>
        <v>Wind</v>
      </c>
      <c r="D51" s="90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-26725288.031562041</v>
      </c>
      <c r="H51" s="73">
        <f>SUMIFS(AM$5:AM51,$F$5:$F51,$F51,$D$5:$D51,$D51)</f>
        <v>91251593.527464062</v>
      </c>
      <c r="I51" s="20">
        <f>SUMIFS(AN$5:AN51,$F$5:$F51,$F51,$D$5:$D51,$D51)</f>
        <v>16601073.271765161</v>
      </c>
      <c r="J51" s="73">
        <f t="shared" si="0"/>
        <v>16601073.271765161</v>
      </c>
      <c r="K51" s="73">
        <f t="shared" si="1"/>
        <v>-10124214.75979688</v>
      </c>
      <c r="L51" s="73">
        <f t="shared" si="2"/>
        <v>81127378.767667174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5563336.5432495363</v>
      </c>
      <c r="Q51" s="73">
        <f>P51/SUMIFS(FinParameters!$H$8:$H$39,FinParameters!$B$8:$B$39,Financials!$E51,FinParameters!$C$8:$C$39,Financials!$F51)</f>
        <v>2854871.3116180548</v>
      </c>
      <c r="R51" s="73">
        <f t="shared" si="15"/>
        <v>-43469111.258298561</v>
      </c>
      <c r="S51" s="12">
        <f t="shared" si="4"/>
        <v>-0.88653765429443065</v>
      </c>
      <c r="T51" s="115">
        <f t="shared" si="5"/>
        <v>-26725288.031562041</v>
      </c>
      <c r="U51" s="73">
        <f>T51/SUMIFS(FinParameters!$L$8:$L$39,FinParameters!$B$8:$B$39,Financials!$E51,FinParameters!$C$8:$C$39,Financials!$F51)</f>
        <v>-22483055.718544133</v>
      </c>
      <c r="V51" s="73">
        <f t="shared" si="6"/>
        <v>-22483055.718544133</v>
      </c>
      <c r="W51" s="12"/>
      <c r="X51" s="73">
        <f t="shared" si="7"/>
        <v>-21161951.488312505</v>
      </c>
      <c r="Y51" s="73">
        <f t="shared" si="8"/>
        <v>-19628184.406926077</v>
      </c>
      <c r="Z51" s="73">
        <f t="shared" si="8"/>
        <v>-65952166.976842694</v>
      </c>
      <c r="AA51" s="12">
        <f t="shared" si="9"/>
        <v>-1.3450718847195795</v>
      </c>
      <c r="AB51" s="115">
        <f t="shared" si="10"/>
        <v>91251593.527464062</v>
      </c>
      <c r="AC51" s="73">
        <f>AB51/SUMIFS(FinParameters!$L$8:$L$39,FinParameters!$B$8:$B$39,Financials!$E51,FinParameters!$C$8:$C$39,Financials!$F51)</f>
        <v>76766793.280618668</v>
      </c>
      <c r="AD51" s="73">
        <f t="shared" si="11"/>
        <v>76766793.280618668</v>
      </c>
      <c r="AE51" s="12"/>
      <c r="AF51" s="73">
        <f t="shared" si="12"/>
        <v>70089642.039151549</v>
      </c>
      <c r="AG51" s="73">
        <f t="shared" si="13"/>
        <v>57138608.873692587</v>
      </c>
      <c r="AH51" s="73">
        <f t="shared" si="13"/>
        <v>10814626.303775974</v>
      </c>
      <c r="AI51" s="12">
        <f t="shared" si="14"/>
        <v>0.2205606040217826</v>
      </c>
      <c r="AL51" s="73">
        <f>Summary!G51</f>
        <v>-7214547.3325086534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19370366.381308161</v>
      </c>
      <c r="AN51" s="20">
        <f>Summary!I51</f>
        <v>3059627.2874741633</v>
      </c>
      <c r="AP51" s="12">
        <v>1</v>
      </c>
    </row>
    <row r="52" spans="1:42" x14ac:dyDescent="0.3">
      <c r="A52">
        <v>48</v>
      </c>
      <c r="B52" t="str">
        <f>Summary!B52</f>
        <v>MarinusSnowyYallourn</v>
      </c>
      <c r="C52" t="str">
        <f>Summary!C52</f>
        <v>Wind</v>
      </c>
      <c r="D52" s="90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41491293.190224186</v>
      </c>
      <c r="H52" s="73">
        <f>SUMIFS(AM$5:AM52,$F$5:$F52,$F52,$D$5:$D52,$D52)</f>
        <v>-978407.07472242299</v>
      </c>
      <c r="I52" s="20">
        <f>SUMIFS(AN$5:AN52,$F$5:$F52,$F52,$D$5:$D52,$D52)</f>
        <v>41252748.041104093</v>
      </c>
      <c r="J52" s="73">
        <f t="shared" si="0"/>
        <v>41252748.041104093</v>
      </c>
      <c r="K52" s="73">
        <f t="shared" si="1"/>
        <v>82744041.231328279</v>
      </c>
      <c r="L52" s="73">
        <f t="shared" si="2"/>
        <v>81765634.156605855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30215011.312588468</v>
      </c>
      <c r="Q52" s="73">
        <f>P52/SUMIFS(FinParameters!$H$8:$H$39,FinParameters!$B$8:$B$39,Financials!$E52,FinParameters!$C$8:$C$39,Financials!$F52)</f>
        <v>15505078.347487403</v>
      </c>
      <c r="R52" s="73">
        <f t="shared" si="15"/>
        <v>-18817436.488959622</v>
      </c>
      <c r="S52" s="12">
        <f t="shared" si="4"/>
        <v>-0.38377518016478673</v>
      </c>
      <c r="T52" s="115">
        <f t="shared" si="5"/>
        <v>41491293.190224186</v>
      </c>
      <c r="U52" s="73">
        <f>T52/SUMIFS(FinParameters!$L$8:$L$39,FinParameters!$B$8:$B$39,Financials!$E52,FinParameters!$C$8:$C$39,Financials!$F52)</f>
        <v>34905182.519589022</v>
      </c>
      <c r="V52" s="73">
        <f t="shared" si="6"/>
        <v>34905182.519589022</v>
      </c>
      <c r="W52" s="12"/>
      <c r="X52" s="73">
        <f t="shared" si="7"/>
        <v>71706304.502812654</v>
      </c>
      <c r="Y52" s="73">
        <f t="shared" si="8"/>
        <v>50410260.867076427</v>
      </c>
      <c r="Z52" s="73">
        <f t="shared" si="8"/>
        <v>16087746.0306294</v>
      </c>
      <c r="AA52" s="12">
        <f t="shared" si="9"/>
        <v>0.32810407703368755</v>
      </c>
      <c r="AB52" s="115">
        <f t="shared" si="10"/>
        <v>-978407.07472242299</v>
      </c>
      <c r="AC52" s="73">
        <f>AB52/SUMIFS(FinParameters!$L$8:$L$39,FinParameters!$B$8:$B$39,Financials!$E52,FinParameters!$C$8:$C$39,Financials!$F52)</f>
        <v>-823099.8577236397</v>
      </c>
      <c r="AD52" s="73">
        <f t="shared" si="11"/>
        <v>-823099.8577236397</v>
      </c>
      <c r="AE52" s="12"/>
      <c r="AF52" s="73">
        <f t="shared" si="12"/>
        <v>70727897.42809023</v>
      </c>
      <c r="AG52" s="73">
        <f t="shared" si="13"/>
        <v>49587161.009352788</v>
      </c>
      <c r="AH52" s="73">
        <f t="shared" si="13"/>
        <v>15264646.17290576</v>
      </c>
      <c r="AI52" s="12">
        <f t="shared" si="14"/>
        <v>0.31131723699961422</v>
      </c>
      <c r="AL52" s="73">
        <f>Summary!G52</f>
        <v>2991995.7434511348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-193986.03031462731</v>
      </c>
      <c r="AN52" s="20">
        <f>Summary!I52</f>
        <v>6927732.7139653517</v>
      </c>
      <c r="AP52" s="12">
        <v>1</v>
      </c>
    </row>
    <row r="53" spans="1:42" x14ac:dyDescent="0.3">
      <c r="A53">
        <v>49</v>
      </c>
      <c r="B53" t="str">
        <f>Summary!B53</f>
        <v>MarinusSnowyYallourn</v>
      </c>
      <c r="C53" t="str">
        <f>Summary!C53</f>
        <v>Wind</v>
      </c>
      <c r="D53" s="90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164007596.85375571</v>
      </c>
      <c r="H53" s="73">
        <f>SUMIFS(AM$5:AM53,$F$5:$F53,$F53,$D$5:$D53,$D53)</f>
        <v>-130097219.49428298</v>
      </c>
      <c r="I53" s="20">
        <f>SUMIFS(AN$5:AN53,$F$5:$F53,$F53,$D$5:$D53,$D53)</f>
        <v>89059492.852550611</v>
      </c>
      <c r="J53" s="73">
        <f t="shared" si="0"/>
        <v>89059492.852550611</v>
      </c>
      <c r="K53" s="73">
        <f t="shared" si="1"/>
        <v>253067089.70630634</v>
      </c>
      <c r="L53" s="73">
        <f t="shared" si="2"/>
        <v>122969870.21202335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76262062.705822095</v>
      </c>
      <c r="Q53" s="73">
        <f>P53/SUMIFS(FinParameters!$H$8:$H$39,FinParameters!$B$8:$B$39,Financials!$E53,FinParameters!$C$8:$C$39,Financials!$F53)</f>
        <v>35576815.082283452</v>
      </c>
      <c r="R53" s="73">
        <f t="shared" si="15"/>
        <v>23427737.637691554</v>
      </c>
      <c r="S53" s="12">
        <f t="shared" si="4"/>
        <v>0.44341888738961244</v>
      </c>
      <c r="T53" s="115">
        <f t="shared" si="5"/>
        <v>164007596.85375571</v>
      </c>
      <c r="U53" s="73">
        <f>T53/SUMIFS(FinParameters!$L$8:$L$39,FinParameters!$B$8:$B$39,Financials!$E53,FinParameters!$C$8:$C$39,Financials!$F53)</f>
        <v>134608672.70501608</v>
      </c>
      <c r="V53" s="73">
        <f t="shared" si="6"/>
        <v>134608672.70501608</v>
      </c>
      <c r="W53" s="12"/>
      <c r="X53" s="73">
        <f t="shared" si="7"/>
        <v>240269659.55957782</v>
      </c>
      <c r="Y53" s="73">
        <f t="shared" si="8"/>
        <v>170185487.78729951</v>
      </c>
      <c r="Z53" s="73">
        <f t="shared" si="8"/>
        <v>158036410.34270763</v>
      </c>
      <c r="AA53" s="12">
        <f t="shared" si="9"/>
        <v>2.9911692850986107</v>
      </c>
      <c r="AB53" s="115">
        <f t="shared" si="10"/>
        <v>-130097219.49428298</v>
      </c>
      <c r="AC53" s="73">
        <f>AB53/SUMIFS(FinParameters!$L$8:$L$39,FinParameters!$B$8:$B$39,Financials!$E53,FinParameters!$C$8:$C$39,Financials!$F53)</f>
        <v>-106776846.77225091</v>
      </c>
      <c r="AD53" s="73">
        <f t="shared" si="11"/>
        <v>-106776846.77225091</v>
      </c>
      <c r="AE53" s="12"/>
      <c r="AF53" s="73">
        <f t="shared" si="12"/>
        <v>110172440.06529485</v>
      </c>
      <c r="AG53" s="73">
        <f t="shared" si="13"/>
        <v>63408641.015048608</v>
      </c>
      <c r="AH53" s="73">
        <f t="shared" si="13"/>
        <v>51259563.570456728</v>
      </c>
      <c r="AI53" s="12">
        <f t="shared" si="14"/>
        <v>0.97019434816962014</v>
      </c>
      <c r="AL53" s="73">
        <f>Summary!G53</f>
        <v>15337436.277853223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-18450240.935840726</v>
      </c>
      <c r="AN53" s="20">
        <f>Summary!I53</f>
        <v>11890769.133047597</v>
      </c>
      <c r="AP53" s="12">
        <v>1</v>
      </c>
    </row>
    <row r="54" spans="1:42" x14ac:dyDescent="0.3">
      <c r="A54">
        <v>50</v>
      </c>
      <c r="B54" t="str">
        <f>Summary!B54</f>
        <v>MarinusSnowyYallourn</v>
      </c>
      <c r="C54" t="str">
        <f>Summary!C54</f>
        <v>Wind</v>
      </c>
      <c r="D54" s="90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103394773.81024171</v>
      </c>
      <c r="H54" s="73">
        <f>SUMIFS(AM$5:AM54,$F$5:$F54,$F54,$D$5:$D54,$D54)</f>
        <v>-54509955.802946307</v>
      </c>
      <c r="I54" s="20">
        <f>SUMIFS(AN$5:AN54,$F$5:$F54,$F54,$D$5:$D54,$D54)</f>
        <v>65747651.294518411</v>
      </c>
      <c r="J54" s="73">
        <f t="shared" si="0"/>
        <v>65747651.294518411</v>
      </c>
      <c r="K54" s="73">
        <f t="shared" si="1"/>
        <v>169142425.10476011</v>
      </c>
      <c r="L54" s="73">
        <f t="shared" si="2"/>
        <v>114632469.30181381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52950221.147789896</v>
      </c>
      <c r="Q54" s="73">
        <f>P54/SUMIFS(FinParameters!$H$8:$H$39,FinParameters!$B$8:$B$39,Financials!$E54,FinParameters!$C$8:$C$39,Financials!$F54)</f>
        <v>24701668.949181471</v>
      </c>
      <c r="R54" s="73">
        <f t="shared" si="15"/>
        <v>115896.07965935394</v>
      </c>
      <c r="S54" s="12">
        <f t="shared" si="4"/>
        <v>2.1935754740862964E-3</v>
      </c>
      <c r="T54" s="115">
        <f t="shared" si="5"/>
        <v>103394773.81024171</v>
      </c>
      <c r="U54" s="73">
        <f>T54/SUMIFS(FinParameters!$L$8:$L$39,FinParameters!$B$8:$B$39,Financials!$E54,FinParameters!$C$8:$C$39,Financials!$F54)</f>
        <v>84860906.044751182</v>
      </c>
      <c r="V54" s="73">
        <f t="shared" si="6"/>
        <v>84860906.044751182</v>
      </c>
      <c r="W54" s="12"/>
      <c r="X54" s="73">
        <f t="shared" si="7"/>
        <v>156344994.95803159</v>
      </c>
      <c r="Y54" s="73">
        <f t="shared" si="8"/>
        <v>109562574.99393265</v>
      </c>
      <c r="Z54" s="73">
        <f t="shared" si="8"/>
        <v>84976802.12441054</v>
      </c>
      <c r="AA54" s="12">
        <f t="shared" si="9"/>
        <v>1.6083635404603327</v>
      </c>
      <c r="AB54" s="115">
        <f t="shared" si="10"/>
        <v>-54509955.802946307</v>
      </c>
      <c r="AC54" s="73">
        <f>AB54/SUMIFS(FinParameters!$L$8:$L$39,FinParameters!$B$8:$B$39,Financials!$E54,FinParameters!$C$8:$C$39,Financials!$F54)</f>
        <v>-44738859.300441384</v>
      </c>
      <c r="AD54" s="73">
        <f t="shared" si="11"/>
        <v>-44738859.300441384</v>
      </c>
      <c r="AE54" s="12"/>
      <c r="AF54" s="73">
        <f t="shared" si="12"/>
        <v>101835039.1550853</v>
      </c>
      <c r="AG54" s="73">
        <f t="shared" si="13"/>
        <v>64823715.693491265</v>
      </c>
      <c r="AH54" s="73">
        <f t="shared" si="13"/>
        <v>40237942.823969156</v>
      </c>
      <c r="AI54" s="12">
        <f t="shared" si="14"/>
        <v>0.7615871457065424</v>
      </c>
      <c r="AL54" s="73">
        <f>Summary!G54</f>
        <v>8057175.3353429055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-8343238.3408088852</v>
      </c>
      <c r="AN54" s="20">
        <f>Summary!I54</f>
        <v>8654921.6209349912</v>
      </c>
      <c r="AP54" s="12">
        <v>1</v>
      </c>
    </row>
    <row r="55" spans="1:42" x14ac:dyDescent="0.3">
      <c r="A55">
        <v>51</v>
      </c>
      <c r="B55" t="str">
        <f>Summary!B55</f>
        <v>MarinusSnowyYallourn</v>
      </c>
      <c r="C55" t="str">
        <f>Summary!C55</f>
        <v>Wind</v>
      </c>
      <c r="D55" s="90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64517797.7913322</v>
      </c>
      <c r="H55" s="73">
        <f>SUMIFS(AM$5:AM55,$F$5:$F55,$F55,$D$5:$D55,$D55)</f>
        <v>-22058099.232638687</v>
      </c>
      <c r="I55" s="20">
        <f>SUMIFS(AN$5:AN55,$F$5:$F55,$F55,$D$5:$D55,$D55)</f>
        <v>53953695.750884213</v>
      </c>
      <c r="J55" s="73">
        <f t="shared" si="0"/>
        <v>53953695.750884213</v>
      </c>
      <c r="K55" s="73">
        <f t="shared" si="1"/>
        <v>118471493.54221642</v>
      </c>
      <c r="L55" s="73">
        <f t="shared" si="2"/>
        <v>96413394.309577733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41156265.604155697</v>
      </c>
      <c r="Q55" s="73">
        <f>P55/SUMIFS(FinParameters!$H$8:$H$39,FinParameters!$B$8:$B$39,Financials!$E55,FinParameters!$C$8:$C$39,Financials!$F55)</f>
        <v>19199701.646210622</v>
      </c>
      <c r="R55" s="73">
        <f t="shared" si="15"/>
        <v>-11678059.463974845</v>
      </c>
      <c r="S55" s="12">
        <f t="shared" si="4"/>
        <v>-0.22103167682970942</v>
      </c>
      <c r="T55" s="115">
        <f t="shared" si="5"/>
        <v>64517797.7913322</v>
      </c>
      <c r="U55" s="73">
        <f>T55/SUMIFS(FinParameters!$L$8:$L$39,FinParameters!$B$8:$B$39,Financials!$E55,FinParameters!$C$8:$C$39,Financials!$F55)</f>
        <v>52952761.293648385</v>
      </c>
      <c r="V55" s="73">
        <f t="shared" si="6"/>
        <v>52952761.293648385</v>
      </c>
      <c r="W55" s="12"/>
      <c r="X55" s="73">
        <f t="shared" si="7"/>
        <v>105674063.3954879</v>
      </c>
      <c r="Y55" s="73">
        <f t="shared" si="8"/>
        <v>72152462.939859003</v>
      </c>
      <c r="Z55" s="73">
        <f t="shared" si="8"/>
        <v>41274701.829673544</v>
      </c>
      <c r="AA55" s="12">
        <f t="shared" si="9"/>
        <v>0.78120997621242039</v>
      </c>
      <c r="AB55" s="115">
        <f t="shared" si="10"/>
        <v>-22058099.232638687</v>
      </c>
      <c r="AC55" s="73">
        <f>AB55/SUMIFS(FinParameters!$L$8:$L$39,FinParameters!$B$8:$B$39,Financials!$E55,FinParameters!$C$8:$C$39,Financials!$F55)</f>
        <v>-18104109.3038431</v>
      </c>
      <c r="AD55" s="73">
        <f t="shared" si="11"/>
        <v>-18104109.3038431</v>
      </c>
      <c r="AE55" s="12"/>
      <c r="AF55" s="73">
        <f t="shared" si="12"/>
        <v>83615964.162849218</v>
      </c>
      <c r="AG55" s="73">
        <f t="shared" si="13"/>
        <v>54048353.636015907</v>
      </c>
      <c r="AH55" s="73">
        <f t="shared" si="13"/>
        <v>23170592.525830444</v>
      </c>
      <c r="AI55" s="12">
        <f t="shared" si="14"/>
        <v>0.43855187883921426</v>
      </c>
      <c r="AL55" s="73">
        <f>Summary!G55</f>
        <v>3445083.0533897723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-3394980.4931397047</v>
      </c>
      <c r="AN55" s="20">
        <f>Summary!I55</f>
        <v>7179088.5872498965</v>
      </c>
      <c r="AP55" s="12">
        <v>1</v>
      </c>
    </row>
    <row r="56" spans="1:42" x14ac:dyDescent="0.3">
      <c r="A56">
        <v>52</v>
      </c>
      <c r="B56" t="str">
        <f>Summary!B56</f>
        <v>MarinusSnowyYallourn</v>
      </c>
      <c r="C56" t="str">
        <f>Summary!C56</f>
        <v>Wind</v>
      </c>
      <c r="D56" s="90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36577387.834470935</v>
      </c>
      <c r="H56" s="73">
        <f>SUMIFS(AM$5:AM56,$F$5:$F56,$F56,$D$5:$D56,$D56)</f>
        <v>10984.201712171256</v>
      </c>
      <c r="I56" s="20">
        <f>SUMIFS(AN$5:AN56,$F$5:$F56,$F56,$D$5:$D56,$D56)</f>
        <v>46783146.795948617</v>
      </c>
      <c r="J56" s="73">
        <f t="shared" si="0"/>
        <v>46783146.795948617</v>
      </c>
      <c r="K56" s="73">
        <f t="shared" si="1"/>
        <v>83360534.630419552</v>
      </c>
      <c r="L56" s="73">
        <f t="shared" si="2"/>
        <v>83371518.832131714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33985716.649220102</v>
      </c>
      <c r="Q56" s="73">
        <f>P56/SUMIFS(FinParameters!$H$8:$H$39,FinParameters!$B$8:$B$39,Financials!$E56,FinParameters!$C$8:$C$39,Financials!$F56)</f>
        <v>15854587.638577977</v>
      </c>
      <c r="R56" s="73">
        <f t="shared" si="15"/>
        <v>-18848608.41891044</v>
      </c>
      <c r="S56" s="12">
        <f t="shared" si="4"/>
        <v>-0.35674929876751371</v>
      </c>
      <c r="T56" s="115">
        <f t="shared" si="5"/>
        <v>36577387.834470935</v>
      </c>
      <c r="U56" s="73">
        <f>T56/SUMIFS(FinParameters!$L$8:$L$39,FinParameters!$B$8:$B$39,Financials!$E56,FinParameters!$C$8:$C$39,Financials!$F56)</f>
        <v>30020765.634442531</v>
      </c>
      <c r="V56" s="73">
        <f t="shared" si="6"/>
        <v>30020765.634442531</v>
      </c>
      <c r="W56" s="12"/>
      <c r="X56" s="73">
        <f t="shared" si="7"/>
        <v>70563104.483691037</v>
      </c>
      <c r="Y56" s="73">
        <f t="shared" si="8"/>
        <v>45875353.273020506</v>
      </c>
      <c r="Z56" s="73">
        <f t="shared" si="8"/>
        <v>11172157.215532091</v>
      </c>
      <c r="AA56" s="12">
        <f t="shared" si="9"/>
        <v>0.21145641968787243</v>
      </c>
      <c r="AB56" s="115">
        <f t="shared" si="10"/>
        <v>10984.201712171256</v>
      </c>
      <c r="AC56" s="73">
        <f>AB56/SUMIFS(FinParameters!$L$8:$L$39,FinParameters!$B$8:$B$39,Financials!$E56,FinParameters!$C$8:$C$39,Financials!$F56)</f>
        <v>9015.2458883838517</v>
      </c>
      <c r="AD56" s="73">
        <f t="shared" si="11"/>
        <v>9015.2458883838517</v>
      </c>
      <c r="AE56" s="12"/>
      <c r="AF56" s="73">
        <f t="shared" si="12"/>
        <v>70574088.685403213</v>
      </c>
      <c r="AG56" s="73">
        <f t="shared" si="13"/>
        <v>45884368.518908888</v>
      </c>
      <c r="AH56" s="73">
        <f t="shared" si="13"/>
        <v>11181172.461420475</v>
      </c>
      <c r="AI56" s="12">
        <f t="shared" si="14"/>
        <v>0.21162705205379664</v>
      </c>
      <c r="AL56" s="73">
        <f>Summary!G56</f>
        <v>450112.74974998517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-27772.999075488253</v>
      </c>
      <c r="AN56" s="20">
        <f>Summary!I56</f>
        <v>6341258.3884761389</v>
      </c>
      <c r="AP56" s="12">
        <v>1</v>
      </c>
    </row>
    <row r="57" spans="1:42" x14ac:dyDescent="0.3">
      <c r="A57">
        <v>53</v>
      </c>
      <c r="B57" t="str">
        <f>Summary!B57</f>
        <v>MarinusSnowyYallourn</v>
      </c>
      <c r="C57" t="str">
        <f>Summary!C57</f>
        <v>Wind</v>
      </c>
      <c r="D57" s="90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17496060.69380448</v>
      </c>
      <c r="H57" s="73">
        <f>SUMIFS(AM$5:AM57,$F$5:$F57,$F57,$D$5:$D57,$D57)</f>
        <v>20854232.846517816</v>
      </c>
      <c r="I57" s="20">
        <f>SUMIFS(AN$5:AN57,$F$5:$F57,$F57,$D$5:$D57,$D57)</f>
        <v>40547937.058196634</v>
      </c>
      <c r="J57" s="73">
        <f t="shared" si="0"/>
        <v>40547937.058196634</v>
      </c>
      <c r="K57" s="73">
        <f t="shared" si="1"/>
        <v>58043997.752001114</v>
      </c>
      <c r="L57" s="73">
        <f t="shared" si="2"/>
        <v>78898230.598518938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27750506.911468118</v>
      </c>
      <c r="Q57" s="73">
        <f>P57/SUMIFS(FinParameters!$H$8:$H$39,FinParameters!$B$8:$B$39,Financials!$E57,FinParameters!$C$8:$C$39,Financials!$F57)</f>
        <v>12945816.278761083</v>
      </c>
      <c r="R57" s="73">
        <f t="shared" si="15"/>
        <v>-25083818.156662423</v>
      </c>
      <c r="S57" s="12">
        <f t="shared" si="4"/>
        <v>-0.47476367161530914</v>
      </c>
      <c r="T57" s="115">
        <f t="shared" si="5"/>
        <v>17496060.69380448</v>
      </c>
      <c r="U57" s="73">
        <f>T57/SUMIFS(FinParameters!$L$8:$L$39,FinParameters!$B$8:$B$39,Financials!$E57,FinParameters!$C$8:$C$39,Financials!$F57)</f>
        <v>14359831.817177756</v>
      </c>
      <c r="V57" s="73">
        <f t="shared" si="6"/>
        <v>14359831.817177756</v>
      </c>
      <c r="W57" s="12"/>
      <c r="X57" s="73">
        <f t="shared" si="7"/>
        <v>45246567.605272599</v>
      </c>
      <c r="Y57" s="73">
        <f t="shared" si="8"/>
        <v>27305648.095938839</v>
      </c>
      <c r="Z57" s="73">
        <f t="shared" si="8"/>
        <v>-10723986.339484667</v>
      </c>
      <c r="AA57" s="12">
        <f t="shared" si="9"/>
        <v>-0.20297384939915386</v>
      </c>
      <c r="AB57" s="115">
        <f t="shared" si="10"/>
        <v>20854232.846517816</v>
      </c>
      <c r="AC57" s="73">
        <f>AB57/SUMIFS(FinParameters!$L$8:$L$39,FinParameters!$B$8:$B$39,Financials!$E57,FinParameters!$C$8:$C$39,Financials!$F57)</f>
        <v>17116040.095717244</v>
      </c>
      <c r="AD57" s="73">
        <f t="shared" si="11"/>
        <v>17116040.095717244</v>
      </c>
      <c r="AE57" s="12"/>
      <c r="AF57" s="73">
        <f t="shared" si="12"/>
        <v>66100800.451790415</v>
      </c>
      <c r="AG57" s="73">
        <f t="shared" si="13"/>
        <v>44421688.191656083</v>
      </c>
      <c r="AH57" s="73">
        <f t="shared" si="13"/>
        <v>6392053.7562325764</v>
      </c>
      <c r="AI57" s="12">
        <f t="shared" si="14"/>
        <v>0.12098297362538353</v>
      </c>
      <c r="AL57" s="73">
        <f>Summary!G57</f>
        <v>-2179699.6429688591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3276866.7078235806</v>
      </c>
      <c r="AN57" s="20">
        <f>Summary!I57</f>
        <v>5510037.0363926981</v>
      </c>
      <c r="AP57" s="12">
        <v>1</v>
      </c>
    </row>
    <row r="58" spans="1:42" x14ac:dyDescent="0.3">
      <c r="A58">
        <v>54</v>
      </c>
      <c r="B58" t="str">
        <f>Summary!B58</f>
        <v>MarinusSnowyYallourn</v>
      </c>
      <c r="C58" t="str">
        <f>Summary!C58</f>
        <v>Wind</v>
      </c>
      <c r="D58" s="90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-4094434.9763134932</v>
      </c>
      <c r="H58" s="73">
        <f>SUMIFS(AM$5:AM58,$F$5:$F58,$F58,$D$5:$D58,$D58)</f>
        <v>48705345.02886501</v>
      </c>
      <c r="I58" s="20">
        <f>SUMIFS(AN$5:AN58,$F$5:$F58,$F58,$D$5:$D58,$D58)</f>
        <v>32423301.492923185</v>
      </c>
      <c r="J58" s="73">
        <f t="shared" si="0"/>
        <v>32423301.492923185</v>
      </c>
      <c r="K58" s="73">
        <f t="shared" si="1"/>
        <v>28328866.516609691</v>
      </c>
      <c r="L58" s="73">
        <f t="shared" si="2"/>
        <v>77034211.545474708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19625871.34619467</v>
      </c>
      <c r="Q58" s="73">
        <f>P58/SUMIFS(FinParameters!$H$8:$H$39,FinParameters!$B$8:$B$39,Financials!$E58,FinParameters!$C$8:$C$39,Financials!$F58)</f>
        <v>9155613.8260465432</v>
      </c>
      <c r="R58" s="73">
        <f t="shared" si="15"/>
        <v>-33208453.721935872</v>
      </c>
      <c r="S58" s="12">
        <f t="shared" si="4"/>
        <v>-0.62853937623151512</v>
      </c>
      <c r="T58" s="115">
        <f t="shared" si="5"/>
        <v>-4094434.9763134932</v>
      </c>
      <c r="U58" s="73">
        <f>T58/SUMIFS(FinParameters!$L$8:$L$39,FinParameters!$B$8:$B$39,Financials!$E58,FinParameters!$C$8:$C$39,Financials!$F58)</f>
        <v>-3360493.4662264832</v>
      </c>
      <c r="V58" s="73">
        <f t="shared" si="6"/>
        <v>-3360493.4662264832</v>
      </c>
      <c r="W58" s="12"/>
      <c r="X58" s="73">
        <f t="shared" si="7"/>
        <v>15531436.369881175</v>
      </c>
      <c r="Y58" s="73">
        <f t="shared" si="8"/>
        <v>5795120.3598200604</v>
      </c>
      <c r="Z58" s="73">
        <f t="shared" si="8"/>
        <v>-36568947.188162357</v>
      </c>
      <c r="AA58" s="12">
        <f t="shared" si="9"/>
        <v>-0.69214373687950459</v>
      </c>
      <c r="AB58" s="115">
        <f t="shared" si="10"/>
        <v>48705345.02886501</v>
      </c>
      <c r="AC58" s="73">
        <f>AB58/SUMIFS(FinParameters!$L$8:$L$39,FinParameters!$B$8:$B$39,Financials!$E58,FinParameters!$C$8:$C$39,Financials!$F58)</f>
        <v>39974744.912709437</v>
      </c>
      <c r="AD58" s="73">
        <f t="shared" si="11"/>
        <v>39974744.912709437</v>
      </c>
      <c r="AE58" s="12"/>
      <c r="AF58" s="73">
        <f t="shared" si="12"/>
        <v>64236781.398746185</v>
      </c>
      <c r="AG58" s="73">
        <f t="shared" si="13"/>
        <v>45769865.272529498</v>
      </c>
      <c r="AH58" s="73">
        <f t="shared" si="13"/>
        <v>3405797.7245470807</v>
      </c>
      <c r="AI58" s="12">
        <f t="shared" si="14"/>
        <v>6.4461838400609095E-2</v>
      </c>
      <c r="AL58" s="73">
        <f>Summary!G58</f>
        <v>-5132296.1457995558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7592376.3458224116</v>
      </c>
      <c r="AN58" s="20">
        <f>Summary!I58</f>
        <v>4418998.6927409489</v>
      </c>
      <c r="AP58" s="12">
        <v>1</v>
      </c>
    </row>
    <row r="59" spans="1:42" x14ac:dyDescent="0.3">
      <c r="A59">
        <v>55</v>
      </c>
      <c r="B59" t="str">
        <f>Summary!B59</f>
        <v>MarinusSnowyYallourn</v>
      </c>
      <c r="C59" t="str">
        <f>Summary!C59</f>
        <v>Wind</v>
      </c>
      <c r="D59" s="90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-34903864.449345231</v>
      </c>
      <c r="H59" s="73">
        <f>SUMIFS(AM$5:AM59,$F$5:$F59,$F59,$D$5:$D59,$D59)</f>
        <v>105472629.0895077</v>
      </c>
      <c r="I59" s="20">
        <f>SUMIFS(AN$5:AN59,$F$5:$F59,$F59,$D$5:$D59,$D59)</f>
        <v>19452167.538328953</v>
      </c>
      <c r="J59" s="73">
        <f t="shared" si="0"/>
        <v>19452167.538328953</v>
      </c>
      <c r="K59" s="73">
        <f t="shared" si="1"/>
        <v>-15451696.911016278</v>
      </c>
      <c r="L59" s="73">
        <f t="shared" si="2"/>
        <v>90020932.178491414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6654737.3916004375</v>
      </c>
      <c r="Q59" s="73">
        <f>P59/SUMIFS(FinParameters!$H$8:$H$39,FinParameters!$B$8:$B$39,Financials!$E59,FinParameters!$C$8:$C$39,Financials!$F59)</f>
        <v>3104484.1065392727</v>
      </c>
      <c r="R59" s="73">
        <f t="shared" si="15"/>
        <v>-46179587.676530108</v>
      </c>
      <c r="S59" s="12">
        <f t="shared" si="4"/>
        <v>-0.87404518969402822</v>
      </c>
      <c r="T59" s="115">
        <f t="shared" si="5"/>
        <v>-34903864.449345231</v>
      </c>
      <c r="U59" s="73">
        <f>T59/SUMIFS(FinParameters!$L$8:$L$39,FinParameters!$B$8:$B$39,Financials!$E59,FinParameters!$C$8:$C$39,Financials!$F59)</f>
        <v>-28647227.054925092</v>
      </c>
      <c r="V59" s="73">
        <f t="shared" si="6"/>
        <v>-28647227.054925092</v>
      </c>
      <c r="W59" s="12"/>
      <c r="X59" s="73">
        <f t="shared" si="7"/>
        <v>-28249127.057744794</v>
      </c>
      <c r="Y59" s="73">
        <f t="shared" si="8"/>
        <v>-25542742.94838582</v>
      </c>
      <c r="Z59" s="73">
        <f t="shared" si="8"/>
        <v>-74826814.731455207</v>
      </c>
      <c r="AA59" s="12">
        <f t="shared" si="9"/>
        <v>-1.416253820503339</v>
      </c>
      <c r="AB59" s="115">
        <f t="shared" si="10"/>
        <v>105472629.0895077</v>
      </c>
      <c r="AC59" s="73">
        <f>AB59/SUMIFS(FinParameters!$L$8:$L$39,FinParameters!$B$8:$B$39,Financials!$E59,FinParameters!$C$8:$C$39,Financials!$F59)</f>
        <v>86566298.639854625</v>
      </c>
      <c r="AD59" s="73">
        <f t="shared" si="11"/>
        <v>86566298.639854625</v>
      </c>
      <c r="AE59" s="12"/>
      <c r="AF59" s="73">
        <f t="shared" si="12"/>
        <v>77223502.031762898</v>
      </c>
      <c r="AG59" s="73">
        <f t="shared" si="13"/>
        <v>61023555.691468805</v>
      </c>
      <c r="AH59" s="73">
        <f t="shared" si="13"/>
        <v>11739483.908399418</v>
      </c>
      <c r="AI59" s="12">
        <f t="shared" si="14"/>
        <v>0.22219426278770862</v>
      </c>
      <c r="AL59" s="73">
        <f>Summary!G59</f>
        <v>-8178576.4177831905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14221035.56204363</v>
      </c>
      <c r="AN59" s="20">
        <f>Summary!I59</f>
        <v>2851094.2665637932</v>
      </c>
      <c r="AP59" s="12">
        <v>1</v>
      </c>
    </row>
    <row r="60" spans="1:42" x14ac:dyDescent="0.3">
      <c r="A60">
        <v>56</v>
      </c>
      <c r="B60" t="str">
        <f>Summary!B60</f>
        <v>MarinusSnowyYallourn</v>
      </c>
      <c r="C60" t="str">
        <f>Summary!C60</f>
        <v>Wind</v>
      </c>
      <c r="D60" s="90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42275516.516101323</v>
      </c>
      <c r="H60" s="73">
        <f>SUMIFS(AM$5:AM60,$F$5:$F60,$F60,$D$5:$D60,$D60)</f>
        <v>-1125615.5076844362</v>
      </c>
      <c r="I60" s="20">
        <f>SUMIFS(AN$5:AN60,$F$5:$F60,$F60,$D$5:$D60,$D60)</f>
        <v>47649225.291511111</v>
      </c>
      <c r="J60" s="73">
        <f t="shared" si="0"/>
        <v>47649225.291511111</v>
      </c>
      <c r="K60" s="73">
        <f t="shared" si="1"/>
        <v>89924741.807612434</v>
      </c>
      <c r="L60" s="73">
        <f t="shared" si="2"/>
        <v>88799126.299927995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34851795.144782595</v>
      </c>
      <c r="Q60" s="73">
        <f>P60/SUMIFS(FinParameters!$H$8:$H$39,FinParameters!$B$8:$B$39,Financials!$E60,FinParameters!$C$8:$C$39,Financials!$F60)</f>
        <v>16258619.648598824</v>
      </c>
      <c r="R60" s="73">
        <f t="shared" si="15"/>
        <v>-17982529.923347946</v>
      </c>
      <c r="S60" s="12">
        <f t="shared" si="4"/>
        <v>-0.34035695355546314</v>
      </c>
      <c r="T60" s="115">
        <f t="shared" si="5"/>
        <v>42275516.516101323</v>
      </c>
      <c r="U60" s="73">
        <f>T60/SUMIFS(FinParameters!$L$8:$L$39,FinParameters!$B$8:$B$39,Financials!$E60,FinParameters!$C$8:$C$39,Financials!$F60)</f>
        <v>34697485.209942393</v>
      </c>
      <c r="V60" s="73">
        <f t="shared" si="6"/>
        <v>34697485.209942393</v>
      </c>
      <c r="W60" s="12"/>
      <c r="X60" s="73">
        <f t="shared" si="7"/>
        <v>77127311.660883918</v>
      </c>
      <c r="Y60" s="73">
        <f t="shared" si="8"/>
        <v>50956104.85854122</v>
      </c>
      <c r="Z60" s="73">
        <f t="shared" si="8"/>
        <v>16714955.286594447</v>
      </c>
      <c r="AA60" s="12">
        <f t="shared" si="9"/>
        <v>0.31636545493938456</v>
      </c>
      <c r="AB60" s="115">
        <f t="shared" si="10"/>
        <v>-1125615.5076844362</v>
      </c>
      <c r="AC60" s="73">
        <f>AB60/SUMIFS(FinParameters!$L$8:$L$39,FinParameters!$B$8:$B$39,Financials!$E60,FinParameters!$C$8:$C$39,Financials!$F60)</f>
        <v>-923845.06798603863</v>
      </c>
      <c r="AD60" s="73">
        <f t="shared" si="11"/>
        <v>-923845.06798603863</v>
      </c>
      <c r="AE60" s="12"/>
      <c r="AF60" s="73">
        <f t="shared" si="12"/>
        <v>76001696.153199479</v>
      </c>
      <c r="AG60" s="73">
        <f t="shared" si="13"/>
        <v>50032259.790555179</v>
      </c>
      <c r="AH60" s="73">
        <f t="shared" si="13"/>
        <v>15791110.218608407</v>
      </c>
      <c r="AI60" s="12">
        <f t="shared" si="14"/>
        <v>0.29887975664013061</v>
      </c>
      <c r="AL60" s="73">
        <f>Summary!G60</f>
        <v>784223.32587714051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-147208.43296201312</v>
      </c>
      <c r="AN60" s="20">
        <f>Summary!I60</f>
        <v>6396477.2504070178</v>
      </c>
      <c r="AP60" s="12">
        <v>1</v>
      </c>
    </row>
    <row r="61" spans="1:42" x14ac:dyDescent="0.3">
      <c r="A61">
        <v>57</v>
      </c>
      <c r="B61" t="str">
        <f>Summary!B61</f>
        <v>MarinusSnowyYallourn</v>
      </c>
      <c r="C61" t="str">
        <f>Summary!C61</f>
        <v>Wind</v>
      </c>
      <c r="D61" s="90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183489589.8030073</v>
      </c>
      <c r="H61" s="73">
        <f>SUMIFS(AM$5:AM61,$F$5:$F61,$F61,$D$5:$D61,$D61)</f>
        <v>-153910296.88277522</v>
      </c>
      <c r="I61" s="20">
        <f>SUMIFS(AN$5:AN61,$F$5:$F61,$F61,$D$5:$D61,$D61)</f>
        <v>103786719.15084872</v>
      </c>
      <c r="J61" s="73">
        <f t="shared" si="0"/>
        <v>103786719.15084872</v>
      </c>
      <c r="K61" s="73">
        <f t="shared" si="1"/>
        <v>287276308.95385599</v>
      </c>
      <c r="L61" s="73">
        <f t="shared" si="2"/>
        <v>133366012.0710808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89200603.250451982</v>
      </c>
      <c r="Q61" s="73">
        <f>P61/SUMIFS(FinParameters!$H$8:$H$39,FinParameters!$B$8:$B$39,Financials!$E61,FinParameters!$C$8:$C$39,Financials!$F61)</f>
        <v>37829763.395905592</v>
      </c>
      <c r="R61" s="73">
        <f t="shared" si="15"/>
        <v>33143323.135877684</v>
      </c>
      <c r="S61" s="12">
        <f t="shared" si="4"/>
        <v>0.59124030042372266</v>
      </c>
      <c r="T61" s="115">
        <f t="shared" si="5"/>
        <v>183489589.8030073</v>
      </c>
      <c r="U61" s="73">
        <f>T61/SUMIFS(FinParameters!$L$8:$L$39,FinParameters!$B$8:$B$39,Financials!$E61,FinParameters!$C$8:$C$39,Financials!$F61)</f>
        <v>146925318.64460406</v>
      </c>
      <c r="V61" s="73">
        <f t="shared" si="6"/>
        <v>146925318.64460406</v>
      </c>
      <c r="W61" s="12"/>
      <c r="X61" s="73">
        <f t="shared" si="7"/>
        <v>272690193.05345929</v>
      </c>
      <c r="Y61" s="73">
        <f t="shared" si="8"/>
        <v>184755082.04050964</v>
      </c>
      <c r="Z61" s="73">
        <f t="shared" si="8"/>
        <v>180068641.78048176</v>
      </c>
      <c r="AA61" s="12">
        <f t="shared" si="9"/>
        <v>3.2122258056838153</v>
      </c>
      <c r="AB61" s="115">
        <f t="shared" si="10"/>
        <v>-153910296.88277522</v>
      </c>
      <c r="AC61" s="73">
        <f>AB61/SUMIFS(FinParameters!$L$8:$L$39,FinParameters!$B$8:$B$39,Financials!$E61,FinParameters!$C$8:$C$39,Financials!$F61)</f>
        <v>-123240339.88230509</v>
      </c>
      <c r="AD61" s="73">
        <f t="shared" si="11"/>
        <v>-123240339.88230509</v>
      </c>
      <c r="AE61" s="12"/>
      <c r="AF61" s="73">
        <f t="shared" si="12"/>
        <v>118779896.17068407</v>
      </c>
      <c r="AG61" s="73">
        <f t="shared" si="13"/>
        <v>61514742.158204556</v>
      </c>
      <c r="AH61" s="73">
        <f t="shared" si="13"/>
        <v>56828301.89817667</v>
      </c>
      <c r="AI61" s="12">
        <f t="shared" si="14"/>
        <v>1.0137541775488661</v>
      </c>
      <c r="AL61" s="73">
        <f>Summary!G61</f>
        <v>19481992.949251581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-23813077.388492238</v>
      </c>
      <c r="AN61" s="20">
        <f>Summary!I61</f>
        <v>14727226.298298104</v>
      </c>
      <c r="AP61" s="12">
        <v>1</v>
      </c>
    </row>
    <row r="62" spans="1:42" x14ac:dyDescent="0.3">
      <c r="A62">
        <v>58</v>
      </c>
      <c r="B62" t="str">
        <f>Summary!B62</f>
        <v>MarinusSnowyYallourn</v>
      </c>
      <c r="C62" t="str">
        <f>Summary!C62</f>
        <v>Wind</v>
      </c>
      <c r="D62" s="90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112818579.25574782</v>
      </c>
      <c r="H62" s="73">
        <f>SUMIFS(AM$5:AM62,$F$5:$F62,$F62,$D$5:$D62,$D62)</f>
        <v>-64035815.223359428</v>
      </c>
      <c r="I62" s="20">
        <f>SUMIFS(AN$5:AN62,$F$5:$F62,$F62,$D$5:$D62,$D62)</f>
        <v>75002149.773590028</v>
      </c>
      <c r="J62" s="73">
        <f t="shared" si="0"/>
        <v>75002149.773590028</v>
      </c>
      <c r="K62" s="73">
        <f t="shared" si="1"/>
        <v>187820729.02933785</v>
      </c>
      <c r="L62" s="73">
        <f t="shared" si="2"/>
        <v>123784913.80597842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60416033.873193301</v>
      </c>
      <c r="Q62" s="73">
        <f>P62/SUMIFS(FinParameters!$H$8:$H$39,FinParameters!$B$8:$B$39,Financials!$E62,FinParameters!$C$8:$C$39,Financials!$F62)</f>
        <v>25622296.077132635</v>
      </c>
      <c r="R62" s="73">
        <f t="shared" si="15"/>
        <v>4358753.758619003</v>
      </c>
      <c r="S62" s="12">
        <f t="shared" si="4"/>
        <v>7.7755355766641512E-2</v>
      </c>
      <c r="T62" s="115">
        <f t="shared" si="5"/>
        <v>112818579.25574782</v>
      </c>
      <c r="U62" s="73">
        <f>T62/SUMIFS(FinParameters!$L$8:$L$39,FinParameters!$B$8:$B$39,Financials!$E62,FinParameters!$C$8:$C$39,Financials!$F62)</f>
        <v>90337036.144546419</v>
      </c>
      <c r="V62" s="73">
        <f t="shared" si="6"/>
        <v>90337036.144546419</v>
      </c>
      <c r="W62" s="12"/>
      <c r="X62" s="73">
        <f t="shared" si="7"/>
        <v>173234613.12894112</v>
      </c>
      <c r="Y62" s="73">
        <f t="shared" si="8"/>
        <v>115959332.22167906</v>
      </c>
      <c r="Z62" s="73">
        <f t="shared" si="8"/>
        <v>94695789.90316543</v>
      </c>
      <c r="AA62" s="12">
        <f t="shared" si="9"/>
        <v>1.6892683646016842</v>
      </c>
      <c r="AB62" s="115">
        <f t="shared" si="10"/>
        <v>-64035815.223359428</v>
      </c>
      <c r="AC62" s="73">
        <f>AB62/SUMIFS(FinParameters!$L$8:$L$39,FinParameters!$B$8:$B$39,Financials!$E62,FinParameters!$C$8:$C$39,Financials!$F62)</f>
        <v>-51275293.418334685</v>
      </c>
      <c r="AD62" s="73">
        <f t="shared" si="11"/>
        <v>-51275293.418334685</v>
      </c>
      <c r="AE62" s="12"/>
      <c r="AF62" s="73">
        <f t="shared" si="12"/>
        <v>109198797.90558168</v>
      </c>
      <c r="AG62" s="73">
        <f t="shared" si="13"/>
        <v>64684038.803344376</v>
      </c>
      <c r="AH62" s="73">
        <f t="shared" si="13"/>
        <v>43420496.484830745</v>
      </c>
      <c r="AI62" s="12">
        <f t="shared" si="14"/>
        <v>0.77457372880176323</v>
      </c>
      <c r="AL62" s="73">
        <f>Summary!G62</f>
        <v>9423805.4455061052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-9525859.4204131216</v>
      </c>
      <c r="AN62" s="20">
        <f>Summary!I62</f>
        <v>9254498.4790716097</v>
      </c>
      <c r="AP62" s="12">
        <v>1</v>
      </c>
    </row>
    <row r="63" spans="1:42" x14ac:dyDescent="0.3">
      <c r="A63">
        <v>59</v>
      </c>
      <c r="B63" t="str">
        <f>Summary!B63</f>
        <v>MarinusSnowyYallourn</v>
      </c>
      <c r="C63" t="str">
        <f>Summary!C63</f>
        <v>Wind</v>
      </c>
      <c r="D63" s="90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68611608.093127087</v>
      </c>
      <c r="H63" s="73">
        <f>SUMIFS(AM$5:AM63,$F$5:$F63,$F63,$D$5:$D63,$D63)</f>
        <v>-26031779.990611631</v>
      </c>
      <c r="I63" s="20">
        <f>SUMIFS(AN$5:AN63,$F$5:$F63,$F63,$D$5:$D63,$D63)</f>
        <v>61462986.488100886</v>
      </c>
      <c r="J63" s="73">
        <f t="shared" si="0"/>
        <v>61462986.488100886</v>
      </c>
      <c r="K63" s="73">
        <f t="shared" si="1"/>
        <v>130074594.58122797</v>
      </c>
      <c r="L63" s="73">
        <f t="shared" si="2"/>
        <v>104042814.59061635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46876870.587704159</v>
      </c>
      <c r="Q63" s="73">
        <f>P63/SUMIFS(FinParameters!$H$8:$H$39,FinParameters!$B$8:$B$39,Financials!$E63,FinParameters!$C$8:$C$39,Financials!$F63)</f>
        <v>19880369.173000507</v>
      </c>
      <c r="R63" s="73">
        <f t="shared" si="15"/>
        <v>-9180409.5268701389</v>
      </c>
      <c r="S63" s="12">
        <f t="shared" si="4"/>
        <v>-0.16376837242382242</v>
      </c>
      <c r="T63" s="115">
        <f t="shared" si="5"/>
        <v>68611608.093127087</v>
      </c>
      <c r="U63" s="73">
        <f>T63/SUMIFS(FinParameters!$L$8:$L$39,FinParameters!$B$8:$B$39,Financials!$E63,FinParameters!$C$8:$C$39,Financials!$F63)</f>
        <v>54939260.546737425</v>
      </c>
      <c r="V63" s="73">
        <f t="shared" si="6"/>
        <v>54939260.546737425</v>
      </c>
      <c r="W63" s="12"/>
      <c r="X63" s="73">
        <f t="shared" si="7"/>
        <v>115488478.68083124</v>
      </c>
      <c r="Y63" s="73">
        <f t="shared" si="8"/>
        <v>74819629.719737932</v>
      </c>
      <c r="Z63" s="73">
        <f t="shared" si="8"/>
        <v>45758851.019867286</v>
      </c>
      <c r="AA63" s="12">
        <f t="shared" si="9"/>
        <v>0.81628739258026306</v>
      </c>
      <c r="AB63" s="115">
        <f t="shared" si="10"/>
        <v>-26031779.990611631</v>
      </c>
      <c r="AC63" s="73">
        <f>AB63/SUMIFS(FinParameters!$L$8:$L$39,FinParameters!$B$8:$B$39,Financials!$E63,FinParameters!$C$8:$C$39,Financials!$F63)</f>
        <v>-20844384.545810111</v>
      </c>
      <c r="AD63" s="73">
        <f t="shared" si="11"/>
        <v>-20844384.545810111</v>
      </c>
      <c r="AE63" s="12"/>
      <c r="AF63" s="73">
        <f t="shared" si="12"/>
        <v>89456698.690219611</v>
      </c>
      <c r="AG63" s="73">
        <f t="shared" si="13"/>
        <v>53975245.173927821</v>
      </c>
      <c r="AH63" s="73">
        <f t="shared" si="13"/>
        <v>24914466.474057175</v>
      </c>
      <c r="AI63" s="12">
        <f t="shared" si="14"/>
        <v>0.44444658076765442</v>
      </c>
      <c r="AL63" s="73">
        <f>Summary!G63</f>
        <v>4093810.301794888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-3973680.7579729455</v>
      </c>
      <c r="AN63" s="20">
        <f>Summary!I63</f>
        <v>7509290.7372166738</v>
      </c>
      <c r="AP63" s="12">
        <v>1</v>
      </c>
    </row>
    <row r="64" spans="1:42" x14ac:dyDescent="0.3">
      <c r="A64">
        <v>60</v>
      </c>
      <c r="B64" t="str">
        <f>Summary!B64</f>
        <v>MarinusSnowyYallourn</v>
      </c>
      <c r="C64" t="str">
        <f>Summary!C64</f>
        <v>Wind</v>
      </c>
      <c r="D64" s="90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37710634.587629817</v>
      </c>
      <c r="H64" s="73">
        <f>SUMIFS(AM$5:AM64,$F$5:$F64,$F64,$D$5:$D64,$D64)</f>
        <v>-59850.613200515072</v>
      </c>
      <c r="I64" s="20">
        <f>SUMIFS(AN$5:AN64,$F$5:$F64,$F64,$D$5:$D64,$D64)</f>
        <v>53352258.234885007</v>
      </c>
      <c r="J64" s="73">
        <f t="shared" si="0"/>
        <v>53352258.234885007</v>
      </c>
      <c r="K64" s="73">
        <f t="shared" si="1"/>
        <v>91062892.822514832</v>
      </c>
      <c r="L64" s="73">
        <f t="shared" si="2"/>
        <v>91003042.209314317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38766142.33448828</v>
      </c>
      <c r="Q64" s="73">
        <f>P64/SUMIFS(FinParameters!$H$8:$H$39,FinParameters!$B$8:$B$39,Financials!$E64,FinParameters!$C$8:$C$39,Financials!$F64)</f>
        <v>16440628.63754523</v>
      </c>
      <c r="R64" s="73">
        <f t="shared" si="15"/>
        <v>-17291137.780086018</v>
      </c>
      <c r="S64" s="12">
        <f t="shared" si="4"/>
        <v>-0.30845481166308863</v>
      </c>
      <c r="T64" s="115">
        <f t="shared" si="5"/>
        <v>37710634.587629817</v>
      </c>
      <c r="U64" s="73">
        <f>T64/SUMIFS(FinParameters!$L$8:$L$39,FinParameters!$B$8:$B$39,Financials!$E64,FinParameters!$C$8:$C$39,Financials!$F64)</f>
        <v>30195974.654617324</v>
      </c>
      <c r="V64" s="73">
        <f t="shared" si="6"/>
        <v>30195974.654617324</v>
      </c>
      <c r="W64" s="12"/>
      <c r="X64" s="73">
        <f t="shared" si="7"/>
        <v>76476776.922118098</v>
      </c>
      <c r="Y64" s="73">
        <f t="shared" si="8"/>
        <v>46636603.292162552</v>
      </c>
      <c r="Z64" s="73">
        <f t="shared" si="8"/>
        <v>12904836.874531306</v>
      </c>
      <c r="AA64" s="12">
        <f t="shared" si="9"/>
        <v>0.23020804520225349</v>
      </c>
      <c r="AB64" s="115">
        <f t="shared" si="10"/>
        <v>-59850.613200515072</v>
      </c>
      <c r="AC64" s="73">
        <f>AB64/SUMIFS(FinParameters!$L$8:$L$39,FinParameters!$B$8:$B$39,Financials!$E64,FinParameters!$C$8:$C$39,Financials!$F64)</f>
        <v>-47924.083458910762</v>
      </c>
      <c r="AD64" s="73">
        <f t="shared" si="11"/>
        <v>-47924.083458910762</v>
      </c>
      <c r="AE64" s="12"/>
      <c r="AF64" s="73">
        <f t="shared" si="12"/>
        <v>76416926.308917582</v>
      </c>
      <c r="AG64" s="73">
        <f t="shared" si="13"/>
        <v>46588679.208703645</v>
      </c>
      <c r="AH64" s="73">
        <f t="shared" si="13"/>
        <v>12856912.791072395</v>
      </c>
      <c r="AI64" s="12">
        <f t="shared" si="14"/>
        <v>0.2293531324529913</v>
      </c>
      <c r="AL64" s="73">
        <f>Summary!G64</f>
        <v>1133246.753158882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-70834.814912686328</v>
      </c>
      <c r="AN64" s="20">
        <f>Summary!I64</f>
        <v>6569111.4389363881</v>
      </c>
      <c r="AP64" s="12">
        <v>1</v>
      </c>
    </row>
    <row r="65" spans="1:42" x14ac:dyDescent="0.3">
      <c r="A65">
        <v>61</v>
      </c>
      <c r="B65" t="str">
        <f>Summary!B65</f>
        <v>MarinusSnowyYallourn</v>
      </c>
      <c r="C65" t="str">
        <f>Summary!C65</f>
        <v>Wind</v>
      </c>
      <c r="D65" s="90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15910622.34332297</v>
      </c>
      <c r="H65" s="73">
        <f>SUMIFS(AM$5:AM65,$F$5:$F65,$F65,$D$5:$D65,$D65)</f>
        <v>24390097.109671149</v>
      </c>
      <c r="I65" s="20">
        <f>SUMIFS(AN$5:AN65,$F$5:$F65,$F65,$D$5:$D65,$D65)</f>
        <v>46199419.210098669</v>
      </c>
      <c r="J65" s="73">
        <f t="shared" si="0"/>
        <v>46199419.210098669</v>
      </c>
      <c r="K65" s="73">
        <f t="shared" si="1"/>
        <v>62110041.553421639</v>
      </c>
      <c r="L65" s="73">
        <f t="shared" si="2"/>
        <v>86500138.663092792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31613303.309701942</v>
      </c>
      <c r="Q65" s="73">
        <f>P65/SUMIFS(FinParameters!$H$8:$H$39,FinParameters!$B$8:$B$39,Financials!$E65,FinParameters!$C$8:$C$39,Financials!$F65)</f>
        <v>13407126.642531577</v>
      </c>
      <c r="R65" s="73">
        <f t="shared" si="15"/>
        <v>-24443976.804872356</v>
      </c>
      <c r="S65" s="12">
        <f t="shared" si="4"/>
        <v>-0.43605356440611864</v>
      </c>
      <c r="T65" s="115">
        <f t="shared" si="5"/>
        <v>15910622.34332297</v>
      </c>
      <c r="U65" s="73">
        <f>T65/SUMIFS(FinParameters!$L$8:$L$39,FinParameters!$B$8:$B$39,Financials!$E65,FinParameters!$C$8:$C$39,Financials!$F65)</f>
        <v>12740086.563692188</v>
      </c>
      <c r="V65" s="73">
        <f t="shared" si="6"/>
        <v>12740086.563692188</v>
      </c>
      <c r="W65" s="12"/>
      <c r="X65" s="73">
        <f t="shared" si="7"/>
        <v>47523925.653024912</v>
      </c>
      <c r="Y65" s="73">
        <f t="shared" si="8"/>
        <v>26147213.206223764</v>
      </c>
      <c r="Z65" s="73">
        <f t="shared" si="8"/>
        <v>-11703890.241180168</v>
      </c>
      <c r="AA65" s="12">
        <f t="shared" si="9"/>
        <v>-0.2087844828942616</v>
      </c>
      <c r="AB65" s="115">
        <f t="shared" si="10"/>
        <v>24390097.109671149</v>
      </c>
      <c r="AC65" s="73">
        <f>AB65/SUMIFS(FinParameters!$L$8:$L$39,FinParameters!$B$8:$B$39,Financials!$E65,FinParameters!$C$8:$C$39,Financials!$F65)</f>
        <v>19529842.50201064</v>
      </c>
      <c r="AD65" s="73">
        <f t="shared" si="11"/>
        <v>19529842.50201064</v>
      </c>
      <c r="AE65" s="12"/>
      <c r="AF65" s="73">
        <f t="shared" si="12"/>
        <v>71914022.762696058</v>
      </c>
      <c r="AG65" s="73">
        <f t="shared" si="13"/>
        <v>45677055.7082344</v>
      </c>
      <c r="AH65" s="73">
        <f t="shared" si="13"/>
        <v>7825952.2608304713</v>
      </c>
      <c r="AI65" s="12">
        <f t="shared" si="14"/>
        <v>0.13960634987703954</v>
      </c>
      <c r="AL65" s="73">
        <f>Summary!G65</f>
        <v>-1585438.3504815095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3535864.2631533323</v>
      </c>
      <c r="AN65" s="20">
        <f>Summary!I65</f>
        <v>5651482.1519020386</v>
      </c>
      <c r="AP65" s="12">
        <v>1</v>
      </c>
    </row>
    <row r="66" spans="1:42" x14ac:dyDescent="0.3">
      <c r="A66">
        <v>62</v>
      </c>
      <c r="B66" t="str">
        <f>Summary!B66</f>
        <v>MarinusSnowyYallourn</v>
      </c>
      <c r="C66" t="str">
        <f>Summary!C66</f>
        <v>Wind</v>
      </c>
      <c r="D66" s="90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-8600121.4584097117</v>
      </c>
      <c r="H66" s="73">
        <f>SUMIFS(AM$5:AM66,$F$5:$F66,$F66,$D$5:$D66,$D66)</f>
        <v>57298879.213863678</v>
      </c>
      <c r="I66" s="20">
        <f>SUMIFS(AN$5:AN66,$F$5:$F66,$F66,$D$5:$D66,$D66)</f>
        <v>37009430.38030488</v>
      </c>
      <c r="J66" s="73">
        <f t="shared" si="0"/>
        <v>37009430.38030488</v>
      </c>
      <c r="K66" s="73">
        <f t="shared" si="1"/>
        <v>28409308.921895169</v>
      </c>
      <c r="L66" s="73">
        <f t="shared" si="2"/>
        <v>85708188.135758847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22423314.479908153</v>
      </c>
      <c r="Q66" s="73">
        <f>P66/SUMIFS(FinParameters!$H$8:$H$39,FinParameters!$B$8:$B$39,Financials!$E66,FinParameters!$C$8:$C$39,Financials!$F66)</f>
        <v>9509674.2669462953</v>
      </c>
      <c r="R66" s="73">
        <f t="shared" si="15"/>
        <v>-33633965.634666145</v>
      </c>
      <c r="S66" s="12">
        <f t="shared" si="4"/>
        <v>-0.5999928210202562</v>
      </c>
      <c r="T66" s="115">
        <f t="shared" si="5"/>
        <v>-8600121.4584097117</v>
      </c>
      <c r="U66" s="73">
        <f>T66/SUMIFS(FinParameters!$L$8:$L$39,FinParameters!$B$8:$B$39,Financials!$E66,FinParameters!$C$8:$C$39,Financials!$F66)</f>
        <v>-6886361.1664057169</v>
      </c>
      <c r="V66" s="73">
        <f t="shared" si="6"/>
        <v>-6886361.1664057169</v>
      </c>
      <c r="W66" s="12"/>
      <c r="X66" s="73">
        <f t="shared" si="7"/>
        <v>13823193.02149844</v>
      </c>
      <c r="Y66" s="73">
        <f t="shared" si="8"/>
        <v>2623313.1005405784</v>
      </c>
      <c r="Z66" s="73">
        <f t="shared" si="8"/>
        <v>-40520326.80107186</v>
      </c>
      <c r="AA66" s="12">
        <f t="shared" si="9"/>
        <v>-0.72283790291382699</v>
      </c>
      <c r="AB66" s="115">
        <f t="shared" si="10"/>
        <v>57298879.213863678</v>
      </c>
      <c r="AC66" s="73">
        <f>AB66/SUMIFS(FinParameters!$L$8:$L$39,FinParameters!$B$8:$B$39,Financials!$E66,FinParameters!$C$8:$C$39,Financials!$F66)</f>
        <v>45880837.684109442</v>
      </c>
      <c r="AD66" s="73">
        <f t="shared" si="11"/>
        <v>45880837.684109442</v>
      </c>
      <c r="AE66" s="12"/>
      <c r="AF66" s="73">
        <f t="shared" si="12"/>
        <v>71122072.235362113</v>
      </c>
      <c r="AG66" s="73">
        <f t="shared" si="13"/>
        <v>48504150.78465002</v>
      </c>
      <c r="AH66" s="73">
        <f t="shared" si="13"/>
        <v>5360510.883037582</v>
      </c>
      <c r="AI66" s="12">
        <f t="shared" si="14"/>
        <v>9.5625597104985235E-2</v>
      </c>
      <c r="AL66" s="73">
        <f>Summary!G66</f>
        <v>-4505686.4820962176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8593534.1849986706</v>
      </c>
      <c r="AN66" s="20">
        <f>Summary!I66</f>
        <v>4586128.887381698</v>
      </c>
      <c r="AP66" s="12">
        <v>1</v>
      </c>
    </row>
    <row r="67" spans="1:42" x14ac:dyDescent="0.3">
      <c r="A67">
        <v>63</v>
      </c>
      <c r="B67" t="str">
        <f>Summary!B67</f>
        <v>MarinusSnowyYallourn</v>
      </c>
      <c r="C67" t="str">
        <f>Summary!C67</f>
        <v>Wind</v>
      </c>
      <c r="D67" s="90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-43905361.552246772</v>
      </c>
      <c r="H67" s="73">
        <f>SUMIFS(AM$5:AM67,$F$5:$F67,$F67,$D$5:$D67,$D67)</f>
        <v>123351859.25061378</v>
      </c>
      <c r="I67" s="20">
        <f>SUMIFS(AN$5:AN67,$F$5:$F67,$F67,$D$5:$D67,$D67)</f>
        <v>21814537.775624238</v>
      </c>
      <c r="J67" s="73">
        <f t="shared" si="0"/>
        <v>21814537.775624238</v>
      </c>
      <c r="K67" s="73">
        <f t="shared" si="1"/>
        <v>-22090823.776622534</v>
      </c>
      <c r="L67" s="73">
        <f t="shared" si="2"/>
        <v>101261035.47399125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7228421.8752275091</v>
      </c>
      <c r="Q67" s="73">
        <f>P67/SUMIFS(FinParameters!$H$8:$H$39,FinParameters!$B$8:$B$39,Financials!$E67,FinParameters!$C$8:$C$39,Financials!$F67)</f>
        <v>3065556.5018755556</v>
      </c>
      <c r="R67" s="73">
        <f t="shared" si="15"/>
        <v>-48828858.239346787</v>
      </c>
      <c r="S67" s="12">
        <f t="shared" si="4"/>
        <v>-0.87105293263509231</v>
      </c>
      <c r="T67" s="115">
        <f t="shared" si="5"/>
        <v>-43905361.552246772</v>
      </c>
      <c r="U67" s="73">
        <f>T67/SUMIFS(FinParameters!$L$8:$L$39,FinParameters!$B$8:$B$39,Financials!$E67,FinParameters!$C$8:$C$39,Financials!$F67)</f>
        <v>-35156268.228600509</v>
      </c>
      <c r="V67" s="73">
        <f t="shared" si="6"/>
        <v>-35156268.228600509</v>
      </c>
      <c r="W67" s="12"/>
      <c r="X67" s="73">
        <f t="shared" si="7"/>
        <v>-36676939.677019261</v>
      </c>
      <c r="Y67" s="73">
        <f t="shared" si="8"/>
        <v>-32090711.726724952</v>
      </c>
      <c r="Z67" s="73">
        <f t="shared" si="8"/>
        <v>-83985126.467947304</v>
      </c>
      <c r="AA67" s="12">
        <f t="shared" si="9"/>
        <v>-1.4982019515804526</v>
      </c>
      <c r="AB67" s="115">
        <f t="shared" si="10"/>
        <v>123351859.25061378</v>
      </c>
      <c r="AC67" s="73">
        <f>AB67/SUMIFS(FinParameters!$L$8:$L$39,FinParameters!$B$8:$B$39,Financials!$E67,FinParameters!$C$8:$C$39,Financials!$F67)</f>
        <v>98771332.178888246</v>
      </c>
      <c r="AD67" s="73">
        <f t="shared" si="11"/>
        <v>98771332.178888246</v>
      </c>
      <c r="AE67" s="12"/>
      <c r="AF67" s="73">
        <f t="shared" si="12"/>
        <v>86674919.573594511</v>
      </c>
      <c r="AG67" s="73">
        <f t="shared" si="13"/>
        <v>66680620.452163294</v>
      </c>
      <c r="AH67" s="73">
        <f t="shared" si="13"/>
        <v>14786205.710940942</v>
      </c>
      <c r="AI67" s="12">
        <f t="shared" si="14"/>
        <v>0.26376958854799459</v>
      </c>
      <c r="AL67" s="73">
        <f>Summary!G67</f>
        <v>-9001497.1029015407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17879230.161106072</v>
      </c>
      <c r="AN67" s="20">
        <f>Summary!I67</f>
        <v>2362370.2372952858</v>
      </c>
      <c r="AP67" s="12">
        <v>1</v>
      </c>
    </row>
    <row r="68" spans="1:42" x14ac:dyDescent="0.3">
      <c r="A68">
        <v>64</v>
      </c>
      <c r="B68" t="str">
        <f>Summary!B68</f>
        <v>MarinusSnowyYallourn</v>
      </c>
      <c r="C68" t="str">
        <f>Summary!C68</f>
        <v>Wind</v>
      </c>
      <c r="D68" s="90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43774057.539036639</v>
      </c>
      <c r="H68" s="73">
        <f>SUMIFS(AM$5:AM68,$F$5:$F68,$F68,$D$5:$D68,$D68)</f>
        <v>-1368372.400976737</v>
      </c>
      <c r="I68" s="20">
        <f>SUMIFS(AN$5:AN68,$F$5:$F68,$F68,$D$5:$D68,$D68)</f>
        <v>54327329.153732739</v>
      </c>
      <c r="J68" s="73">
        <f t="shared" si="0"/>
        <v>54327329.153732739</v>
      </c>
      <c r="K68" s="73">
        <f t="shared" si="1"/>
        <v>98101386.692769378</v>
      </c>
      <c r="L68" s="73">
        <f t="shared" si="2"/>
        <v>96733014.291792631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39741213.253336012</v>
      </c>
      <c r="Q68" s="73">
        <f>P68/SUMIFS(FinParameters!$H$8:$H$39,FinParameters!$B$8:$B$39,Financials!$E68,FinParameters!$C$8:$C$39,Financials!$F68)</f>
        <v>16854153.891972821</v>
      </c>
      <c r="R68" s="73">
        <f t="shared" si="15"/>
        <v>-16316066.861238286</v>
      </c>
      <c r="S68" s="12">
        <f t="shared" si="4"/>
        <v>-0.29106062277531519</v>
      </c>
      <c r="T68" s="115">
        <f t="shared" si="5"/>
        <v>43774057.539036639</v>
      </c>
      <c r="U68" s="73">
        <f>T68/SUMIFS(FinParameters!$L$8:$L$39,FinParameters!$B$8:$B$39,Financials!$E68,FinParameters!$C$8:$C$39,Financials!$F68)</f>
        <v>35051129.381209075</v>
      </c>
      <c r="V68" s="73">
        <f t="shared" si="6"/>
        <v>35051129.381209075</v>
      </c>
      <c r="W68" s="12"/>
      <c r="X68" s="73">
        <f t="shared" si="7"/>
        <v>83515270.792372644</v>
      </c>
      <c r="Y68" s="73">
        <f t="shared" si="8"/>
        <v>51905283.2731819</v>
      </c>
      <c r="Z68" s="73">
        <f t="shared" si="8"/>
        <v>18735062.51997079</v>
      </c>
      <c r="AA68" s="12">
        <f t="shared" si="9"/>
        <v>0.33421283518712624</v>
      </c>
      <c r="AB68" s="115">
        <f t="shared" si="10"/>
        <v>-1368372.400976737</v>
      </c>
      <c r="AC68" s="73">
        <f>AB68/SUMIFS(FinParameters!$L$8:$L$39,FinParameters!$B$8:$B$39,Financials!$E68,FinParameters!$C$8:$C$39,Financials!$F68)</f>
        <v>-1095694.5909238386</v>
      </c>
      <c r="AD68" s="73">
        <f t="shared" si="11"/>
        <v>-1095694.5909238386</v>
      </c>
      <c r="AE68" s="12"/>
      <c r="AF68" s="73">
        <f t="shared" si="12"/>
        <v>82146898.391395912</v>
      </c>
      <c r="AG68" s="73">
        <f t="shared" si="13"/>
        <v>50809588.682258062</v>
      </c>
      <c r="AH68" s="73">
        <f t="shared" si="13"/>
        <v>17639367.929046951</v>
      </c>
      <c r="AI68" s="12">
        <f t="shared" si="14"/>
        <v>0.31466685313654563</v>
      </c>
      <c r="AL68" s="73">
        <f>Summary!G68</f>
        <v>1498541.0229353164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-242756.89329230093</v>
      </c>
      <c r="AN68" s="20">
        <f>Summary!I68</f>
        <v>6678103.8622216303</v>
      </c>
      <c r="AP68" s="12">
        <v>1</v>
      </c>
    </row>
    <row r="69" spans="1:42" x14ac:dyDescent="0.3">
      <c r="A69">
        <v>65</v>
      </c>
      <c r="B69" t="str">
        <f>Summary!B69</f>
        <v>MarinusSnowyYallourn</v>
      </c>
      <c r="C69" t="str">
        <f>Summary!C69</f>
        <v>Wind</v>
      </c>
      <c r="D69" s="90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201375845.34099841</v>
      </c>
      <c r="H69" s="73">
        <f>SUMIFS(AM$5:AM69,$F$5:$F69,$F69,$D$5:$D69,$D69)</f>
        <v>-177653398.1416311</v>
      </c>
      <c r="I69" s="20">
        <f>SUMIFS(AN$5:AN69,$F$5:$F69,$F69,$D$5:$D69,$D69)</f>
        <v>115318206.41033772</v>
      </c>
      <c r="J69" s="73">
        <f t="shared" si="0"/>
        <v>115318206.41033772</v>
      </c>
      <c r="K69" s="73">
        <f t="shared" si="1"/>
        <v>316694051.7513361</v>
      </c>
      <c r="L69" s="73">
        <f t="shared" si="2"/>
        <v>139040653.60970503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98913687.612431064</v>
      </c>
      <c r="Q69" s="73">
        <f>P69/SUMIFS(FinParameters!$H$8:$H$39,FinParameters!$B$8:$B$39,Financials!$E69,FinParameters!$C$8:$C$39,Financials!$F69)</f>
        <v>38135508.491701767</v>
      </c>
      <c r="R69" s="73">
        <f t="shared" si="15"/>
        <v>40124220.606212392</v>
      </c>
      <c r="S69" s="12">
        <f t="shared" si="4"/>
        <v>0.68250696339819017</v>
      </c>
      <c r="T69" s="115">
        <f t="shared" si="5"/>
        <v>201375845.34099841</v>
      </c>
      <c r="U69" s="73">
        <f>T69/SUMIFS(FinParameters!$L$8:$L$39,FinParameters!$B$8:$B$39,Financials!$E69,FinParameters!$C$8:$C$39,Financials!$F69)</f>
        <v>157314488.52655521</v>
      </c>
      <c r="V69" s="73">
        <f t="shared" si="6"/>
        <v>157314488.52655521</v>
      </c>
      <c r="W69" s="12"/>
      <c r="X69" s="73">
        <f t="shared" si="7"/>
        <v>300289532.95342946</v>
      </c>
      <c r="Y69" s="73">
        <f t="shared" si="8"/>
        <v>195449997.01825696</v>
      </c>
      <c r="Z69" s="73">
        <f t="shared" si="8"/>
        <v>197438709.13276762</v>
      </c>
      <c r="AA69" s="12">
        <f t="shared" si="9"/>
        <v>3.3584027749712853</v>
      </c>
      <c r="AB69" s="115">
        <f t="shared" si="10"/>
        <v>-177653398.1416311</v>
      </c>
      <c r="AC69" s="73">
        <f>AB69/SUMIFS(FinParameters!$L$8:$L$39,FinParameters!$B$8:$B$39,Financials!$E69,FinParameters!$C$8:$C$39,Financials!$F69)</f>
        <v>-138782550.68938652</v>
      </c>
      <c r="AD69" s="73">
        <f t="shared" si="11"/>
        <v>-138782550.68938652</v>
      </c>
      <c r="AE69" s="12"/>
      <c r="AF69" s="73">
        <f t="shared" si="12"/>
        <v>122636134.81179836</v>
      </c>
      <c r="AG69" s="73">
        <f t="shared" si="13"/>
        <v>56667446.328870445</v>
      </c>
      <c r="AH69" s="73">
        <f t="shared" si="13"/>
        <v>58656158.443381101</v>
      </c>
      <c r="AI69" s="12">
        <f t="shared" si="14"/>
        <v>0.99773244137723738</v>
      </c>
      <c r="AL69" s="73">
        <f>Summary!G69</f>
        <v>17886255.53799111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-23743101.258855883</v>
      </c>
      <c r="AN69" s="20">
        <f>Summary!I69</f>
        <v>11531487.259489004</v>
      </c>
      <c r="AP69" s="12">
        <v>1</v>
      </c>
    </row>
    <row r="70" spans="1:42" x14ac:dyDescent="0.3">
      <c r="A70">
        <v>66</v>
      </c>
      <c r="B70" t="str">
        <f>Summary!B70</f>
        <v>MarinusSnowyYallourn</v>
      </c>
      <c r="C70" t="str">
        <f>Summary!C70</f>
        <v>Wind</v>
      </c>
      <c r="D70" s="90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122334161.8185401</v>
      </c>
      <c r="H70" s="73">
        <f>SUMIFS(AM$5:AM70,$F$5:$F70,$F70,$D$5:$D70,$D70)</f>
        <v>-74009809.958151624</v>
      </c>
      <c r="I70" s="20">
        <f>SUMIFS(AN$5:AN70,$F$5:$F70,$F70,$D$5:$D70,$D70)</f>
        <v>84063247.30410111</v>
      </c>
      <c r="J70" s="73">
        <f t="shared" ref="J70:J133" si="16">I70</f>
        <v>84063247.30410111</v>
      </c>
      <c r="K70" s="73">
        <f t="shared" ref="K70:K133" si="17">SUM(G70,I70)</f>
        <v>206397409.12264121</v>
      </c>
      <c r="L70" s="73">
        <f t="shared" ref="L70:L133" si="18">SUM(G70:I70)</f>
        <v>132387599.16448958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67658728.506194457</v>
      </c>
      <c r="Q70" s="73">
        <f>P70/SUMIFS(FinParameters!$H$8:$H$39,FinParameters!$B$8:$B$39,Financials!$E70,FinParameters!$C$8:$C$39,Financials!$F70)</f>
        <v>26085368.746897817</v>
      </c>
      <c r="R70" s="73">
        <f t="shared" si="15"/>
        <v>8869261.4999757875</v>
      </c>
      <c r="S70" s="12">
        <f t="shared" ref="S70:S133" si="20">-R70/SUM($N70,$O70)</f>
        <v>0.15086480540872413</v>
      </c>
      <c r="T70" s="115">
        <f t="shared" ref="T70:T133" si="21">G70</f>
        <v>122334161.8185401</v>
      </c>
      <c r="U70" s="73">
        <f>T70/SUMIFS(FinParameters!$L$8:$L$39,FinParameters!$B$8:$B$39,Financials!$E70,FinParameters!$C$8:$C$39,Financials!$F70)</f>
        <v>95567251.689100027</v>
      </c>
      <c r="V70" s="73">
        <f t="shared" ref="V70:V133" si="22">U70</f>
        <v>95567251.689100027</v>
      </c>
      <c r="W70" s="12"/>
      <c r="X70" s="73">
        <f t="shared" ref="X70:X133" si="23">SUM(K70,M70)</f>
        <v>189992890.32473457</v>
      </c>
      <c r="Y70" s="73">
        <f t="shared" ref="Y70:Z133" si="24">SUM(Q70,U70)</f>
        <v>121652620.43599784</v>
      </c>
      <c r="Z70" s="73">
        <f t="shared" si="24"/>
        <v>104436513.18907581</v>
      </c>
      <c r="AA70" s="12">
        <f t="shared" ref="AA70:AA133" si="25">-Z70/SUM($N70,$O70)</f>
        <v>1.7764493965905264</v>
      </c>
      <c r="AB70" s="115">
        <f t="shared" ref="AB70:AB133" si="26">H70*AP70</f>
        <v>-74009809.958151624</v>
      </c>
      <c r="AC70" s="73">
        <f>AB70/SUMIFS(FinParameters!$L$8:$L$39,FinParameters!$B$8:$B$39,Financials!$E70,FinParameters!$C$8:$C$39,Financials!$F70)</f>
        <v>-57816345.251332872</v>
      </c>
      <c r="AD70" s="73">
        <f t="shared" ref="AD70:AD133" si="27">AC70</f>
        <v>-57816345.251332872</v>
      </c>
      <c r="AE70" s="12"/>
      <c r="AF70" s="73">
        <f t="shared" ref="AF70:AF133" si="28">X70+AB70</f>
        <v>115983080.36658294</v>
      </c>
      <c r="AG70" s="73">
        <f t="shared" ref="AG70:AH133" si="29">Y70+AC70</f>
        <v>63836275.184664972</v>
      </c>
      <c r="AH70" s="73">
        <f t="shared" si="29"/>
        <v>46620167.937742941</v>
      </c>
      <c r="AI70" s="12">
        <f t="shared" ref="AI70:AI133" si="30">-AH70/SUM($N70,$O70)</f>
        <v>0.7930020514186924</v>
      </c>
      <c r="AL70" s="73">
        <f>Summary!G70</f>
        <v>9515582.5627922751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-9973994.7347921915</v>
      </c>
      <c r="AN70" s="20">
        <f>Summary!I70</f>
        <v>9061097.5305110849</v>
      </c>
      <c r="AP70" s="12">
        <v>1</v>
      </c>
    </row>
    <row r="71" spans="1:42" x14ac:dyDescent="0.3">
      <c r="A71">
        <v>67</v>
      </c>
      <c r="B71" t="str">
        <f>Summary!B71</f>
        <v>MarinusSnowyYallourn</v>
      </c>
      <c r="C71" t="str">
        <f>Summary!C71</f>
        <v>Wind</v>
      </c>
      <c r="D71" s="90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72693000.989756972</v>
      </c>
      <c r="H71" s="73">
        <f>SUMIFS(AM$5:AM71,$F$5:$F71,$F71,$D$5:$D71,$D71)</f>
        <v>-30191155.395888217</v>
      </c>
      <c r="I71" s="20">
        <f>SUMIFS(AN$5:AN71,$F$5:$F71,$F71,$D$5:$D71,$D71)</f>
        <v>68845137.041557789</v>
      </c>
      <c r="J71" s="73">
        <f t="shared" si="16"/>
        <v>68845137.041557789</v>
      </c>
      <c r="K71" s="73">
        <f t="shared" si="17"/>
        <v>141538138.03131476</v>
      </c>
      <c r="L71" s="73">
        <f t="shared" si="18"/>
        <v>111346982.63542655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52440618.243651144</v>
      </c>
      <c r="Q71" s="73">
        <f>P71/SUMIFS(FinParameters!$H$8:$H$39,FinParameters!$B$8:$B$39,Financials!$E71,FinParameters!$C$8:$C$39,Financials!$F71)</f>
        <v>20218128.457375556</v>
      </c>
      <c r="R71" s="73">
        <f t="shared" ref="R71:R134" si="31">SUM(P71,N71:O71)</f>
        <v>-6348848.7625675257</v>
      </c>
      <c r="S71" s="12">
        <f t="shared" si="20"/>
        <v>-0.10799296346564859</v>
      </c>
      <c r="T71" s="115">
        <f t="shared" si="21"/>
        <v>72693000.989756972</v>
      </c>
      <c r="U71" s="73">
        <f>T71/SUMIFS(FinParameters!$L$8:$L$39,FinParameters!$B$8:$B$39,Financials!$E71,FinParameters!$C$8:$C$39,Financials!$F71)</f>
        <v>56787656.189844862</v>
      </c>
      <c r="V71" s="73">
        <f t="shared" si="22"/>
        <v>56787656.189844862</v>
      </c>
      <c r="W71" s="12"/>
      <c r="X71" s="73">
        <f t="shared" si="23"/>
        <v>125133619.23340811</v>
      </c>
      <c r="Y71" s="73">
        <f t="shared" si="24"/>
        <v>77005784.647220418</v>
      </c>
      <c r="Z71" s="73">
        <f t="shared" si="24"/>
        <v>50438807.427277334</v>
      </c>
      <c r="AA71" s="12">
        <f t="shared" si="25"/>
        <v>0.85795653534232563</v>
      </c>
      <c r="AB71" s="115">
        <f t="shared" si="26"/>
        <v>-30191155.395888217</v>
      </c>
      <c r="AC71" s="73">
        <f>AB71/SUMIFS(FinParameters!$L$8:$L$39,FinParameters!$B$8:$B$39,Financials!$E71,FinParameters!$C$8:$C$39,Financials!$F71)</f>
        <v>-23585282.341520943</v>
      </c>
      <c r="AD71" s="73">
        <f t="shared" si="27"/>
        <v>-23585282.341520943</v>
      </c>
      <c r="AE71" s="12"/>
      <c r="AF71" s="73">
        <f t="shared" si="28"/>
        <v>94942463.837519884</v>
      </c>
      <c r="AG71" s="73">
        <f t="shared" si="29"/>
        <v>53420502.305699475</v>
      </c>
      <c r="AH71" s="73">
        <f t="shared" si="29"/>
        <v>26853525.085756391</v>
      </c>
      <c r="AI71" s="12">
        <f t="shared" si="30"/>
        <v>0.45677442666584916</v>
      </c>
      <c r="AL71" s="73">
        <f>Summary!G71</f>
        <v>4081392.8966298793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-4159375.4052765872</v>
      </c>
      <c r="AN71" s="20">
        <f>Summary!I71</f>
        <v>7382150.5534569034</v>
      </c>
      <c r="AP71" s="12">
        <v>1</v>
      </c>
    </row>
    <row r="72" spans="1:42" x14ac:dyDescent="0.3">
      <c r="A72">
        <v>68</v>
      </c>
      <c r="B72" t="str">
        <f>Summary!B72</f>
        <v>MarinusSnowyYallourn</v>
      </c>
      <c r="C72" t="str">
        <f>Summary!C72</f>
        <v>Wind</v>
      </c>
      <c r="D72" s="90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38525867.797614478</v>
      </c>
      <c r="H72" s="73">
        <f>SUMIFS(AM$5:AM72,$F$5:$F72,$F72,$D$5:$D72,$D72)</f>
        <v>-154556.18545330944</v>
      </c>
      <c r="I72" s="20">
        <f>SUMIFS(AN$5:AN72,$F$5:$F72,$F72,$D$5:$D72,$D72)</f>
        <v>59774588.306824386</v>
      </c>
      <c r="J72" s="73">
        <f t="shared" si="16"/>
        <v>59774588.306824386</v>
      </c>
      <c r="K72" s="73">
        <f t="shared" si="17"/>
        <v>98300456.104438871</v>
      </c>
      <c r="L72" s="73">
        <f t="shared" si="18"/>
        <v>98145899.918985546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43370069.508917741</v>
      </c>
      <c r="Q72" s="73">
        <f>P72/SUMIFS(FinParameters!$H$8:$H$39,FinParameters!$B$8:$B$39,Financials!$E72,FinParameters!$C$8:$C$39,Financials!$F72)</f>
        <v>16721039.261255568</v>
      </c>
      <c r="R72" s="73">
        <f t="shared" si="31"/>
        <v>-15419397.497300928</v>
      </c>
      <c r="S72" s="12">
        <f t="shared" si="20"/>
        <v>-0.26228163449193859</v>
      </c>
      <c r="T72" s="115">
        <f t="shared" si="21"/>
        <v>38525867.797614478</v>
      </c>
      <c r="U72" s="73">
        <f>T72/SUMIFS(FinParameters!$L$8:$L$39,FinParameters!$B$8:$B$39,Financials!$E72,FinParameters!$C$8:$C$39,Financials!$F72)</f>
        <v>30096346.348593097</v>
      </c>
      <c r="V72" s="73">
        <f t="shared" si="22"/>
        <v>30096346.348593097</v>
      </c>
      <c r="W72" s="12"/>
      <c r="X72" s="73">
        <f t="shared" si="23"/>
        <v>81895937.306532219</v>
      </c>
      <c r="Y72" s="73">
        <f t="shared" si="24"/>
        <v>46817385.609848663</v>
      </c>
      <c r="Z72" s="73">
        <f t="shared" si="24"/>
        <v>14676948.851292169</v>
      </c>
      <c r="AA72" s="12">
        <f t="shared" si="25"/>
        <v>0.24965269458455305</v>
      </c>
      <c r="AB72" s="115">
        <f t="shared" si="26"/>
        <v>-154556.18545330944</v>
      </c>
      <c r="AC72" s="73">
        <f>AB72/SUMIFS(FinParameters!$L$8:$L$39,FinParameters!$B$8:$B$39,Financials!$E72,FinParameters!$C$8:$C$39,Financials!$F72)</f>
        <v>-120739.04505295045</v>
      </c>
      <c r="AD72" s="73">
        <f t="shared" si="27"/>
        <v>-120739.04505295045</v>
      </c>
      <c r="AE72" s="12"/>
      <c r="AF72" s="73">
        <f t="shared" si="28"/>
        <v>81741381.121078908</v>
      </c>
      <c r="AG72" s="73">
        <f t="shared" si="29"/>
        <v>46696646.56479571</v>
      </c>
      <c r="AH72" s="73">
        <f t="shared" si="29"/>
        <v>14556209.806239218</v>
      </c>
      <c r="AI72" s="12">
        <f t="shared" si="30"/>
        <v>0.24759894157059598</v>
      </c>
      <c r="AL72" s="73">
        <f>Summary!G72</f>
        <v>815233.20998466131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-94705.572252794387</v>
      </c>
      <c r="AN72" s="20">
        <f>Summary!I72</f>
        <v>6422330.0719393827</v>
      </c>
      <c r="AP72" s="12">
        <v>1</v>
      </c>
    </row>
    <row r="73" spans="1:42" x14ac:dyDescent="0.3">
      <c r="A73">
        <v>69</v>
      </c>
      <c r="B73" t="str">
        <f>Summary!B73</f>
        <v>MarinusSnowyYallourn</v>
      </c>
      <c r="C73" t="str">
        <f>Summary!C73</f>
        <v>Wind</v>
      </c>
      <c r="D73" s="90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14040879.899750214</v>
      </c>
      <c r="H73" s="73">
        <f>SUMIFS(AM$5:AM73,$F$5:$F73,$F73,$D$5:$D73,$D73)</f>
        <v>28087304.892557606</v>
      </c>
      <c r="I73" s="20">
        <f>SUMIFS(AN$5:AN73,$F$5:$F73,$F73,$D$5:$D73,$D73)</f>
        <v>51719243.201631121</v>
      </c>
      <c r="J73" s="73">
        <f t="shared" si="16"/>
        <v>51719243.201631121</v>
      </c>
      <c r="K73" s="73">
        <f t="shared" si="17"/>
        <v>65760123.101381332</v>
      </c>
      <c r="L73" s="73">
        <f t="shared" si="18"/>
        <v>93847427.993938953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35314724.403724477</v>
      </c>
      <c r="Q73" s="73">
        <f>P73/SUMIFS(FinParameters!$H$8:$H$39,FinParameters!$B$8:$B$39,Financials!$E73,FinParameters!$C$8:$C$39,Financials!$F73)</f>
        <v>13615355.011909282</v>
      </c>
      <c r="R73" s="73">
        <f t="shared" si="31"/>
        <v>-23474742.602494195</v>
      </c>
      <c r="S73" s="12">
        <f t="shared" si="20"/>
        <v>-0.39930184432546512</v>
      </c>
      <c r="T73" s="115">
        <f t="shared" si="21"/>
        <v>14040879.899750214</v>
      </c>
      <c r="U73" s="73">
        <f>T73/SUMIFS(FinParameters!$L$8:$L$39,FinParameters!$B$8:$B$39,Financials!$E73,FinParameters!$C$8:$C$39,Financials!$F73)</f>
        <v>10968712.936507758</v>
      </c>
      <c r="V73" s="73">
        <f t="shared" si="22"/>
        <v>10968712.936507758</v>
      </c>
      <c r="W73" s="12"/>
      <c r="X73" s="73">
        <f t="shared" si="23"/>
        <v>49355604.303474687</v>
      </c>
      <c r="Y73" s="73">
        <f t="shared" si="24"/>
        <v>24584067.948417038</v>
      </c>
      <c r="Z73" s="73">
        <f t="shared" si="24"/>
        <v>-12506029.665986437</v>
      </c>
      <c r="AA73" s="12">
        <f t="shared" si="25"/>
        <v>-0.21272568544742149</v>
      </c>
      <c r="AB73" s="115">
        <f t="shared" si="26"/>
        <v>28087304.892557606</v>
      </c>
      <c r="AC73" s="73">
        <f>AB73/SUMIFS(FinParameters!$L$8:$L$39,FinParameters!$B$8:$B$39,Financials!$E73,FinParameters!$C$8:$C$39,Financials!$F73)</f>
        <v>21941757.690849204</v>
      </c>
      <c r="AD73" s="73">
        <f t="shared" si="27"/>
        <v>21941757.690849204</v>
      </c>
      <c r="AE73" s="12"/>
      <c r="AF73" s="73">
        <f t="shared" si="28"/>
        <v>77442909.196032286</v>
      </c>
      <c r="AG73" s="73">
        <f t="shared" si="29"/>
        <v>46525825.639266238</v>
      </c>
      <c r="AH73" s="73">
        <f t="shared" si="29"/>
        <v>9435728.0248627663</v>
      </c>
      <c r="AI73" s="12">
        <f t="shared" si="30"/>
        <v>0.16050031587911262</v>
      </c>
      <c r="AL73" s="73">
        <f>Summary!G73</f>
        <v>-1869742.4435727561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3697207.7828864548</v>
      </c>
      <c r="AN73" s="20">
        <f>Summary!I73</f>
        <v>5519823.9915324552</v>
      </c>
      <c r="AP73" s="12">
        <v>1</v>
      </c>
    </row>
    <row r="74" spans="1:42" x14ac:dyDescent="0.3">
      <c r="A74">
        <v>70</v>
      </c>
      <c r="B74" t="str">
        <f>Summary!B74</f>
        <v>MarinusSnowyYallourn</v>
      </c>
      <c r="C74" t="str">
        <f>Summary!C74</f>
        <v>Wind</v>
      </c>
      <c r="D74" s="90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-13827975.791887652</v>
      </c>
      <c r="H74" s="73">
        <f>SUMIFS(AM$5:AM74,$F$5:$F74,$F74,$D$5:$D74,$D74)</f>
        <v>65762819.467996597</v>
      </c>
      <c r="I74" s="20">
        <f>SUMIFS(AN$5:AN74,$F$5:$F74,$F74,$D$5:$D74,$D74)</f>
        <v>41377975.784130938</v>
      </c>
      <c r="J74" s="73">
        <f t="shared" si="16"/>
        <v>41377975.784130938</v>
      </c>
      <c r="K74" s="73">
        <f t="shared" si="17"/>
        <v>27549999.992243286</v>
      </c>
      <c r="L74" s="73">
        <f t="shared" si="18"/>
        <v>93312819.460239887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24973456.986224294</v>
      </c>
      <c r="Q74" s="73">
        <f>P74/SUMIFS(FinParameters!$H$8:$H$39,FinParameters!$B$8:$B$39,Financials!$E74,FinParameters!$C$8:$C$39,Financials!$F74)</f>
        <v>9628348.7548958268</v>
      </c>
      <c r="R74" s="73">
        <f t="shared" si="31"/>
        <v>-33816010.019994378</v>
      </c>
      <c r="S74" s="12">
        <f t="shared" si="20"/>
        <v>-0.57520524920590566</v>
      </c>
      <c r="T74" s="115">
        <f t="shared" si="21"/>
        <v>-13827975.791887652</v>
      </c>
      <c r="U74" s="73">
        <f>T74/SUMIFS(FinParameters!$L$8:$L$39,FinParameters!$B$8:$B$39,Financials!$E74,FinParameters!$C$8:$C$39,Financials!$F74)</f>
        <v>-10802392.587724682</v>
      </c>
      <c r="V74" s="73">
        <f t="shared" si="22"/>
        <v>-10802392.587724682</v>
      </c>
      <c r="W74" s="12"/>
      <c r="X74" s="73">
        <f t="shared" si="23"/>
        <v>11145481.19433664</v>
      </c>
      <c r="Y74" s="73">
        <f t="shared" si="24"/>
        <v>-1174043.8328288551</v>
      </c>
      <c r="Z74" s="73">
        <f t="shared" si="24"/>
        <v>-44618402.607719064</v>
      </c>
      <c r="AA74" s="12">
        <f t="shared" si="25"/>
        <v>-0.75895232394264411</v>
      </c>
      <c r="AB74" s="115">
        <f t="shared" si="26"/>
        <v>65762819.467996597</v>
      </c>
      <c r="AC74" s="73">
        <f>AB74/SUMIFS(FinParameters!$L$8:$L$39,FinParameters!$B$8:$B$39,Financials!$E74,FinParameters!$C$8:$C$39,Financials!$F74)</f>
        <v>51373809.461376488</v>
      </c>
      <c r="AD74" s="73">
        <f t="shared" si="27"/>
        <v>51373809.461376488</v>
      </c>
      <c r="AE74" s="12"/>
      <c r="AF74" s="73">
        <f t="shared" si="28"/>
        <v>76908300.662333235</v>
      </c>
      <c r="AG74" s="73">
        <f t="shared" si="29"/>
        <v>50199765.628547631</v>
      </c>
      <c r="AH74" s="73">
        <f t="shared" si="29"/>
        <v>6755406.8536574244</v>
      </c>
      <c r="AI74" s="12">
        <f t="shared" si="30"/>
        <v>0.11490845550518168</v>
      </c>
      <c r="AL74" s="73">
        <f>Summary!G74</f>
        <v>-5227854.3334779413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8463940.2541329153</v>
      </c>
      <c r="AN74" s="20">
        <f>Summary!I74</f>
        <v>4368545.4038260588</v>
      </c>
      <c r="AP74" s="12">
        <v>1</v>
      </c>
    </row>
    <row r="75" spans="1:42" x14ac:dyDescent="0.3">
      <c r="A75">
        <v>71</v>
      </c>
      <c r="B75" t="str">
        <f>Summary!B75</f>
        <v>MarinusSnowyYallourn</v>
      </c>
      <c r="C75" t="str">
        <f>Summary!C75</f>
        <v>Wind</v>
      </c>
      <c r="D75" s="90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-52663701.418741427</v>
      </c>
      <c r="H75" s="73">
        <f>SUMIFS(AM$5:AM75,$F$5:$F75,$F75,$D$5:$D75,$D75)</f>
        <v>141120959.33845013</v>
      </c>
      <c r="I75" s="20">
        <f>SUMIFS(AN$5:AN75,$F$5:$F75,$F75,$D$5:$D75,$D75)</f>
        <v>24459336.028834827</v>
      </c>
      <c r="J75" s="73">
        <f t="shared" si="16"/>
        <v>24459336.028834827</v>
      </c>
      <c r="K75" s="73">
        <f t="shared" si="17"/>
        <v>-28204365.3899066</v>
      </c>
      <c r="L75" s="73">
        <f t="shared" si="18"/>
        <v>112916593.94854352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8054817.2309281807</v>
      </c>
      <c r="Q75" s="73">
        <f>P75/SUMIFS(FinParameters!$H$8:$H$39,FinParameters!$B$8:$B$39,Financials!$E75,FinParameters!$C$8:$C$39,Financials!$F75)</f>
        <v>3105480.7309657205</v>
      </c>
      <c r="R75" s="73">
        <f t="shared" si="31"/>
        <v>-50734649.775290489</v>
      </c>
      <c r="S75" s="12">
        <f t="shared" si="20"/>
        <v>-0.86298876922840351</v>
      </c>
      <c r="T75" s="115">
        <f t="shared" si="21"/>
        <v>-52663701.418741427</v>
      </c>
      <c r="U75" s="73">
        <f>T75/SUMIFS(FinParameters!$L$8:$L$39,FinParameters!$B$8:$B$39,Financials!$E75,FinParameters!$C$8:$C$39,Financials!$F75)</f>
        <v>-41140799.377281725</v>
      </c>
      <c r="V75" s="73">
        <f t="shared" si="22"/>
        <v>-41140799.377281725</v>
      </c>
      <c r="W75" s="12"/>
      <c r="X75" s="73">
        <f t="shared" si="23"/>
        <v>-44608884.187813245</v>
      </c>
      <c r="Y75" s="73">
        <f t="shared" si="24"/>
        <v>-38035318.646316007</v>
      </c>
      <c r="Z75" s="73">
        <f t="shared" si="24"/>
        <v>-91875449.152572215</v>
      </c>
      <c r="AA75" s="12">
        <f t="shared" si="25"/>
        <v>-1.5627875847701385</v>
      </c>
      <c r="AB75" s="115">
        <f t="shared" si="26"/>
        <v>141120959.33845013</v>
      </c>
      <c r="AC75" s="73">
        <f>AB75/SUMIFS(FinParameters!$L$8:$L$39,FinParameters!$B$8:$B$39,Financials!$E75,FinParameters!$C$8:$C$39,Financials!$F75)</f>
        <v>110243467.88519861</v>
      </c>
      <c r="AD75" s="73">
        <f t="shared" si="27"/>
        <v>110243467.88519861</v>
      </c>
      <c r="AE75" s="12"/>
      <c r="AF75" s="73">
        <f t="shared" si="28"/>
        <v>96512075.150636882</v>
      </c>
      <c r="AG75" s="73">
        <f t="shared" si="29"/>
        <v>72208149.238882601</v>
      </c>
      <c r="AH75" s="73">
        <f t="shared" si="29"/>
        <v>18368018.732626393</v>
      </c>
      <c r="AI75" s="12">
        <f t="shared" si="30"/>
        <v>0.31243723864146361</v>
      </c>
      <c r="AL75" s="73">
        <f>Summary!G75</f>
        <v>-8758339.8664946537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17769100.087836351</v>
      </c>
      <c r="AN75" s="20">
        <f>Summary!I75</f>
        <v>2644798.2532105907</v>
      </c>
      <c r="AP75" s="12">
        <v>1</v>
      </c>
    </row>
    <row r="76" spans="1:42" x14ac:dyDescent="0.3">
      <c r="A76">
        <v>72</v>
      </c>
      <c r="B76" t="str">
        <f>Summary!B76</f>
        <v>MarinusSnowyYallourn</v>
      </c>
      <c r="C76" t="str">
        <f>Summary!C76</f>
        <v>Wind</v>
      </c>
      <c r="D76" s="90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45062348.567347795</v>
      </c>
      <c r="H76" s="73">
        <f>SUMIFS(AM$5:AM76,$F$5:$F76,$F76,$D$5:$D76,$D76)</f>
        <v>-1681260.9320752483</v>
      </c>
      <c r="I76" s="20">
        <f>SUMIFS(AN$5:AN76,$F$5:$F76,$F76,$D$5:$D76,$D76)</f>
        <v>60841239.420659706</v>
      </c>
      <c r="J76" s="73">
        <f t="shared" si="16"/>
        <v>60841239.420659706</v>
      </c>
      <c r="K76" s="73">
        <f t="shared" si="17"/>
        <v>105903587.9880075</v>
      </c>
      <c r="L76" s="73">
        <f t="shared" si="18"/>
        <v>104222327.05593225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44436720.622753061</v>
      </c>
      <c r="Q76" s="73">
        <f>P76/SUMIFS(FinParameters!$H$8:$H$39,FinParameters!$B$8:$B$39,Financials!$E76,FinParameters!$C$8:$C$39,Financials!$F76)</f>
        <v>17132279.440357309</v>
      </c>
      <c r="R76" s="73">
        <f t="shared" si="31"/>
        <v>-14352746.383465609</v>
      </c>
      <c r="S76" s="12">
        <f t="shared" si="20"/>
        <v>-0.24413805932187468</v>
      </c>
      <c r="T76" s="115">
        <f t="shared" si="21"/>
        <v>45062348.567347795</v>
      </c>
      <c r="U76" s="73">
        <f>T76/SUMIFS(FinParameters!$L$8:$L$39,FinParameters!$B$8:$B$39,Financials!$E76,FinParameters!$C$8:$C$39,Financials!$F76)</f>
        <v>35202634.678819716</v>
      </c>
      <c r="V76" s="73">
        <f t="shared" si="22"/>
        <v>35202634.678819716</v>
      </c>
      <c r="W76" s="12"/>
      <c r="X76" s="73">
        <f t="shared" si="23"/>
        <v>89499069.190100849</v>
      </c>
      <c r="Y76" s="73">
        <f t="shared" si="24"/>
        <v>52334914.119177029</v>
      </c>
      <c r="Z76" s="73">
        <f t="shared" si="24"/>
        <v>20849888.295354106</v>
      </c>
      <c r="AA76" s="12">
        <f t="shared" si="25"/>
        <v>0.35465346697476663</v>
      </c>
      <c r="AB76" s="115">
        <f t="shared" si="26"/>
        <v>-1681260.9320752483</v>
      </c>
      <c r="AC76" s="73">
        <f>AB76/SUMIFS(FinParameters!$L$8:$L$39,FinParameters!$B$8:$B$39,Financials!$E76,FinParameters!$C$8:$C$39,Financials!$F76)</f>
        <v>-1313398.3530210906</v>
      </c>
      <c r="AD76" s="73">
        <f t="shared" si="27"/>
        <v>-1313398.3530210906</v>
      </c>
      <c r="AE76" s="12"/>
      <c r="AF76" s="73">
        <f t="shared" si="28"/>
        <v>87817808.258025602</v>
      </c>
      <c r="AG76" s="73">
        <f t="shared" si="29"/>
        <v>51021515.766155936</v>
      </c>
      <c r="AH76" s="73">
        <f t="shared" si="29"/>
        <v>19536489.942333017</v>
      </c>
      <c r="AI76" s="12">
        <f t="shared" si="30"/>
        <v>0.3323127583426887</v>
      </c>
      <c r="AL76" s="73">
        <f>Summary!G76</f>
        <v>1288291.0283111529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-312888.5310985113</v>
      </c>
      <c r="AN76" s="20">
        <f>Summary!I76</f>
        <v>6513910.2669269675</v>
      </c>
      <c r="AP76" s="12">
        <v>1</v>
      </c>
    </row>
    <row r="77" spans="1:42" x14ac:dyDescent="0.3">
      <c r="A77">
        <v>73</v>
      </c>
      <c r="B77" t="str">
        <f>Summary!B77</f>
        <v>MarinusSnowyYallourn</v>
      </c>
      <c r="C77" t="str">
        <f>Summary!C77</f>
        <v>Wind</v>
      </c>
      <c r="D77" s="90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222598832.92980954</v>
      </c>
      <c r="H77" s="73">
        <f>SUMIFS(AM$5:AM77,$F$5:$F77,$F77,$D$5:$D77,$D77)</f>
        <v>-205254304.29379737</v>
      </c>
      <c r="I77" s="20">
        <f>SUMIFS(AN$5:AN77,$F$5:$F77,$F77,$D$5:$D77,$D77)</f>
        <v>128892072.76160638</v>
      </c>
      <c r="J77" s="73">
        <f t="shared" si="16"/>
        <v>128892072.76160638</v>
      </c>
      <c r="K77" s="73">
        <f t="shared" si="17"/>
        <v>351490905.69141591</v>
      </c>
      <c r="L77" s="73">
        <f t="shared" si="18"/>
        <v>146236601.39761853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110638690.99375206</v>
      </c>
      <c r="Q77" s="73">
        <f>P77/SUMIFS(FinParameters!$H$8:$H$39,FinParameters!$B$8:$B$39,Financials!$E77,FinParameters!$C$8:$C$39,Financials!$F77)</f>
        <v>38778186.239916943</v>
      </c>
      <c r="R77" s="73">
        <f t="shared" si="31"/>
        <v>49533074.645298511</v>
      </c>
      <c r="S77" s="12">
        <f t="shared" si="20"/>
        <v>0.81061410726695149</v>
      </c>
      <c r="T77" s="115">
        <f t="shared" si="21"/>
        <v>222598832.92980954</v>
      </c>
      <c r="U77" s="73">
        <f>T77/SUMIFS(FinParameters!$L$8:$L$39,FinParameters!$B$8:$B$39,Financials!$E77,FinParameters!$C$8:$C$39,Financials!$F77)</f>
        <v>169652539.03490674</v>
      </c>
      <c r="V77" s="73">
        <f t="shared" si="22"/>
        <v>169652539.03490674</v>
      </c>
      <c r="W77" s="12"/>
      <c r="X77" s="73">
        <f t="shared" si="23"/>
        <v>333237523.92356157</v>
      </c>
      <c r="Y77" s="73">
        <f t="shared" si="24"/>
        <v>208430725.2748237</v>
      </c>
      <c r="Z77" s="73">
        <f t="shared" si="24"/>
        <v>219185613.68020526</v>
      </c>
      <c r="AA77" s="12">
        <f t="shared" si="25"/>
        <v>3.5869962006487865</v>
      </c>
      <c r="AB77" s="115">
        <f t="shared" si="26"/>
        <v>-205254304.29379737</v>
      </c>
      <c r="AC77" s="73">
        <f>AB77/SUMIFS(FinParameters!$L$8:$L$39,FinParameters!$B$8:$B$39,Financials!$E77,FinParameters!$C$8:$C$39,Financials!$F77)</f>
        <v>-156433497.03574693</v>
      </c>
      <c r="AD77" s="73">
        <f t="shared" si="27"/>
        <v>-156433497.03574693</v>
      </c>
      <c r="AE77" s="12"/>
      <c r="AF77" s="73">
        <f t="shared" si="28"/>
        <v>127983219.6297642</v>
      </c>
      <c r="AG77" s="73">
        <f t="shared" si="29"/>
        <v>51997228.239076763</v>
      </c>
      <c r="AH77" s="73">
        <f t="shared" si="29"/>
        <v>62752116.644458324</v>
      </c>
      <c r="AI77" s="12">
        <f t="shared" si="30"/>
        <v>1.0269451548711273</v>
      </c>
      <c r="AL77" s="73">
        <f>Summary!G77</f>
        <v>21222987.588811122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-27600906.15216627</v>
      </c>
      <c r="AN77" s="20">
        <f>Summary!I77</f>
        <v>13573866.351268664</v>
      </c>
      <c r="AP77" s="12">
        <v>1</v>
      </c>
    </row>
    <row r="78" spans="1:42" x14ac:dyDescent="0.3">
      <c r="A78">
        <v>74</v>
      </c>
      <c r="B78" t="str">
        <f>Summary!B78</f>
        <v>MarinusSnowyYallourn</v>
      </c>
      <c r="C78" t="str">
        <f>Summary!C78</f>
        <v>Wind</v>
      </c>
      <c r="D78" s="90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131969660.92109677</v>
      </c>
      <c r="H78" s="73">
        <f>SUMIFS(AM$5:AM78,$F$5:$F78,$F78,$D$5:$D78,$D78)</f>
        <v>-86627945.294822142</v>
      </c>
      <c r="I78" s="20">
        <f>SUMIFS(AN$5:AN78,$F$5:$F78,$F78,$D$5:$D78,$D78)</f>
        <v>93406515.347882673</v>
      </c>
      <c r="J78" s="73">
        <f t="shared" si="16"/>
        <v>93406515.347882673</v>
      </c>
      <c r="K78" s="73">
        <f t="shared" si="17"/>
        <v>225376176.26897943</v>
      </c>
      <c r="L78" s="73">
        <f t="shared" si="18"/>
        <v>138748230.9741573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75153133.580028355</v>
      </c>
      <c r="Q78" s="73">
        <f>P78/SUMIFS(FinParameters!$H$8:$H$39,FinParameters!$B$8:$B$39,Financials!$E78,FinParameters!$C$8:$C$39,Financials!$F78)</f>
        <v>26340714.846710093</v>
      </c>
      <c r="R78" s="73">
        <f t="shared" si="31"/>
        <v>14047517.231574802</v>
      </c>
      <c r="S78" s="12">
        <f t="shared" si="20"/>
        <v>0.22988913410952466</v>
      </c>
      <c r="T78" s="115">
        <f t="shared" si="21"/>
        <v>131969660.92109677</v>
      </c>
      <c r="U78" s="73">
        <f>T78/SUMIFS(FinParameters!$L$8:$L$39,FinParameters!$B$8:$B$39,Financials!$E78,FinParameters!$C$8:$C$39,Financials!$F78)</f>
        <v>100579988.47594827</v>
      </c>
      <c r="V78" s="73">
        <f t="shared" si="22"/>
        <v>100579988.47594827</v>
      </c>
      <c r="W78" s="12"/>
      <c r="X78" s="73">
        <f t="shared" si="23"/>
        <v>207122794.50112513</v>
      </c>
      <c r="Y78" s="73">
        <f t="shared" si="24"/>
        <v>126920703.32265836</v>
      </c>
      <c r="Z78" s="73">
        <f t="shared" si="24"/>
        <v>114627505.70752308</v>
      </c>
      <c r="AA78" s="12">
        <f t="shared" si="25"/>
        <v>1.8758914901350807</v>
      </c>
      <c r="AB78" s="115">
        <f t="shared" si="26"/>
        <v>-86627945.294822142</v>
      </c>
      <c r="AC78" s="73">
        <f>AB78/SUMIFS(FinParameters!$L$8:$L$39,FinParameters!$B$8:$B$39,Financials!$E78,FinParameters!$C$8:$C$39,Financials!$F78)</f>
        <v>-66023036.496681757</v>
      </c>
      <c r="AD78" s="73">
        <f t="shared" si="27"/>
        <v>-66023036.496681757</v>
      </c>
      <c r="AE78" s="12"/>
      <c r="AF78" s="73">
        <f t="shared" si="28"/>
        <v>120494849.20630299</v>
      </c>
      <c r="AG78" s="73">
        <f t="shared" si="29"/>
        <v>60897666.825976603</v>
      </c>
      <c r="AH78" s="73">
        <f t="shared" si="29"/>
        <v>48604469.21084132</v>
      </c>
      <c r="AI78" s="12">
        <f t="shared" si="30"/>
        <v>0.79541737920906175</v>
      </c>
      <c r="AL78" s="73">
        <f>Summary!G78</f>
        <v>9635499.1025566719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-12618135.336670522</v>
      </c>
      <c r="AN78" s="20">
        <f>Summary!I78</f>
        <v>9343268.0437815618</v>
      </c>
      <c r="AP78" s="12">
        <v>1</v>
      </c>
    </row>
    <row r="79" spans="1:42" x14ac:dyDescent="0.3">
      <c r="A79">
        <v>75</v>
      </c>
      <c r="B79" t="str">
        <f>Summary!B79</f>
        <v>MarinusSnowyYallourn</v>
      </c>
      <c r="C79" t="str">
        <f>Summary!C79</f>
        <v>Wind</v>
      </c>
      <c r="D79" s="90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77297347.574542508</v>
      </c>
      <c r="H79" s="73">
        <f>SUMIFS(AM$5:AM79,$F$5:$F79,$F79,$D$5:$D79,$D79)</f>
        <v>-35156416.685577378</v>
      </c>
      <c r="I79" s="20">
        <f>SUMIFS(AN$5:AN79,$F$5:$F79,$F79,$D$5:$D79,$D79)</f>
        <v>76367988.890804604</v>
      </c>
      <c r="J79" s="73">
        <f t="shared" si="16"/>
        <v>76367988.890804604</v>
      </c>
      <c r="K79" s="73">
        <f t="shared" si="17"/>
        <v>153665336.46534711</v>
      </c>
      <c r="L79" s="73">
        <f t="shared" si="18"/>
        <v>118508919.77976973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58114607.122950293</v>
      </c>
      <c r="Q79" s="73">
        <f>P79/SUMIFS(FinParameters!$H$8:$H$39,FinParameters!$B$8:$B$39,Financials!$E79,FinParameters!$C$8:$C$39,Financials!$F79)</f>
        <v>20368815.267351937</v>
      </c>
      <c r="R79" s="73">
        <f t="shared" si="31"/>
        <v>-2991009.2255032603</v>
      </c>
      <c r="S79" s="12">
        <f t="shared" si="20"/>
        <v>-4.8948188468423103E-2</v>
      </c>
      <c r="T79" s="115">
        <f t="shared" si="21"/>
        <v>77297347.574542508</v>
      </c>
      <c r="U79" s="73">
        <f>T79/SUMIFS(FinParameters!$L$8:$L$39,FinParameters!$B$8:$B$39,Financials!$E79,FinParameters!$C$8:$C$39,Financials!$F79)</f>
        <v>58911770.129629888</v>
      </c>
      <c r="V79" s="73">
        <f t="shared" si="22"/>
        <v>58911770.129629888</v>
      </c>
      <c r="W79" s="12"/>
      <c r="X79" s="73">
        <f t="shared" si="23"/>
        <v>135411954.69749281</v>
      </c>
      <c r="Y79" s="73">
        <f t="shared" si="24"/>
        <v>79280585.39698182</v>
      </c>
      <c r="Z79" s="73">
        <f t="shared" si="24"/>
        <v>55920760.904126629</v>
      </c>
      <c r="AA79" s="12">
        <f t="shared" si="25"/>
        <v>0.91514928161823317</v>
      </c>
      <c r="AB79" s="115">
        <f t="shared" si="26"/>
        <v>-35156416.685577378</v>
      </c>
      <c r="AC79" s="73">
        <f>AB79/SUMIFS(FinParameters!$L$8:$L$39,FinParameters!$B$8:$B$39,Financials!$E79,FinParameters!$C$8:$C$39,Financials!$F79)</f>
        <v>-26794279.536757797</v>
      </c>
      <c r="AD79" s="73">
        <f t="shared" si="27"/>
        <v>-26794279.536757797</v>
      </c>
      <c r="AE79" s="12"/>
      <c r="AF79" s="73">
        <f t="shared" si="28"/>
        <v>100255538.01191543</v>
      </c>
      <c r="AG79" s="73">
        <f t="shared" si="29"/>
        <v>52486305.860224023</v>
      </c>
      <c r="AH79" s="73">
        <f t="shared" si="29"/>
        <v>29126481.367368832</v>
      </c>
      <c r="AI79" s="12">
        <f t="shared" si="30"/>
        <v>0.47665800801804625</v>
      </c>
      <c r="AL79" s="73">
        <f>Summary!G79</f>
        <v>4604346.5847855303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-4965261.2896891618</v>
      </c>
      <c r="AN79" s="20">
        <f>Summary!I79</f>
        <v>7522851.8492468111</v>
      </c>
      <c r="AP79" s="12">
        <v>1</v>
      </c>
    </row>
    <row r="80" spans="1:42" x14ac:dyDescent="0.3">
      <c r="A80">
        <v>76</v>
      </c>
      <c r="B80" t="str">
        <f>Summary!B80</f>
        <v>MarinusSnowyYallourn</v>
      </c>
      <c r="C80" t="str">
        <f>Summary!C80</f>
        <v>Wind</v>
      </c>
      <c r="D80" s="90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39649248.478758372</v>
      </c>
      <c r="H80" s="73">
        <f>SUMIFS(AM$5:AM80,$F$5:$F80,$F80,$D$5:$D80,$D80)</f>
        <v>-179738.84458713888</v>
      </c>
      <c r="I80" s="20">
        <f>SUMIFS(AN$5:AN80,$F$5:$F80,$F80,$D$5:$D80,$D80)</f>
        <v>66343613.104241252</v>
      </c>
      <c r="J80" s="73">
        <f t="shared" si="16"/>
        <v>66343613.104241252</v>
      </c>
      <c r="K80" s="73">
        <f t="shared" si="17"/>
        <v>105992861.58299962</v>
      </c>
      <c r="L80" s="73">
        <f t="shared" si="18"/>
        <v>105813122.73841248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48090231.336386941</v>
      </c>
      <c r="Q80" s="73">
        <f>P80/SUMIFS(FinParameters!$H$8:$H$39,FinParameters!$B$8:$B$39,Financials!$E80,FinParameters!$C$8:$C$39,Financials!$F80)</f>
        <v>16855332.708052497</v>
      </c>
      <c r="R80" s="73">
        <f t="shared" si="31"/>
        <v>-13015385.012066612</v>
      </c>
      <c r="S80" s="12">
        <f t="shared" si="20"/>
        <v>-0.21299817905193263</v>
      </c>
      <c r="T80" s="115">
        <f t="shared" si="21"/>
        <v>39649248.478758372</v>
      </c>
      <c r="U80" s="73">
        <f>T80/SUMIFS(FinParameters!$L$8:$L$39,FinParameters!$B$8:$B$39,Financials!$E80,FinParameters!$C$8:$C$39,Financials!$F80)</f>
        <v>30218467.84510465</v>
      </c>
      <c r="V80" s="73">
        <f t="shared" si="22"/>
        <v>30218467.84510465</v>
      </c>
      <c r="W80" s="12"/>
      <c r="X80" s="73">
        <f t="shared" si="23"/>
        <v>87739479.815145314</v>
      </c>
      <c r="Y80" s="73">
        <f t="shared" si="24"/>
        <v>47073800.553157151</v>
      </c>
      <c r="Z80" s="73">
        <f t="shared" si="24"/>
        <v>17203082.83303804</v>
      </c>
      <c r="AA80" s="12">
        <f t="shared" si="25"/>
        <v>0.2815303054131359</v>
      </c>
      <c r="AB80" s="115">
        <f t="shared" si="26"/>
        <v>-179738.84458713888</v>
      </c>
      <c r="AC80" s="73">
        <f>AB80/SUMIFS(FinParameters!$L$8:$L$39,FinParameters!$B$8:$B$39,Financials!$E80,FinParameters!$C$8:$C$39,Financials!$F80)</f>
        <v>-136987.0225556115</v>
      </c>
      <c r="AD80" s="73">
        <f t="shared" si="27"/>
        <v>-136987.0225556115</v>
      </c>
      <c r="AE80" s="12"/>
      <c r="AF80" s="73">
        <f t="shared" si="28"/>
        <v>87559740.970558181</v>
      </c>
      <c r="AG80" s="73">
        <f t="shared" si="29"/>
        <v>46936813.530601539</v>
      </c>
      <c r="AH80" s="73">
        <f t="shared" si="29"/>
        <v>17066095.810482427</v>
      </c>
      <c r="AI80" s="12">
        <f t="shared" si="30"/>
        <v>0.27928849801896044</v>
      </c>
      <c r="AL80" s="73">
        <f>Summary!G80</f>
        <v>1123380.6811438939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-25182.659133829431</v>
      </c>
      <c r="AN80" s="20">
        <f>Summary!I80</f>
        <v>6569024.7974168696</v>
      </c>
      <c r="AP80" s="12">
        <v>1</v>
      </c>
    </row>
    <row r="81" spans="1:42" x14ac:dyDescent="0.3">
      <c r="A81">
        <v>77</v>
      </c>
      <c r="B81" t="str">
        <f>Summary!B81</f>
        <v>MarinusSnowyYallourn</v>
      </c>
      <c r="C81" t="str">
        <f>Summary!C81</f>
        <v>Wind</v>
      </c>
      <c r="D81" s="90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12235952.51538557</v>
      </c>
      <c r="H81" s="73">
        <f>SUMIFS(AM$5:AM81,$F$5:$F81,$F81,$D$5:$D81,$D81)</f>
        <v>32712461.765753284</v>
      </c>
      <c r="I81" s="20">
        <f>SUMIFS(AN$5:AN81,$F$5:$F81,$F81,$D$5:$D81,$D81)</f>
        <v>57421313.076518185</v>
      </c>
      <c r="J81" s="73">
        <f t="shared" si="16"/>
        <v>57421313.076518185</v>
      </c>
      <c r="K81" s="73">
        <f t="shared" si="17"/>
        <v>69657265.591903761</v>
      </c>
      <c r="L81" s="73">
        <f t="shared" si="18"/>
        <v>102369727.35765705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39167931.308663875</v>
      </c>
      <c r="Q81" s="73">
        <f>P81/SUMIFS(FinParameters!$H$8:$H$39,FinParameters!$B$8:$B$39,Financials!$E81,FinParameters!$C$8:$C$39,Financials!$F81)</f>
        <v>13728120.978992909</v>
      </c>
      <c r="R81" s="73">
        <f t="shared" si="31"/>
        <v>-21937685.039789677</v>
      </c>
      <c r="S81" s="12">
        <f t="shared" si="20"/>
        <v>-0.35901258101531075</v>
      </c>
      <c r="T81" s="115">
        <f t="shared" si="21"/>
        <v>12235952.51538557</v>
      </c>
      <c r="U81" s="73">
        <f>T81/SUMIFS(FinParameters!$L$8:$L$39,FinParameters!$B$8:$B$39,Financials!$E81,FinParameters!$C$8:$C$39,Financials!$F81)</f>
        <v>9325567.3644986339</v>
      </c>
      <c r="V81" s="73">
        <f t="shared" si="22"/>
        <v>9325567.3644986339</v>
      </c>
      <c r="W81" s="12"/>
      <c r="X81" s="73">
        <f t="shared" si="23"/>
        <v>51403883.82404945</v>
      </c>
      <c r="Y81" s="73">
        <f t="shared" si="24"/>
        <v>23053688.343491543</v>
      </c>
      <c r="Z81" s="73">
        <f t="shared" si="24"/>
        <v>-12612117.675291043</v>
      </c>
      <c r="AA81" s="12">
        <f t="shared" si="25"/>
        <v>-0.20639866560498621</v>
      </c>
      <c r="AB81" s="115">
        <f t="shared" si="26"/>
        <v>32712461.765753284</v>
      </c>
      <c r="AC81" s="73">
        <f>AB81/SUMIFS(FinParameters!$L$8:$L$39,FinParameters!$B$8:$B$39,Financials!$E81,FinParameters!$C$8:$C$39,Financials!$F81)</f>
        <v>24931632.046751641</v>
      </c>
      <c r="AD81" s="73">
        <f t="shared" si="27"/>
        <v>24931632.046751641</v>
      </c>
      <c r="AE81" s="12"/>
      <c r="AF81" s="73">
        <f t="shared" si="28"/>
        <v>84116345.589802742</v>
      </c>
      <c r="AG81" s="73">
        <f t="shared" si="29"/>
        <v>47985320.390243188</v>
      </c>
      <c r="AH81" s="73">
        <f t="shared" si="29"/>
        <v>12319514.371460598</v>
      </c>
      <c r="AI81" s="12">
        <f t="shared" si="30"/>
        <v>0.20161018098907332</v>
      </c>
      <c r="AL81" s="73">
        <f>Summary!G81</f>
        <v>-1804927.3843646443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4625156.8731956799</v>
      </c>
      <c r="AN81" s="20">
        <f>Summary!I81</f>
        <v>5702069.8748870669</v>
      </c>
      <c r="AP81" s="12">
        <v>1</v>
      </c>
    </row>
    <row r="82" spans="1:42" x14ac:dyDescent="0.3">
      <c r="A82">
        <v>78</v>
      </c>
      <c r="B82" t="str">
        <f>Summary!B82</f>
        <v>MarinusSnowyYallourn</v>
      </c>
      <c r="C82" t="str">
        <f>Summary!C82</f>
        <v>Wind</v>
      </c>
      <c r="D82" s="90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-18708094.907644577</v>
      </c>
      <c r="H82" s="73">
        <f>SUMIFS(AM$5:AM82,$F$5:$F82,$F82,$D$5:$D82,$D82)</f>
        <v>76430710.079100028</v>
      </c>
      <c r="I82" s="20">
        <f>SUMIFS(AN$5:AN82,$F$5:$F82,$F82,$D$5:$D82,$D82)</f>
        <v>45967097.374450512</v>
      </c>
      <c r="J82" s="73">
        <f t="shared" si="16"/>
        <v>45967097.374450512</v>
      </c>
      <c r="K82" s="73">
        <f t="shared" si="17"/>
        <v>27259002.466805935</v>
      </c>
      <c r="L82" s="73">
        <f t="shared" si="18"/>
        <v>103689712.54590596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27713715.606596202</v>
      </c>
      <c r="Q82" s="73">
        <f>P82/SUMIFS(FinParameters!$H$8:$H$39,FinParameters!$B$8:$B$39,Financials!$E82,FinParameters!$C$8:$C$39,Financials!$F82)</f>
        <v>9713488.2520742174</v>
      </c>
      <c r="R82" s="73">
        <f t="shared" si="31"/>
        <v>-33391900.74185735</v>
      </c>
      <c r="S82" s="12">
        <f t="shared" si="20"/>
        <v>-0.54646205598255826</v>
      </c>
      <c r="T82" s="115">
        <f t="shared" si="21"/>
        <v>-18708094.907644577</v>
      </c>
      <c r="U82" s="73">
        <f>T82/SUMIFS(FinParameters!$L$8:$L$39,FinParameters!$B$8:$B$39,Financials!$E82,FinParameters!$C$8:$C$39,Financials!$F82)</f>
        <v>-14258276.918229427</v>
      </c>
      <c r="V82" s="73">
        <f t="shared" si="22"/>
        <v>-14258276.918229427</v>
      </c>
      <c r="W82" s="12"/>
      <c r="X82" s="73">
        <f t="shared" si="23"/>
        <v>9005620.6989516243</v>
      </c>
      <c r="Y82" s="73">
        <f t="shared" si="24"/>
        <v>-4544788.6661552098</v>
      </c>
      <c r="Z82" s="73">
        <f t="shared" si="24"/>
        <v>-47650177.660086781</v>
      </c>
      <c r="AA82" s="12">
        <f t="shared" si="25"/>
        <v>-0.77980029508846782</v>
      </c>
      <c r="AB82" s="115">
        <f t="shared" si="26"/>
        <v>76430710.079100028</v>
      </c>
      <c r="AC82" s="73">
        <f>AB82/SUMIFS(FinParameters!$L$8:$L$39,FinParameters!$B$8:$B$39,Financials!$E82,FinParameters!$C$8:$C$39,Financials!$F82)</f>
        <v>58251266.884444274</v>
      </c>
      <c r="AD82" s="73">
        <f t="shared" si="27"/>
        <v>58251266.884444274</v>
      </c>
      <c r="AE82" s="12"/>
      <c r="AF82" s="73">
        <f t="shared" si="28"/>
        <v>85436330.778051645</v>
      </c>
      <c r="AG82" s="73">
        <f t="shared" si="29"/>
        <v>53706478.218289062</v>
      </c>
      <c r="AH82" s="73">
        <f t="shared" si="29"/>
        <v>10601089.224357493</v>
      </c>
      <c r="AI82" s="12">
        <f t="shared" si="30"/>
        <v>0.17348796817472545</v>
      </c>
      <c r="AL82" s="73">
        <f>Summary!G82</f>
        <v>-4880119.1157569261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10667890.611103425</v>
      </c>
      <c r="AN82" s="20">
        <f>Summary!I82</f>
        <v>4589121.5903195729</v>
      </c>
      <c r="AP82" s="12">
        <v>1</v>
      </c>
    </row>
    <row r="83" spans="1:42" x14ac:dyDescent="0.3">
      <c r="A83">
        <v>79</v>
      </c>
      <c r="B83" t="str">
        <f>Summary!B83</f>
        <v>MarinusSnowyYallourn</v>
      </c>
      <c r="C83" t="str">
        <f>Summary!C83</f>
        <v>Wind</v>
      </c>
      <c r="D83" s="90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-61594377.612973183</v>
      </c>
      <c r="H83" s="73">
        <f>SUMIFS(AM$5:AM83,$F$5:$F83,$F83,$D$5:$D83,$D83)</f>
        <v>163615411.75498337</v>
      </c>
      <c r="I83" s="20">
        <f>SUMIFS(AN$5:AN83,$F$5:$F83,$F83,$D$5:$D83,$D83)</f>
        <v>27067981.066204328</v>
      </c>
      <c r="J83" s="73">
        <f t="shared" si="16"/>
        <v>27067981.066204328</v>
      </c>
      <c r="K83" s="73">
        <f t="shared" si="17"/>
        <v>-34526396.546768859</v>
      </c>
      <c r="L83" s="73">
        <f t="shared" si="18"/>
        <v>129089015.20821451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8814599.2983500175</v>
      </c>
      <c r="Q83" s="73">
        <f>P83/SUMIFS(FinParameters!$H$8:$H$39,FinParameters!$B$8:$B$39,Financials!$E83,FinParameters!$C$8:$C$39,Financials!$F83)</f>
        <v>3089463.2804446407</v>
      </c>
      <c r="R83" s="73">
        <f t="shared" si="31"/>
        <v>-52291017.05010353</v>
      </c>
      <c r="S83" s="12">
        <f t="shared" si="20"/>
        <v>-0.85574813208519251</v>
      </c>
      <c r="T83" s="115">
        <f t="shared" si="21"/>
        <v>-61594377.612973183</v>
      </c>
      <c r="U83" s="73">
        <f>T83/SUMIFS(FinParameters!$L$8:$L$39,FinParameters!$B$8:$B$39,Financials!$E83,FinParameters!$C$8:$C$39,Financials!$F83)</f>
        <v>-46943833.508824952</v>
      </c>
      <c r="V83" s="73">
        <f t="shared" si="22"/>
        <v>-46943833.508824952</v>
      </c>
      <c r="W83" s="12"/>
      <c r="X83" s="73">
        <f t="shared" si="23"/>
        <v>-52779778.31462317</v>
      </c>
      <c r="Y83" s="73">
        <f t="shared" si="24"/>
        <v>-43854370.228380308</v>
      </c>
      <c r="Z83" s="73">
        <f t="shared" si="24"/>
        <v>-99234850.55892849</v>
      </c>
      <c r="AA83" s="12">
        <f t="shared" si="25"/>
        <v>-1.6239890289796561</v>
      </c>
      <c r="AB83" s="115">
        <f t="shared" si="26"/>
        <v>163615411.75498337</v>
      </c>
      <c r="AC83" s="73">
        <f>AB83/SUMIFS(FinParameters!$L$8:$L$39,FinParameters!$B$8:$B$39,Financials!$E83,FinParameters!$C$8:$C$39,Financials!$F83)</f>
        <v>124698632.35189247</v>
      </c>
      <c r="AD83" s="73">
        <f t="shared" si="27"/>
        <v>124698632.35189247</v>
      </c>
      <c r="AE83" s="12"/>
      <c r="AF83" s="73">
        <f t="shared" si="28"/>
        <v>110835633.44036019</v>
      </c>
      <c r="AG83" s="73">
        <f t="shared" si="29"/>
        <v>80844262.123512164</v>
      </c>
      <c r="AH83" s="73">
        <f t="shared" si="29"/>
        <v>25463781.792963982</v>
      </c>
      <c r="AI83" s="12">
        <f t="shared" si="30"/>
        <v>0.4167175345676456</v>
      </c>
      <c r="AL83" s="73">
        <f>Summary!G83</f>
        <v>-8930676.1942317523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22494452.416533232</v>
      </c>
      <c r="AN83" s="20">
        <f>Summary!I83</f>
        <v>2608645.0373695013</v>
      </c>
      <c r="AP83" s="12">
        <v>1</v>
      </c>
    </row>
    <row r="84" spans="1:42" x14ac:dyDescent="0.3">
      <c r="A84">
        <v>80</v>
      </c>
      <c r="B84" t="str">
        <f>Summary!B84</f>
        <v>MarinusSnowyYallourn</v>
      </c>
      <c r="C84" t="str">
        <f>Summary!C84</f>
        <v>Wind</v>
      </c>
      <c r="D84" s="90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46656332.41172415</v>
      </c>
      <c r="H84" s="73">
        <f>SUMIFS(AM$5:AM84,$F$5:$F84,$F84,$D$5:$D84,$D84)</f>
        <v>-2023429.2533189668</v>
      </c>
      <c r="I84" s="20">
        <f>SUMIFS(AN$5:AN84,$F$5:$F84,$F84,$D$5:$D84,$D84)</f>
        <v>67535277.841649055</v>
      </c>
      <c r="J84" s="73">
        <f t="shared" si="16"/>
        <v>67535277.841649055</v>
      </c>
      <c r="K84" s="73">
        <f t="shared" si="17"/>
        <v>114191610.25337321</v>
      </c>
      <c r="L84" s="73">
        <f t="shared" si="18"/>
        <v>112168181.00005424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49281896.073794745</v>
      </c>
      <c r="Q84" s="73">
        <f>P84/SUMIFS(FinParameters!$H$8:$H$39,FinParameters!$B$8:$B$39,Financials!$E84,FinParameters!$C$8:$C$39,Financials!$F84)</f>
        <v>17273003.92874103</v>
      </c>
      <c r="R84" s="73">
        <f t="shared" si="31"/>
        <v>-11823720.274658808</v>
      </c>
      <c r="S84" s="12">
        <f t="shared" si="20"/>
        <v>-0.1934964571379868</v>
      </c>
      <c r="T84" s="115">
        <f t="shared" si="21"/>
        <v>46656332.41172415</v>
      </c>
      <c r="U84" s="73">
        <f>T84/SUMIFS(FinParameters!$L$8:$L$39,FinParameters!$B$8:$B$39,Financials!$E84,FinParameters!$C$8:$C$39,Financials!$F84)</f>
        <v>35558880.302851863</v>
      </c>
      <c r="V84" s="73">
        <f t="shared" si="22"/>
        <v>35558880.302851863</v>
      </c>
      <c r="W84" s="12"/>
      <c r="X84" s="73">
        <f t="shared" si="23"/>
        <v>95938228.485518903</v>
      </c>
      <c r="Y84" s="73">
        <f t="shared" si="24"/>
        <v>52831884.231592894</v>
      </c>
      <c r="Z84" s="73">
        <f t="shared" si="24"/>
        <v>23735160.028193057</v>
      </c>
      <c r="AA84" s="12">
        <f t="shared" si="25"/>
        <v>0.38842845300575618</v>
      </c>
      <c r="AB84" s="115">
        <f t="shared" si="26"/>
        <v>-2023429.2533189668</v>
      </c>
      <c r="AC84" s="73">
        <f>AB84/SUMIFS(FinParameters!$L$8:$L$39,FinParameters!$B$8:$B$39,Financials!$E84,FinParameters!$C$8:$C$39,Financials!$F84)</f>
        <v>-1542146.0475101061</v>
      </c>
      <c r="AD84" s="73">
        <f t="shared" si="27"/>
        <v>-1542146.0475101061</v>
      </c>
      <c r="AE84" s="12"/>
      <c r="AF84" s="73">
        <f t="shared" si="28"/>
        <v>93914799.232199937</v>
      </c>
      <c r="AG84" s="73">
        <f t="shared" si="29"/>
        <v>51289738.184082791</v>
      </c>
      <c r="AH84" s="73">
        <f t="shared" si="29"/>
        <v>22193013.98068295</v>
      </c>
      <c r="AI84" s="12">
        <f t="shared" si="30"/>
        <v>0.36319106666280448</v>
      </c>
      <c r="AL84" s="73">
        <f>Summary!G84</f>
        <v>1593983.8443763542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-342168.32124371844</v>
      </c>
      <c r="AN84" s="20">
        <f>Summary!I84</f>
        <v>6694038.4209893495</v>
      </c>
      <c r="AP84" s="12">
        <v>1</v>
      </c>
    </row>
    <row r="85" spans="1:42" x14ac:dyDescent="0.3">
      <c r="A85">
        <v>81</v>
      </c>
      <c r="B85" t="str">
        <f>Summary!B85</f>
        <v>MarinusSnowyYallourn</v>
      </c>
      <c r="C85" t="str">
        <f>Summary!C85</f>
        <v>Wind</v>
      </c>
      <c r="D85" s="90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238184810.38572177</v>
      </c>
      <c r="H85" s="73">
        <f>SUMIFS(AM$5:AM85,$F$5:$F85,$F85,$D$5:$D85,$D85)</f>
        <v>-235469249.33143392</v>
      </c>
      <c r="I85" s="20">
        <f>SUMIFS(AN$5:AN85,$F$5:$F85,$F85,$D$5:$D85,$D85)</f>
        <v>141482175.38009781</v>
      </c>
      <c r="J85" s="73">
        <f t="shared" si="16"/>
        <v>141482175.38009781</v>
      </c>
      <c r="K85" s="73">
        <f t="shared" si="17"/>
        <v>379666985.76581955</v>
      </c>
      <c r="L85" s="73">
        <f t="shared" si="18"/>
        <v>144197736.43438566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120208709.06804714</v>
      </c>
      <c r="Q85" s="73">
        <f>P85/SUMIFS(FinParameters!$H$8:$H$39,FinParameters!$B$8:$B$39,Financials!$E85,FinParameters!$C$8:$C$39,Financials!$F85)</f>
        <v>38302199.266258202</v>
      </c>
      <c r="R85" s="73">
        <f t="shared" si="31"/>
        <v>57139629.754471734</v>
      </c>
      <c r="S85" s="12">
        <f t="shared" si="20"/>
        <v>0.90598484037442772</v>
      </c>
      <c r="T85" s="115">
        <f t="shared" si="21"/>
        <v>238184810.38572177</v>
      </c>
      <c r="U85" s="73">
        <f>T85/SUMIFS(FinParameters!$L$8:$L$39,FinParameters!$B$8:$B$39,Financials!$E85,FinParameters!$C$8:$C$39,Financials!$F85)</f>
        <v>177103717.49070439</v>
      </c>
      <c r="V85" s="73">
        <f t="shared" si="22"/>
        <v>177103717.49070439</v>
      </c>
      <c r="W85" s="12"/>
      <c r="X85" s="73">
        <f t="shared" si="23"/>
        <v>358393519.45376891</v>
      </c>
      <c r="Y85" s="73">
        <f t="shared" si="24"/>
        <v>215405916.7569626</v>
      </c>
      <c r="Z85" s="73">
        <f t="shared" si="24"/>
        <v>234243347.24517614</v>
      </c>
      <c r="AA85" s="12">
        <f t="shared" si="25"/>
        <v>3.7140758957417677</v>
      </c>
      <c r="AB85" s="115">
        <f t="shared" si="26"/>
        <v>-235469249.33143392</v>
      </c>
      <c r="AC85" s="73">
        <f>AB85/SUMIFS(FinParameters!$L$8:$L$39,FinParameters!$B$8:$B$39,Financials!$E85,FinParameters!$C$8:$C$39,Financials!$F85)</f>
        <v>-175084546.08758882</v>
      </c>
      <c r="AD85" s="73">
        <f t="shared" si="27"/>
        <v>-175084546.08758882</v>
      </c>
      <c r="AE85" s="12"/>
      <c r="AF85" s="73">
        <f t="shared" si="28"/>
        <v>122924270.12233499</v>
      </c>
      <c r="AG85" s="73">
        <f t="shared" si="29"/>
        <v>40321370.66937378</v>
      </c>
      <c r="AH85" s="73">
        <f t="shared" si="29"/>
        <v>59158801.15758732</v>
      </c>
      <c r="AI85" s="12">
        <f t="shared" si="30"/>
        <v>0.93800007549584752</v>
      </c>
      <c r="AL85" s="73">
        <f>Summary!G85</f>
        <v>15585977.455912219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-30214945.037636556</v>
      </c>
      <c r="AN85" s="20">
        <f>Summary!I85</f>
        <v>12590102.618491413</v>
      </c>
      <c r="AP85" s="12">
        <v>1</v>
      </c>
    </row>
    <row r="86" spans="1:42" x14ac:dyDescent="0.3">
      <c r="A86">
        <v>82</v>
      </c>
      <c r="B86" t="str">
        <f>Summary!B86</f>
        <v>MarinusSnowyYallourn</v>
      </c>
      <c r="C86" t="str">
        <f>Summary!C86</f>
        <v>Wind</v>
      </c>
      <c r="D86" s="90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138206406.08021134</v>
      </c>
      <c r="H86" s="73">
        <f>SUMIFS(AM$5:AM86,$F$5:$F86,$F86,$D$5:$D86,$D86)</f>
        <v>-98508214.752740681</v>
      </c>
      <c r="I86" s="20">
        <f>SUMIFS(AN$5:AN86,$F$5:$F86,$F86,$D$5:$D86,$D86)</f>
        <v>102166351.08251493</v>
      </c>
      <c r="J86" s="73">
        <f t="shared" si="16"/>
        <v>102166351.08251493</v>
      </c>
      <c r="K86" s="73">
        <f t="shared" si="17"/>
        <v>240372757.16272628</v>
      </c>
      <c r="L86" s="73">
        <f t="shared" si="18"/>
        <v>141864542.4099856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80892884.770464256</v>
      </c>
      <c r="Q86" s="73">
        <f>P86/SUMIFS(FinParameters!$H$8:$H$39,FinParameters!$B$8:$B$39,Financials!$E86,FinParameters!$C$8:$C$39,Financials!$F86)</f>
        <v>25774966.021362666</v>
      </c>
      <c r="R86" s="73">
        <f t="shared" si="31"/>
        <v>17823805.456888855</v>
      </c>
      <c r="S86" s="12">
        <f t="shared" si="20"/>
        <v>0.2826076684625447</v>
      </c>
      <c r="T86" s="115">
        <f t="shared" si="21"/>
        <v>138206406.08021134</v>
      </c>
      <c r="U86" s="73">
        <f>T86/SUMIFS(FinParameters!$L$8:$L$39,FinParameters!$B$8:$B$39,Financials!$E86,FinParameters!$C$8:$C$39,Financials!$F86)</f>
        <v>102764186.59190287</v>
      </c>
      <c r="V86" s="73">
        <f t="shared" si="22"/>
        <v>102764186.59190287</v>
      </c>
      <c r="W86" s="12"/>
      <c r="X86" s="73">
        <f t="shared" si="23"/>
        <v>219099290.85067561</v>
      </c>
      <c r="Y86" s="73">
        <f t="shared" si="24"/>
        <v>128539152.61326553</v>
      </c>
      <c r="Z86" s="73">
        <f t="shared" si="24"/>
        <v>120587992.04879172</v>
      </c>
      <c r="AA86" s="12">
        <f t="shared" si="25"/>
        <v>1.9119986110663831</v>
      </c>
      <c r="AB86" s="115">
        <f t="shared" si="26"/>
        <v>-98508214.752740681</v>
      </c>
      <c r="AC86" s="73">
        <f>AB86/SUMIFS(FinParameters!$L$8:$L$39,FinParameters!$B$8:$B$39,Financials!$E86,FinParameters!$C$8:$C$39,Financials!$F86)</f>
        <v>-73246362.804707423</v>
      </c>
      <c r="AD86" s="73">
        <f t="shared" si="27"/>
        <v>-73246362.804707423</v>
      </c>
      <c r="AE86" s="12"/>
      <c r="AF86" s="73">
        <f t="shared" si="28"/>
        <v>120591076.09793493</v>
      </c>
      <c r="AG86" s="73">
        <f t="shared" si="29"/>
        <v>55292789.808558106</v>
      </c>
      <c r="AH86" s="73">
        <f t="shared" si="29"/>
        <v>47341629.244084299</v>
      </c>
      <c r="AI86" s="12">
        <f t="shared" si="30"/>
        <v>0.75063136737266711</v>
      </c>
      <c r="AL86" s="73">
        <f>Summary!G86</f>
        <v>6236745.1591145787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-11880269.457918543</v>
      </c>
      <c r="AN86" s="20">
        <f>Summary!I86</f>
        <v>8759835.7346322481</v>
      </c>
      <c r="AP86" s="12">
        <v>1</v>
      </c>
    </row>
    <row r="87" spans="1:42" x14ac:dyDescent="0.3">
      <c r="A87">
        <v>83</v>
      </c>
      <c r="B87" t="str">
        <f>Summary!B87</f>
        <v>MarinusSnowyYallourn</v>
      </c>
      <c r="C87" t="str">
        <f>Summary!C87</f>
        <v>Wind</v>
      </c>
      <c r="D87" s="90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79234214.165989086</v>
      </c>
      <c r="H87" s="73">
        <f>SUMIFS(AM$5:AM87,$F$5:$F87,$F87,$D$5:$D87,$D87)</f>
        <v>-40042443.214700863</v>
      </c>
      <c r="I87" s="20">
        <f>SUMIFS(AN$5:AN87,$F$5:$F87,$F87,$D$5:$D87,$D87)</f>
        <v>83574544.870083034</v>
      </c>
      <c r="J87" s="73">
        <f t="shared" si="16"/>
        <v>83574544.870083034</v>
      </c>
      <c r="K87" s="73">
        <f t="shared" si="17"/>
        <v>162808759.03607213</v>
      </c>
      <c r="L87" s="73">
        <f t="shared" si="18"/>
        <v>122766315.82137126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62301078.558032364</v>
      </c>
      <c r="Q87" s="73">
        <f>P87/SUMIFS(FinParameters!$H$8:$H$39,FinParameters!$B$8:$B$39,Financials!$E87,FinParameters!$C$8:$C$39,Financials!$F87)</f>
        <v>19851043.605183009</v>
      </c>
      <c r="R87" s="73">
        <f t="shared" si="31"/>
        <v>-768000.75554303639</v>
      </c>
      <c r="S87" s="12">
        <f t="shared" si="20"/>
        <v>-1.217713598964377E-2</v>
      </c>
      <c r="T87" s="115">
        <f t="shared" si="21"/>
        <v>79234214.165989086</v>
      </c>
      <c r="U87" s="73">
        <f>T87/SUMIFS(FinParameters!$L$8:$L$39,FinParameters!$B$8:$B$39,Financials!$E87,FinParameters!$C$8:$C$39,Financials!$F87)</f>
        <v>58915066.240061551</v>
      </c>
      <c r="V87" s="73">
        <f t="shared" si="22"/>
        <v>58915066.240061551</v>
      </c>
      <c r="W87" s="12"/>
      <c r="X87" s="73">
        <f t="shared" si="23"/>
        <v>141535292.72402146</v>
      </c>
      <c r="Y87" s="73">
        <f t="shared" si="24"/>
        <v>78766109.845244557</v>
      </c>
      <c r="Z87" s="73">
        <f t="shared" si="24"/>
        <v>58147065.484518513</v>
      </c>
      <c r="AA87" s="12">
        <f t="shared" si="25"/>
        <v>0.92195836878187243</v>
      </c>
      <c r="AB87" s="115">
        <f t="shared" si="26"/>
        <v>-40042443.214700863</v>
      </c>
      <c r="AC87" s="73">
        <f>AB87/SUMIFS(FinParameters!$L$8:$L$39,FinParameters!$B$8:$B$39,Financials!$E87,FinParameters!$C$8:$C$39,Financials!$F87)</f>
        <v>-29773794.303883415</v>
      </c>
      <c r="AD87" s="73">
        <f t="shared" si="27"/>
        <v>-29773794.303883415</v>
      </c>
      <c r="AE87" s="12"/>
      <c r="AF87" s="73">
        <f t="shared" si="28"/>
        <v>101492849.5093206</v>
      </c>
      <c r="AG87" s="73">
        <f t="shared" si="29"/>
        <v>48992315.541361138</v>
      </c>
      <c r="AH87" s="73">
        <f t="shared" si="29"/>
        <v>28373271.180635098</v>
      </c>
      <c r="AI87" s="12">
        <f t="shared" si="30"/>
        <v>0.4498760960115657</v>
      </c>
      <c r="AL87" s="73">
        <f>Summary!G87</f>
        <v>1936866.5914465815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-4886026.5291234851</v>
      </c>
      <c r="AN87" s="20">
        <f>Summary!I87</f>
        <v>7206555.9792784369</v>
      </c>
      <c r="AP87" s="12">
        <v>1</v>
      </c>
    </row>
    <row r="88" spans="1:42" x14ac:dyDescent="0.3">
      <c r="A88">
        <v>84</v>
      </c>
      <c r="B88" t="str">
        <f>Summary!B88</f>
        <v>MarinusSnowyYallourn</v>
      </c>
      <c r="C88" t="str">
        <f>Summary!C88</f>
        <v>Wind</v>
      </c>
      <c r="D88" s="90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38391985.021170579</v>
      </c>
      <c r="H88" s="73">
        <f>SUMIFS(AM$5:AM88,$F$5:$F88,$F88,$D$5:$D88,$D88)</f>
        <v>-199259.15780110896</v>
      </c>
      <c r="I88" s="20">
        <f>SUMIFS(AN$5:AN88,$F$5:$F88,$F88,$D$5:$D88,$D88)</f>
        <v>72568139.192971885</v>
      </c>
      <c r="J88" s="73">
        <f t="shared" si="16"/>
        <v>72568139.192971885</v>
      </c>
      <c r="K88" s="73">
        <f t="shared" si="17"/>
        <v>110960124.21414247</v>
      </c>
      <c r="L88" s="73">
        <f t="shared" si="18"/>
        <v>110760865.05634135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51294672.880921215</v>
      </c>
      <c r="Q88" s="73">
        <f>P88/SUMIFS(FinParameters!$H$8:$H$39,FinParameters!$B$8:$B$39,Financials!$E88,FinParameters!$C$8:$C$39,Financials!$F88)</f>
        <v>16344063.564233173</v>
      </c>
      <c r="R88" s="73">
        <f t="shared" si="31"/>
        <v>-11774406.432654185</v>
      </c>
      <c r="S88" s="12">
        <f t="shared" si="20"/>
        <v>-0.18669063447260098</v>
      </c>
      <c r="T88" s="115">
        <f t="shared" si="21"/>
        <v>38391985.021170579</v>
      </c>
      <c r="U88" s="73">
        <f>T88/SUMIFS(FinParameters!$L$8:$L$39,FinParameters!$B$8:$B$39,Financials!$E88,FinParameters!$C$8:$C$39,Financials!$F88)</f>
        <v>28546586.401062723</v>
      </c>
      <c r="V88" s="73">
        <f t="shared" si="22"/>
        <v>28546586.401062723</v>
      </c>
      <c r="W88" s="12"/>
      <c r="X88" s="73">
        <f t="shared" si="23"/>
        <v>89686657.902091801</v>
      </c>
      <c r="Y88" s="73">
        <f t="shared" si="24"/>
        <v>44890649.965295896</v>
      </c>
      <c r="Z88" s="73">
        <f t="shared" si="24"/>
        <v>16772179.968408538</v>
      </c>
      <c r="AA88" s="12">
        <f t="shared" si="25"/>
        <v>0.26593348358580499</v>
      </c>
      <c r="AB88" s="115">
        <f t="shared" si="26"/>
        <v>-199259.15780110896</v>
      </c>
      <c r="AC88" s="73">
        <f>AB88/SUMIFS(FinParameters!$L$8:$L$39,FinParameters!$B$8:$B$39,Financials!$E88,FinParameters!$C$8:$C$39,Financials!$F88)</f>
        <v>-148160.3194321864</v>
      </c>
      <c r="AD88" s="73">
        <f t="shared" si="27"/>
        <v>-148160.3194321864</v>
      </c>
      <c r="AE88" s="12"/>
      <c r="AF88" s="73">
        <f t="shared" si="28"/>
        <v>89487398.744290695</v>
      </c>
      <c r="AG88" s="73">
        <f t="shared" si="29"/>
        <v>44742489.645863712</v>
      </c>
      <c r="AH88" s="73">
        <f t="shared" si="29"/>
        <v>16624019.648976352</v>
      </c>
      <c r="AI88" s="12">
        <f t="shared" si="30"/>
        <v>0.26358430834740421</v>
      </c>
      <c r="AL88" s="73">
        <f>Summary!G88</f>
        <v>-1257263.4575877923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-19520.313213970068</v>
      </c>
      <c r="AN88" s="20">
        <f>Summary!I88</f>
        <v>6224526.0887306361</v>
      </c>
      <c r="AP88" s="12">
        <v>1</v>
      </c>
    </row>
    <row r="89" spans="1:42" x14ac:dyDescent="0.3">
      <c r="A89">
        <v>85</v>
      </c>
      <c r="B89" t="str">
        <f>Summary!B89</f>
        <v>MarinusSnowyYallourn</v>
      </c>
      <c r="C89" t="str">
        <f>Summary!C89</f>
        <v>Wind</v>
      </c>
      <c r="D89" s="90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8173597.1139132846</v>
      </c>
      <c r="H89" s="73">
        <f>SUMIFS(AM$5:AM89,$F$5:$F89,$F89,$D$5:$D89,$D89)</f>
        <v>37020343.565872841</v>
      </c>
      <c r="I89" s="20">
        <f>SUMIFS(AN$5:AN89,$F$5:$F89,$F89,$D$5:$D89,$D89)</f>
        <v>62781145.360694587</v>
      </c>
      <c r="J89" s="73">
        <f t="shared" si="16"/>
        <v>62781145.360694587</v>
      </c>
      <c r="K89" s="73">
        <f t="shared" si="17"/>
        <v>70954742.47460787</v>
      </c>
      <c r="L89" s="73">
        <f t="shared" si="18"/>
        <v>107975086.0404807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41507679.048643917</v>
      </c>
      <c r="Q89" s="73">
        <f>P89/SUMIFS(FinParameters!$H$8:$H$39,FinParameters!$B$8:$B$39,Financials!$E89,FinParameters!$C$8:$C$39,Financials!$F89)</f>
        <v>13225625.716528442</v>
      </c>
      <c r="R89" s="73">
        <f t="shared" si="31"/>
        <v>-21561400.264931485</v>
      </c>
      <c r="S89" s="12">
        <f t="shared" si="20"/>
        <v>-0.34186958965628134</v>
      </c>
      <c r="T89" s="115">
        <f t="shared" si="21"/>
        <v>8173597.1139132846</v>
      </c>
      <c r="U89" s="73">
        <f>T89/SUMIFS(FinParameters!$L$8:$L$39,FinParameters!$B$8:$B$39,Financials!$E89,FinParameters!$C$8:$C$39,Financials!$F89)</f>
        <v>6077526.2360395733</v>
      </c>
      <c r="V89" s="73">
        <f t="shared" si="22"/>
        <v>6077526.2360395733</v>
      </c>
      <c r="W89" s="12"/>
      <c r="X89" s="73">
        <f t="shared" si="23"/>
        <v>49681276.1625572</v>
      </c>
      <c r="Y89" s="73">
        <f t="shared" si="24"/>
        <v>19303151.952568017</v>
      </c>
      <c r="Z89" s="73">
        <f t="shared" si="24"/>
        <v>-15483874.028891912</v>
      </c>
      <c r="AA89" s="12">
        <f t="shared" si="25"/>
        <v>-0.24550658099680014</v>
      </c>
      <c r="AB89" s="115">
        <f t="shared" si="26"/>
        <v>37020343.565872841</v>
      </c>
      <c r="AC89" s="73">
        <f>AB89/SUMIFS(FinParameters!$L$8:$L$39,FinParameters!$B$8:$B$39,Financials!$E89,FinParameters!$C$8:$C$39,Financials!$F89)</f>
        <v>27526694.324803978</v>
      </c>
      <c r="AD89" s="73">
        <f t="shared" si="27"/>
        <v>27526694.324803978</v>
      </c>
      <c r="AE89" s="12"/>
      <c r="AF89" s="73">
        <f t="shared" si="28"/>
        <v>86701619.728430033</v>
      </c>
      <c r="AG89" s="73">
        <f t="shared" si="29"/>
        <v>46829846.277371995</v>
      </c>
      <c r="AH89" s="73">
        <f t="shared" si="29"/>
        <v>12042820.295912066</v>
      </c>
      <c r="AI89" s="12">
        <f t="shared" si="30"/>
        <v>0.19094650543471453</v>
      </c>
      <c r="AL89" s="73">
        <f>Summary!G89</f>
        <v>-4062355.4014722859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4307881.8001195546</v>
      </c>
      <c r="AN89" s="20">
        <f>Summary!I89</f>
        <v>5359832.2841764055</v>
      </c>
      <c r="AP89" s="12">
        <v>1</v>
      </c>
    </row>
    <row r="90" spans="1:42" x14ac:dyDescent="0.3">
      <c r="A90">
        <v>86</v>
      </c>
      <c r="B90" t="str">
        <f>Summary!B90</f>
        <v>MarinusSnowyYallourn</v>
      </c>
      <c r="C90" t="str">
        <f>Summary!C90</f>
        <v>Wind</v>
      </c>
      <c r="D90" s="90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-25768778.207015041</v>
      </c>
      <c r="H90" s="73">
        <f>SUMIFS(AM$5:AM90,$F$5:$F90,$F90,$D$5:$D90,$D90)</f>
        <v>86665670.500902191</v>
      </c>
      <c r="I90" s="20">
        <f>SUMIFS(AN$5:AN90,$F$5:$F90,$F90,$D$5:$D90,$D90)</f>
        <v>50233998.68959225</v>
      </c>
      <c r="J90" s="73">
        <f t="shared" si="16"/>
        <v>50233998.68959225</v>
      </c>
      <c r="K90" s="73">
        <f t="shared" si="17"/>
        <v>24465220.482577208</v>
      </c>
      <c r="L90" s="73">
        <f t="shared" si="18"/>
        <v>111130890.98347941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28960532.377541583</v>
      </c>
      <c r="Q90" s="73">
        <f>P90/SUMIFS(FinParameters!$H$8:$H$39,FinParameters!$B$8:$B$39,Financials!$E90,FinParameters!$C$8:$C$39,Financials!$F90)</f>
        <v>9227718.1127833277</v>
      </c>
      <c r="R90" s="73">
        <f t="shared" si="31"/>
        <v>-34108546.936033815</v>
      </c>
      <c r="S90" s="12">
        <f t="shared" si="20"/>
        <v>-0.54081250760691013</v>
      </c>
      <c r="T90" s="115">
        <f t="shared" si="21"/>
        <v>-25768778.207015041</v>
      </c>
      <c r="U90" s="73">
        <f>T90/SUMIFS(FinParameters!$L$8:$L$39,FinParameters!$B$8:$B$39,Financials!$E90,FinParameters!$C$8:$C$39,Financials!$F90)</f>
        <v>-19160526.686253332</v>
      </c>
      <c r="V90" s="73">
        <f t="shared" si="22"/>
        <v>-19160526.686253332</v>
      </c>
      <c r="W90" s="12"/>
      <c r="X90" s="73">
        <f t="shared" si="23"/>
        <v>3191754.1705265418</v>
      </c>
      <c r="Y90" s="73">
        <f t="shared" si="24"/>
        <v>-9932808.5734700039</v>
      </c>
      <c r="Z90" s="73">
        <f t="shared" si="24"/>
        <v>-53269073.622287147</v>
      </c>
      <c r="AA90" s="12">
        <f t="shared" si="25"/>
        <v>-0.84461473359134898</v>
      </c>
      <c r="AB90" s="115">
        <f t="shared" si="26"/>
        <v>86665670.500902191</v>
      </c>
      <c r="AC90" s="73">
        <f>AB90/SUMIFS(FinParameters!$L$8:$L$39,FinParameters!$B$8:$B$39,Financials!$E90,FinParameters!$C$8:$C$39,Financials!$F90)</f>
        <v>64440769.332343429</v>
      </c>
      <c r="AD90" s="73">
        <f t="shared" si="27"/>
        <v>64440769.332343429</v>
      </c>
      <c r="AE90" s="12"/>
      <c r="AF90" s="73">
        <f t="shared" si="28"/>
        <v>89857424.67142874</v>
      </c>
      <c r="AG90" s="73">
        <f t="shared" si="29"/>
        <v>54507960.758873425</v>
      </c>
      <c r="AH90" s="73">
        <f t="shared" si="29"/>
        <v>11171695.710056283</v>
      </c>
      <c r="AI90" s="12">
        <f t="shared" si="30"/>
        <v>0.17713427612461774</v>
      </c>
      <c r="AL90" s="73">
        <f>Summary!G90</f>
        <v>-7060683.2993704639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10234960.421802163</v>
      </c>
      <c r="AN90" s="20">
        <f>Summary!I90</f>
        <v>4266901.3151417365</v>
      </c>
      <c r="AP90" s="12">
        <v>1</v>
      </c>
    </row>
    <row r="91" spans="1:42" x14ac:dyDescent="0.3">
      <c r="A91">
        <v>87</v>
      </c>
      <c r="B91" t="str">
        <f>Summary!B91</f>
        <v>MarinusSnowyYallourn</v>
      </c>
      <c r="C91" t="str">
        <f>Summary!C91</f>
        <v>Wind</v>
      </c>
      <c r="D91" s="90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-71914201.027078018</v>
      </c>
      <c r="H91" s="73">
        <f>SUMIFS(AM$5:AM91,$F$5:$F91,$F91,$D$5:$D91,$D91)</f>
        <v>184170008.32041308</v>
      </c>
      <c r="I91" s="20">
        <f>SUMIFS(AN$5:AN91,$F$5:$F91,$F91,$D$5:$D91,$D91)</f>
        <v>29872398.472663794</v>
      </c>
      <c r="J91" s="73">
        <f t="shared" si="16"/>
        <v>29872398.472663794</v>
      </c>
      <c r="K91" s="73">
        <f t="shared" si="17"/>
        <v>-42041802.554414228</v>
      </c>
      <c r="L91" s="73">
        <f t="shared" si="18"/>
        <v>142128205.76599887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8598932.1606131271</v>
      </c>
      <c r="Q91" s="73">
        <f>P91/SUMIFS(FinParameters!$H$8:$H$39,FinParameters!$B$8:$B$39,Financials!$E91,FinParameters!$C$8:$C$39,Financials!$F91)</f>
        <v>2739884.7857720428</v>
      </c>
      <c r="R91" s="73">
        <f t="shared" si="31"/>
        <v>-54470147.152962275</v>
      </c>
      <c r="S91" s="12">
        <f t="shared" si="20"/>
        <v>-0.86365851136244132</v>
      </c>
      <c r="T91" s="115">
        <f t="shared" si="21"/>
        <v>-71914201.027078018</v>
      </c>
      <c r="U91" s="73">
        <f>T91/SUMIFS(FinParameters!$L$8:$L$39,FinParameters!$B$8:$B$39,Financials!$E91,FinParameters!$C$8:$C$39,Financials!$F91)</f>
        <v>-53472227.392015241</v>
      </c>
      <c r="V91" s="73">
        <f t="shared" si="22"/>
        <v>-53472227.392015241</v>
      </c>
      <c r="W91" s="12"/>
      <c r="X91" s="73">
        <f t="shared" si="23"/>
        <v>-63315268.866464898</v>
      </c>
      <c r="Y91" s="73">
        <f t="shared" si="24"/>
        <v>-50732342.606243201</v>
      </c>
      <c r="Z91" s="73">
        <f t="shared" si="24"/>
        <v>-107942374.54497752</v>
      </c>
      <c r="AA91" s="12">
        <f t="shared" si="25"/>
        <v>-1.7114943760046817</v>
      </c>
      <c r="AB91" s="115">
        <f t="shared" si="26"/>
        <v>184170008.32041308</v>
      </c>
      <c r="AC91" s="73">
        <f>AB91/SUMIFS(FinParameters!$L$8:$L$39,FinParameters!$B$8:$B$39,Financials!$E91,FinParameters!$C$8:$C$39,Financials!$F91)</f>
        <v>136940693.53548661</v>
      </c>
      <c r="AD91" s="73">
        <f t="shared" si="27"/>
        <v>136940693.53548661</v>
      </c>
      <c r="AE91" s="12"/>
      <c r="AF91" s="73">
        <f t="shared" si="28"/>
        <v>120854739.45394818</v>
      </c>
      <c r="AG91" s="73">
        <f t="shared" si="29"/>
        <v>86208350.929243416</v>
      </c>
      <c r="AH91" s="73">
        <f t="shared" si="29"/>
        <v>28998318.990509093</v>
      </c>
      <c r="AI91" s="12">
        <f t="shared" si="30"/>
        <v>0.45978662295562167</v>
      </c>
      <c r="AL91" s="73">
        <f>Summary!G91</f>
        <v>-10319823.414104834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20554596.565429717</v>
      </c>
      <c r="AN91" s="20">
        <f>Summary!I91</f>
        <v>2804417.4064594656</v>
      </c>
      <c r="AP91" s="12">
        <v>1</v>
      </c>
    </row>
    <row r="92" spans="1:42" x14ac:dyDescent="0.3">
      <c r="A92">
        <v>88</v>
      </c>
      <c r="B92" t="str">
        <f>Summary!B92</f>
        <v>MarinusSnowyYallourn</v>
      </c>
      <c r="C92" t="str">
        <f>Summary!C92</f>
        <v>Wind</v>
      </c>
      <c r="D92" s="90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45724255.943281628</v>
      </c>
      <c r="H92" s="73">
        <f>SUMIFS(AM$5:AM92,$F$5:$F92,$F92,$D$5:$D92,$D92)</f>
        <v>-2391432.5967503022</v>
      </c>
      <c r="I92" s="20">
        <f>SUMIFS(AN$5:AN92,$F$5:$F92,$F92,$D$5:$D92,$D92)</f>
        <v>73868772.951058254</v>
      </c>
      <c r="J92" s="73">
        <f t="shared" si="16"/>
        <v>73868772.951058254</v>
      </c>
      <c r="K92" s="73">
        <f t="shared" si="17"/>
        <v>119593028.89433989</v>
      </c>
      <c r="L92" s="73">
        <f t="shared" si="18"/>
        <v>117201596.29758957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52595306.639007583</v>
      </c>
      <c r="Q92" s="73">
        <f>P92/SUMIFS(FinParameters!$H$8:$H$39,FinParameters!$B$8:$B$39,Financials!$E92,FinParameters!$C$8:$C$39,Financials!$F92)</f>
        <v>16758485.562113926</v>
      </c>
      <c r="R92" s="73">
        <f t="shared" si="31"/>
        <v>-10473772.674567817</v>
      </c>
      <c r="S92" s="12">
        <f t="shared" si="20"/>
        <v>-0.16606826655091783</v>
      </c>
      <c r="T92" s="115">
        <f t="shared" si="21"/>
        <v>45724255.943281628</v>
      </c>
      <c r="U92" s="73">
        <f>T92/SUMIFS(FinParameters!$L$8:$L$39,FinParameters!$B$8:$B$39,Financials!$E92,FinParameters!$C$8:$C$39,Financials!$F92)</f>
        <v>33998539.595944986</v>
      </c>
      <c r="V92" s="73">
        <f t="shared" si="22"/>
        <v>33998539.595944986</v>
      </c>
      <c r="W92" s="12"/>
      <c r="X92" s="73">
        <f t="shared" si="23"/>
        <v>98319562.582289219</v>
      </c>
      <c r="Y92" s="73">
        <f t="shared" si="24"/>
        <v>50757025.158058912</v>
      </c>
      <c r="Z92" s="73">
        <f t="shared" si="24"/>
        <v>23524766.921377167</v>
      </c>
      <c r="AA92" s="12">
        <f t="shared" si="25"/>
        <v>0.37300000534990435</v>
      </c>
      <c r="AB92" s="115">
        <f t="shared" si="26"/>
        <v>-2391432.5967503022</v>
      </c>
      <c r="AC92" s="73">
        <f>AB92/SUMIFS(FinParameters!$L$8:$L$39,FinParameters!$B$8:$B$39,Financials!$E92,FinParameters!$C$8:$C$39,Financials!$F92)</f>
        <v>-1778163.7810028717</v>
      </c>
      <c r="AD92" s="73">
        <f t="shared" si="27"/>
        <v>-1778163.7810028717</v>
      </c>
      <c r="AE92" s="12"/>
      <c r="AF92" s="73">
        <f t="shared" si="28"/>
        <v>95928129.985538915</v>
      </c>
      <c r="AG92" s="73">
        <f t="shared" si="29"/>
        <v>48978861.37705604</v>
      </c>
      <c r="AH92" s="73">
        <f t="shared" si="29"/>
        <v>21746603.140374295</v>
      </c>
      <c r="AI92" s="12">
        <f t="shared" si="30"/>
        <v>0.34480609796524198</v>
      </c>
      <c r="AL92" s="73">
        <f>Summary!G92</f>
        <v>-932076.46844251943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-368003.34343133558</v>
      </c>
      <c r="AN92" s="20">
        <f>Summary!I92</f>
        <v>6333495.1094091982</v>
      </c>
      <c r="AP92" s="12">
        <v>1</v>
      </c>
    </row>
    <row r="93" spans="1:42" x14ac:dyDescent="0.3">
      <c r="A93">
        <v>89</v>
      </c>
      <c r="B93" t="str">
        <f>Summary!B93</f>
        <v>MarinusSnowyYallourn</v>
      </c>
      <c r="C93" t="str">
        <f>Summary!C93</f>
        <v>Wind</v>
      </c>
      <c r="D93" s="90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254100762.98977169</v>
      </c>
      <c r="H93" s="73">
        <f>SUMIFS(AM$5:AM93,$F$5:$F93,$F93,$D$5:$D93,$D93)</f>
        <v>-258050533.66542414</v>
      </c>
      <c r="I93" s="20">
        <f>SUMIFS(AN$5:AN93,$F$5:$F93,$F93,$D$5:$D93,$D93)</f>
        <v>154370584.7642017</v>
      </c>
      <c r="J93" s="73">
        <f t="shared" si="16"/>
        <v>154370584.7642017</v>
      </c>
      <c r="K93" s="73">
        <f t="shared" si="17"/>
        <v>408471347.75397336</v>
      </c>
      <c r="L93" s="73">
        <f t="shared" si="18"/>
        <v>150420814.08854926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131154656.79434976</v>
      </c>
      <c r="Q93" s="73">
        <f>P93/SUMIFS(FinParameters!$H$8:$H$39,FinParameters!$B$8:$B$39,Financials!$E93,FinParameters!$C$8:$C$39,Financials!$F93)</f>
        <v>37990832.309913471</v>
      </c>
      <c r="R93" s="73">
        <f t="shared" si="31"/>
        <v>66421096.37625061</v>
      </c>
      <c r="S93" s="12">
        <f t="shared" si="20"/>
        <v>1.0260689501280642</v>
      </c>
      <c r="T93" s="115">
        <f t="shared" si="21"/>
        <v>254100762.98977169</v>
      </c>
      <c r="U93" s="73">
        <f>T93/SUMIFS(FinParameters!$L$8:$L$39,FinParameters!$B$8:$B$39,Financials!$E93,FinParameters!$C$8:$C$39,Financials!$F93)</f>
        <v>184329870.94199798</v>
      </c>
      <c r="V93" s="73">
        <f t="shared" si="22"/>
        <v>184329870.94199798</v>
      </c>
      <c r="W93" s="12"/>
      <c r="X93" s="73">
        <f t="shared" si="23"/>
        <v>385255419.78412145</v>
      </c>
      <c r="Y93" s="73">
        <f t="shared" si="24"/>
        <v>222320703.25191146</v>
      </c>
      <c r="Z93" s="73">
        <f t="shared" si="24"/>
        <v>250750967.31824857</v>
      </c>
      <c r="AA93" s="12">
        <f t="shared" si="25"/>
        <v>3.8735852886617983</v>
      </c>
      <c r="AB93" s="115">
        <f t="shared" si="26"/>
        <v>-258050533.66542414</v>
      </c>
      <c r="AC93" s="73">
        <f>AB93/SUMIFS(FinParameters!$L$8:$L$39,FinParameters!$B$8:$B$39,Financials!$E93,FinParameters!$C$8:$C$39,Financials!$F93)</f>
        <v>-187195115.06927675</v>
      </c>
      <c r="AD93" s="73">
        <f t="shared" si="27"/>
        <v>-187195115.06927675</v>
      </c>
      <c r="AE93" s="12"/>
      <c r="AF93" s="73">
        <f t="shared" si="28"/>
        <v>127204886.11869732</v>
      </c>
      <c r="AG93" s="73">
        <f t="shared" si="29"/>
        <v>35125588.182634711</v>
      </c>
      <c r="AH93" s="73">
        <f t="shared" si="29"/>
        <v>63555852.24897182</v>
      </c>
      <c r="AI93" s="12">
        <f t="shared" si="30"/>
        <v>0.98180683772805355</v>
      </c>
      <c r="AL93" s="73">
        <f>Summary!G93</f>
        <v>15915952.604049928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-22581284.333990209</v>
      </c>
      <c r="AN93" s="20">
        <f>Summary!I93</f>
        <v>12888409.384103904</v>
      </c>
      <c r="AP93" s="12">
        <v>1</v>
      </c>
    </row>
    <row r="94" spans="1:42" x14ac:dyDescent="0.3">
      <c r="A94">
        <v>90</v>
      </c>
      <c r="B94" t="str">
        <f>Summary!B94</f>
        <v>MarinusSnowyYallourn</v>
      </c>
      <c r="C94" t="str">
        <f>Summary!C94</f>
        <v>Wind</v>
      </c>
      <c r="D94" s="90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145991276.77285677</v>
      </c>
      <c r="H94" s="73">
        <f>SUMIFS(AM$5:AM94,$F$5:$F94,$F94,$D$5:$D94,$D94)</f>
        <v>-109992273.10803565</v>
      </c>
      <c r="I94" s="20">
        <f>SUMIFS(AN$5:AN94,$F$5:$F94,$F94,$D$5:$D94,$D94)</f>
        <v>111453001.20406666</v>
      </c>
      <c r="J94" s="73">
        <f t="shared" si="16"/>
        <v>111453001.20406666</v>
      </c>
      <c r="K94" s="73">
        <f t="shared" si="17"/>
        <v>257444277.97692344</v>
      </c>
      <c r="L94" s="73">
        <f t="shared" si="18"/>
        <v>147452004.86888778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88237073.234214723</v>
      </c>
      <c r="Q94" s="73">
        <f>P94/SUMIFS(FinParameters!$H$8:$H$39,FinParameters!$B$8:$B$39,Financials!$E94,FinParameters!$C$8:$C$39,Financials!$F94)</f>
        <v>25559137.088169493</v>
      </c>
      <c r="R94" s="73">
        <f t="shared" si="31"/>
        <v>23503512.816115577</v>
      </c>
      <c r="S94" s="12">
        <f t="shared" si="20"/>
        <v>0.36308079865083587</v>
      </c>
      <c r="T94" s="115">
        <f t="shared" si="21"/>
        <v>145991276.77285677</v>
      </c>
      <c r="U94" s="73">
        <f>T94/SUMIFS(FinParameters!$L$8:$L$39,FinParameters!$B$8:$B$39,Financials!$E94,FinParameters!$C$8:$C$39,Financials!$F94)</f>
        <v>105905046.83876696</v>
      </c>
      <c r="V94" s="73">
        <f t="shared" si="22"/>
        <v>105905046.83876696</v>
      </c>
      <c r="W94" s="12"/>
      <c r="X94" s="73">
        <f t="shared" si="23"/>
        <v>234228350.0070715</v>
      </c>
      <c r="Y94" s="73">
        <f t="shared" si="24"/>
        <v>131464183.92693645</v>
      </c>
      <c r="Z94" s="73">
        <f t="shared" si="24"/>
        <v>129408559.65488254</v>
      </c>
      <c r="AA94" s="12">
        <f t="shared" si="25"/>
        <v>1.999095350527029</v>
      </c>
      <c r="AB94" s="115">
        <f t="shared" si="26"/>
        <v>-109992273.10803565</v>
      </c>
      <c r="AC94" s="73">
        <f>AB94/SUMIFS(FinParameters!$L$8:$L$39,FinParameters!$B$8:$B$39,Financials!$E94,FinParameters!$C$8:$C$39,Financials!$F94)</f>
        <v>-79790636.077064157</v>
      </c>
      <c r="AD94" s="73">
        <f t="shared" si="27"/>
        <v>-79790636.077064157</v>
      </c>
      <c r="AE94" s="12"/>
      <c r="AF94" s="73">
        <f t="shared" si="28"/>
        <v>124236076.89903584</v>
      </c>
      <c r="AG94" s="73">
        <f t="shared" si="29"/>
        <v>51673547.849872291</v>
      </c>
      <c r="AH94" s="73">
        <f t="shared" si="29"/>
        <v>49617923.577818379</v>
      </c>
      <c r="AI94" s="12">
        <f t="shared" si="30"/>
        <v>0.76649458576583218</v>
      </c>
      <c r="AL94" s="73">
        <f>Summary!G94</f>
        <v>7784870.6926454268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-11484058.355294969</v>
      </c>
      <c r="AN94" s="20">
        <f>Summary!I94</f>
        <v>9286650.1215517297</v>
      </c>
      <c r="AP94" s="12">
        <v>1</v>
      </c>
    </row>
    <row r="95" spans="1:42" x14ac:dyDescent="0.3">
      <c r="A95">
        <v>91</v>
      </c>
      <c r="B95" t="str">
        <f>Summary!B95</f>
        <v>MarinusSnowyYallourn</v>
      </c>
      <c r="C95" t="str">
        <f>Summary!C95</f>
        <v>Wind</v>
      </c>
      <c r="D95" s="90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83153497.511688724</v>
      </c>
      <c r="H95" s="73">
        <f>SUMIFS(AM$5:AM95,$F$5:$F95,$F95,$D$5:$D95,$D95)</f>
        <v>-44984158.121843502</v>
      </c>
      <c r="I95" s="20">
        <f>SUMIFS(AN$5:AN95,$F$5:$F95,$F95,$D$5:$D95,$D95)</f>
        <v>91352209.147185132</v>
      </c>
      <c r="J95" s="73">
        <f t="shared" si="16"/>
        <v>91352209.147185132</v>
      </c>
      <c r="K95" s="73">
        <f t="shared" si="17"/>
        <v>174505706.65887386</v>
      </c>
      <c r="L95" s="73">
        <f t="shared" si="18"/>
        <v>129521548.53703035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68136281.177333206</v>
      </c>
      <c r="Q95" s="73">
        <f>P95/SUMIFS(FinParameters!$H$8:$H$39,FinParameters!$B$8:$B$39,Financials!$E95,FinParameters!$C$8:$C$39,Financials!$F95)</f>
        <v>19736653.624796771</v>
      </c>
      <c r="R95" s="73">
        <f t="shared" si="31"/>
        <v>3402720.7592340596</v>
      </c>
      <c r="S95" s="12">
        <f t="shared" si="20"/>
        <v>5.2565017855601796E-2</v>
      </c>
      <c r="T95" s="115">
        <f t="shared" si="21"/>
        <v>83153497.511688724</v>
      </c>
      <c r="U95" s="73">
        <f>T95/SUMIFS(FinParameters!$L$8:$L$39,FinParameters!$B$8:$B$39,Financials!$E95,FinParameters!$C$8:$C$39,Financials!$F95)</f>
        <v>60321241.401869841</v>
      </c>
      <c r="V95" s="73">
        <f t="shared" si="22"/>
        <v>60321241.401869841</v>
      </c>
      <c r="W95" s="12"/>
      <c r="X95" s="73">
        <f t="shared" si="23"/>
        <v>151289778.68902192</v>
      </c>
      <c r="Y95" s="73">
        <f t="shared" si="24"/>
        <v>80057895.026666611</v>
      </c>
      <c r="Z95" s="73">
        <f t="shared" si="24"/>
        <v>63723962.161103904</v>
      </c>
      <c r="AA95" s="12">
        <f t="shared" si="25"/>
        <v>0.98440378915550941</v>
      </c>
      <c r="AB95" s="115">
        <f t="shared" si="26"/>
        <v>-44984158.121843502</v>
      </c>
      <c r="AC95" s="73">
        <f>AB95/SUMIFS(FinParameters!$L$8:$L$39,FinParameters!$B$8:$B$39,Financials!$E95,FinParameters!$C$8:$C$39,Financials!$F95)</f>
        <v>-32632424.883224834</v>
      </c>
      <c r="AD95" s="73">
        <f t="shared" si="27"/>
        <v>-32632424.883224834</v>
      </c>
      <c r="AE95" s="12"/>
      <c r="AF95" s="73">
        <f t="shared" si="28"/>
        <v>106305620.56717841</v>
      </c>
      <c r="AG95" s="73">
        <f t="shared" si="29"/>
        <v>47425470.143441781</v>
      </c>
      <c r="AH95" s="73">
        <f t="shared" si="29"/>
        <v>31091537.27787907</v>
      </c>
      <c r="AI95" s="12">
        <f t="shared" si="30"/>
        <v>0.48030012681313983</v>
      </c>
      <c r="AL95" s="73">
        <f>Summary!G95</f>
        <v>3919283.3456996391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-4941714.907142642</v>
      </c>
      <c r="AN95" s="20">
        <f>Summary!I95</f>
        <v>7777664.2771021044</v>
      </c>
      <c r="AP95" s="12">
        <v>1</v>
      </c>
    </row>
    <row r="96" spans="1:42" x14ac:dyDescent="0.3">
      <c r="A96">
        <v>92</v>
      </c>
      <c r="B96" t="str">
        <f>Summary!B96</f>
        <v>MarinusSnowyYallourn</v>
      </c>
      <c r="C96" t="str">
        <f>Summary!C96</f>
        <v>Wind</v>
      </c>
      <c r="D96" s="90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39120576.429354392</v>
      </c>
      <c r="H96" s="73">
        <f>SUMIFS(AM$5:AM96,$F$5:$F96,$F96,$D$5:$D96,$D96)</f>
        <v>-195779.68911920249</v>
      </c>
      <c r="I96" s="20">
        <f>SUMIFS(AN$5:AN96,$F$5:$F96,$F96,$D$5:$D96,$D96)</f>
        <v>79344147.582703575</v>
      </c>
      <c r="J96" s="73">
        <f t="shared" si="16"/>
        <v>79344147.582703575</v>
      </c>
      <c r="K96" s="73">
        <f t="shared" si="17"/>
        <v>118464724.01205796</v>
      </c>
      <c r="L96" s="73">
        <f t="shared" si="18"/>
        <v>118268944.32293877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56128219.612851642</v>
      </c>
      <c r="Q96" s="73">
        <f>P96/SUMIFS(FinParameters!$H$8:$H$39,FinParameters!$B$8:$B$39,Financials!$E96,FinParameters!$C$8:$C$39,Financials!$F96)</f>
        <v>16258345.919881258</v>
      </c>
      <c r="R96" s="73">
        <f t="shared" si="31"/>
        <v>-8605340.8052475043</v>
      </c>
      <c r="S96" s="12">
        <f t="shared" si="20"/>
        <v>-0.13293476752503014</v>
      </c>
      <c r="T96" s="115">
        <f t="shared" si="21"/>
        <v>39120576.429354392</v>
      </c>
      <c r="U96" s="73">
        <f>T96/SUMIFS(FinParameters!$L$8:$L$39,FinParameters!$B$8:$B$39,Financials!$E96,FinParameters!$C$8:$C$39,Financials!$F96)</f>
        <v>28378863.249181703</v>
      </c>
      <c r="V96" s="73">
        <f t="shared" si="22"/>
        <v>28378863.249181703</v>
      </c>
      <c r="W96" s="12"/>
      <c r="X96" s="73">
        <f t="shared" si="23"/>
        <v>95248796.042206019</v>
      </c>
      <c r="Y96" s="73">
        <f t="shared" si="24"/>
        <v>44637209.169062957</v>
      </c>
      <c r="Z96" s="73">
        <f t="shared" si="24"/>
        <v>19773522.443934198</v>
      </c>
      <c r="AA96" s="12">
        <f t="shared" si="25"/>
        <v>0.30546014024598017</v>
      </c>
      <c r="AB96" s="115">
        <f t="shared" si="26"/>
        <v>-195779.68911920249</v>
      </c>
      <c r="AC96" s="73">
        <f>AB96/SUMIFS(FinParameters!$L$8:$L$39,FinParameters!$B$8:$B$39,Financials!$E96,FinParameters!$C$8:$C$39,Financials!$F96)</f>
        <v>-142022.57562626732</v>
      </c>
      <c r="AD96" s="73">
        <f t="shared" si="27"/>
        <v>-142022.57562626732</v>
      </c>
      <c r="AE96" s="12"/>
      <c r="AF96" s="73">
        <f t="shared" si="28"/>
        <v>95053016.353086814</v>
      </c>
      <c r="AG96" s="73">
        <f t="shared" si="29"/>
        <v>44495186.593436688</v>
      </c>
      <c r="AH96" s="73">
        <f t="shared" si="29"/>
        <v>19631499.868307929</v>
      </c>
      <c r="AI96" s="12">
        <f t="shared" si="30"/>
        <v>0.30326618436422459</v>
      </c>
      <c r="AL96" s="73">
        <f>Summary!G96</f>
        <v>728591.40818381193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3479.4686819064682</v>
      </c>
      <c r="AN96" s="20">
        <f>Summary!I96</f>
        <v>6776008.3897316856</v>
      </c>
      <c r="AP96" s="12">
        <v>1</v>
      </c>
    </row>
    <row r="97" spans="1:42" x14ac:dyDescent="0.3">
      <c r="A97">
        <v>93</v>
      </c>
      <c r="B97" t="str">
        <f>Summary!B97</f>
        <v>MarinusSnowyYallourn</v>
      </c>
      <c r="C97" t="str">
        <f>Summary!C97</f>
        <v>Wind</v>
      </c>
      <c r="D97" s="90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5320171.2684724359</v>
      </c>
      <c r="H97" s="73">
        <f>SUMIFS(AM$5:AM97,$F$5:$F97,$F97,$D$5:$D97,$D97)</f>
        <v>42103921.08518289</v>
      </c>
      <c r="I97" s="20">
        <f>SUMIFS(AN$5:AN97,$F$5:$F97,$F97,$D$5:$D97,$D97)</f>
        <v>68520658.66249159</v>
      </c>
      <c r="J97" s="73">
        <f t="shared" si="16"/>
        <v>68520658.66249159</v>
      </c>
      <c r="K97" s="73">
        <f t="shared" si="17"/>
        <v>73840829.930964023</v>
      </c>
      <c r="L97" s="73">
        <f t="shared" si="18"/>
        <v>115944751.01614691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45304730.692639656</v>
      </c>
      <c r="Q97" s="73">
        <f>P97/SUMIFS(FinParameters!$H$8:$H$39,FinParameters!$B$8:$B$39,Financials!$E97,FinParameters!$C$8:$C$39,Financials!$F97)</f>
        <v>13123166.715221142</v>
      </c>
      <c r="R97" s="73">
        <f t="shared" si="31"/>
        <v>-19428829.72545949</v>
      </c>
      <c r="S97" s="12">
        <f t="shared" si="20"/>
        <v>-0.30013534865026975</v>
      </c>
      <c r="T97" s="115">
        <f t="shared" si="21"/>
        <v>5320171.2684724359</v>
      </c>
      <c r="U97" s="73">
        <f>T97/SUMIFS(FinParameters!$L$8:$L$39,FinParameters!$B$8:$B$39,Financials!$E97,FinParameters!$C$8:$C$39,Financials!$F97)</f>
        <v>3859360.6401186776</v>
      </c>
      <c r="V97" s="73">
        <f t="shared" si="22"/>
        <v>3859360.6401186776</v>
      </c>
      <c r="W97" s="12"/>
      <c r="X97" s="73">
        <f t="shared" si="23"/>
        <v>50624901.961112089</v>
      </c>
      <c r="Y97" s="73">
        <f t="shared" si="24"/>
        <v>16982527.355339821</v>
      </c>
      <c r="Z97" s="73">
        <f t="shared" si="24"/>
        <v>-15569469.085340813</v>
      </c>
      <c r="AA97" s="12">
        <f t="shared" si="25"/>
        <v>-0.2405161864229497</v>
      </c>
      <c r="AB97" s="115">
        <f t="shared" si="26"/>
        <v>42103921.08518289</v>
      </c>
      <c r="AC97" s="73">
        <f>AB97/SUMIFS(FinParameters!$L$8:$L$39,FinParameters!$B$8:$B$39,Financials!$E97,FinParameters!$C$8:$C$39,Financials!$F97)</f>
        <v>30543042.250118047</v>
      </c>
      <c r="AD97" s="73">
        <f t="shared" si="27"/>
        <v>30543042.250118047</v>
      </c>
      <c r="AE97" s="12"/>
      <c r="AF97" s="73">
        <f t="shared" si="28"/>
        <v>92728823.046294987</v>
      </c>
      <c r="AG97" s="73">
        <f t="shared" si="29"/>
        <v>47525569.605457872</v>
      </c>
      <c r="AH97" s="73">
        <f t="shared" si="29"/>
        <v>14973573.164777234</v>
      </c>
      <c r="AI97" s="12">
        <f t="shared" si="30"/>
        <v>0.23131082344407408</v>
      </c>
      <c r="AL97" s="73">
        <f>Summary!G97</f>
        <v>-2853425.8454408487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5083577.5193100525</v>
      </c>
      <c r="AN97" s="20">
        <f>Summary!I97</f>
        <v>5739513.3017970044</v>
      </c>
      <c r="AP97" s="12">
        <v>1</v>
      </c>
    </row>
    <row r="98" spans="1:42" x14ac:dyDescent="0.3">
      <c r="A98">
        <v>94</v>
      </c>
      <c r="B98" t="str">
        <f>Summary!B98</f>
        <v>MarinusSnowyYallourn</v>
      </c>
      <c r="C98" t="str">
        <f>Summary!C98</f>
        <v>Wind</v>
      </c>
      <c r="D98" s="90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-32548350.147776261</v>
      </c>
      <c r="H98" s="73">
        <f>SUMIFS(AM$5:AM98,$F$5:$F98,$F98,$D$5:$D98,$D98)</f>
        <v>98651404.070760086</v>
      </c>
      <c r="I98" s="20">
        <f>SUMIFS(AN$5:AN98,$F$5:$F98,$F98,$D$5:$D98,$D98)</f>
        <v>54681961.320559129</v>
      </c>
      <c r="J98" s="73">
        <f t="shared" si="16"/>
        <v>54681961.320559129</v>
      </c>
      <c r="K98" s="73">
        <f t="shared" si="17"/>
        <v>22133611.172782868</v>
      </c>
      <c r="L98" s="73">
        <f t="shared" si="18"/>
        <v>120785015.24354295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31466033.350707196</v>
      </c>
      <c r="Q98" s="73">
        <f>P98/SUMIFS(FinParameters!$H$8:$H$39,FinParameters!$B$8:$B$39,Financials!$E98,FinParameters!$C$8:$C$39,Financials!$F98)</f>
        <v>9114589.0333065279</v>
      </c>
      <c r="R98" s="73">
        <f t="shared" si="31"/>
        <v>-33267527.067391951</v>
      </c>
      <c r="S98" s="12">
        <f t="shared" si="20"/>
        <v>-0.51391468123373196</v>
      </c>
      <c r="T98" s="115">
        <f t="shared" si="21"/>
        <v>-32548350.147776261</v>
      </c>
      <c r="U98" s="73">
        <f>T98/SUMIFS(FinParameters!$L$8:$L$39,FinParameters!$B$8:$B$39,Financials!$E98,FinParameters!$C$8:$C$39,Financials!$F98)</f>
        <v>-23611236.39111647</v>
      </c>
      <c r="V98" s="73">
        <f t="shared" si="22"/>
        <v>-23611236.39111647</v>
      </c>
      <c r="W98" s="12"/>
      <c r="X98" s="73">
        <f t="shared" si="23"/>
        <v>-1082316.7970690653</v>
      </c>
      <c r="Y98" s="73">
        <f t="shared" si="24"/>
        <v>-14496647.357809942</v>
      </c>
      <c r="Z98" s="73">
        <f t="shared" si="24"/>
        <v>-56878763.458508417</v>
      </c>
      <c r="AA98" s="12">
        <f t="shared" si="25"/>
        <v>-0.87865958694596114</v>
      </c>
      <c r="AB98" s="115">
        <f t="shared" si="26"/>
        <v>98651404.070760086</v>
      </c>
      <c r="AC98" s="73">
        <f>AB98/SUMIFS(FinParameters!$L$8:$L$39,FinParameters!$B$8:$B$39,Financials!$E98,FinParameters!$C$8:$C$39,Financials!$F98)</f>
        <v>71563738.599801347</v>
      </c>
      <c r="AD98" s="73">
        <f t="shared" si="27"/>
        <v>71563738.599801347</v>
      </c>
      <c r="AE98" s="12"/>
      <c r="AF98" s="73">
        <f t="shared" si="28"/>
        <v>97569087.273691028</v>
      </c>
      <c r="AG98" s="73">
        <f t="shared" si="29"/>
        <v>57067091.241991401</v>
      </c>
      <c r="AH98" s="73">
        <f t="shared" si="29"/>
        <v>14684975.14129293</v>
      </c>
      <c r="AI98" s="12">
        <f t="shared" si="30"/>
        <v>0.22685257919456397</v>
      </c>
      <c r="AL98" s="73">
        <f>Summary!G98</f>
        <v>-6779571.9407612178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11985733.569857897</v>
      </c>
      <c r="AN98" s="20">
        <f>Summary!I98</f>
        <v>4447962.6309668822</v>
      </c>
      <c r="AP98" s="12">
        <v>1</v>
      </c>
    </row>
    <row r="99" spans="1:42" x14ac:dyDescent="0.3">
      <c r="A99">
        <v>95</v>
      </c>
      <c r="B99" t="str">
        <f>Summary!B99</f>
        <v>MarinusSnowyYallourn</v>
      </c>
      <c r="C99" t="str">
        <f>Summary!C99</f>
        <v>Wind</v>
      </c>
      <c r="D99" s="90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-83239880.484263912</v>
      </c>
      <c r="H99" s="73">
        <f>SUMIFS(AM$5:AM99,$F$5:$F99,$F99,$D$5:$D99,$D99)</f>
        <v>208042719.83429036</v>
      </c>
      <c r="I99" s="20">
        <f>SUMIFS(AN$5:AN99,$F$5:$F99,$F99,$D$5:$D99,$D99)</f>
        <v>32648193.76942303</v>
      </c>
      <c r="J99" s="73">
        <f t="shared" si="16"/>
        <v>32648193.76942303</v>
      </c>
      <c r="K99" s="73">
        <f t="shared" si="17"/>
        <v>-50591686.714840882</v>
      </c>
      <c r="L99" s="73">
        <f t="shared" si="18"/>
        <v>157451033.11944947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9432265.7995710969</v>
      </c>
      <c r="Q99" s="73">
        <f>P99/SUMIFS(FinParameters!$H$8:$H$39,FinParameters!$B$8:$B$39,Financials!$E99,FinParameters!$C$8:$C$39,Financials!$F99)</f>
        <v>2732191.422344334</v>
      </c>
      <c r="R99" s="73">
        <f t="shared" si="31"/>
        <v>-55301294.618528053</v>
      </c>
      <c r="S99" s="12">
        <f t="shared" si="20"/>
        <v>-0.85429094678787532</v>
      </c>
      <c r="T99" s="115">
        <f t="shared" si="21"/>
        <v>-83239880.484263912</v>
      </c>
      <c r="U99" s="73">
        <f>T99/SUMIFS(FinParameters!$L$8:$L$39,FinParameters!$B$8:$B$39,Financials!$E99,FinParameters!$C$8:$C$39,Financials!$F99)</f>
        <v>-60383905.370285437</v>
      </c>
      <c r="V99" s="73">
        <f t="shared" si="22"/>
        <v>-60383905.370285437</v>
      </c>
      <c r="W99" s="12"/>
      <c r="X99" s="73">
        <f t="shared" si="23"/>
        <v>-73807614.684692815</v>
      </c>
      <c r="Y99" s="73">
        <f t="shared" si="24"/>
        <v>-57651713.947941102</v>
      </c>
      <c r="Z99" s="73">
        <f t="shared" si="24"/>
        <v>-115685199.98881349</v>
      </c>
      <c r="AA99" s="12">
        <f t="shared" si="25"/>
        <v>-1.7870977471597336</v>
      </c>
      <c r="AB99" s="115">
        <f t="shared" si="26"/>
        <v>208042719.83429036</v>
      </c>
      <c r="AC99" s="73">
        <f>AB99/SUMIFS(FinParameters!$L$8:$L$39,FinParameters!$B$8:$B$39,Financials!$E99,FinParameters!$C$8:$C$39,Financials!$F99)</f>
        <v>150918427.97426242</v>
      </c>
      <c r="AD99" s="73">
        <f t="shared" si="27"/>
        <v>150918427.97426242</v>
      </c>
      <c r="AE99" s="12"/>
      <c r="AF99" s="73">
        <f t="shared" si="28"/>
        <v>134235105.14959753</v>
      </c>
      <c r="AG99" s="73">
        <f t="shared" si="29"/>
        <v>93266714.026321322</v>
      </c>
      <c r="AH99" s="73">
        <f t="shared" si="29"/>
        <v>35233227.985448927</v>
      </c>
      <c r="AI99" s="12">
        <f t="shared" si="30"/>
        <v>0.54428070629648095</v>
      </c>
      <c r="AL99" s="73">
        <f>Summary!G99</f>
        <v>-11325679.457185889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23872711.513877284</v>
      </c>
      <c r="AN99" s="20">
        <f>Summary!I99</f>
        <v>2775795.2967592361</v>
      </c>
      <c r="AP99" s="12">
        <v>1</v>
      </c>
    </row>
    <row r="100" spans="1:42" x14ac:dyDescent="0.3">
      <c r="A100">
        <v>96</v>
      </c>
      <c r="B100" t="str">
        <f>Summary!B100</f>
        <v>MarinusSnowyYallourn</v>
      </c>
      <c r="C100" t="str">
        <f>Summary!C100</f>
        <v>Wind</v>
      </c>
      <c r="D100" s="90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46293821.330492571</v>
      </c>
      <c r="H100" s="73">
        <f>SUMIFS(AM$5:AM100,$F$5:$F100,$F100,$D$5:$D100,$D100)</f>
        <v>-2275429.8048676131</v>
      </c>
      <c r="I100" s="20">
        <f>SUMIFS(AN$5:AN100,$F$5:$F100,$F100,$D$5:$D100,$D100)</f>
        <v>80668250.058584958</v>
      </c>
      <c r="J100" s="73">
        <f t="shared" si="16"/>
        <v>80668250.058584958</v>
      </c>
      <c r="K100" s="73">
        <f t="shared" si="17"/>
        <v>126962071.38907753</v>
      </c>
      <c r="L100" s="73">
        <f t="shared" si="18"/>
        <v>124686641.58420992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57452322.088733025</v>
      </c>
      <c r="Q100" s="73">
        <f>P100/SUMIFS(FinParameters!$H$8:$H$39,FinParameters!$B$8:$B$39,Financials!$E100,FinParameters!$C$8:$C$39,Financials!$F100)</f>
        <v>16641891.242265251</v>
      </c>
      <c r="R100" s="73">
        <f t="shared" si="31"/>
        <v>-7281238.3293661214</v>
      </c>
      <c r="S100" s="12">
        <f t="shared" si="20"/>
        <v>-0.11248011514179478</v>
      </c>
      <c r="T100" s="115">
        <f t="shared" si="21"/>
        <v>46293821.330492571</v>
      </c>
      <c r="U100" s="73">
        <f>T100/SUMIFS(FinParameters!$L$8:$L$39,FinParameters!$B$8:$B$39,Financials!$E100,FinParameters!$C$8:$C$39,Financials!$F100)</f>
        <v>33582481.260023214</v>
      </c>
      <c r="V100" s="73">
        <f t="shared" si="22"/>
        <v>33582481.260023214</v>
      </c>
      <c r="W100" s="12"/>
      <c r="X100" s="73">
        <f t="shared" si="23"/>
        <v>103746143.4192256</v>
      </c>
      <c r="Y100" s="73">
        <f t="shared" si="24"/>
        <v>50224372.502288461</v>
      </c>
      <c r="Z100" s="73">
        <f t="shared" si="24"/>
        <v>26301242.930657092</v>
      </c>
      <c r="AA100" s="12">
        <f t="shared" si="25"/>
        <v>0.40629995879700459</v>
      </c>
      <c r="AB100" s="115">
        <f t="shared" si="26"/>
        <v>-2275429.8048676131</v>
      </c>
      <c r="AC100" s="73">
        <f>AB100/SUMIFS(FinParameters!$L$8:$L$39,FinParameters!$B$8:$B$39,Financials!$E100,FinParameters!$C$8:$C$39,Financials!$F100)</f>
        <v>-1650643.1438212802</v>
      </c>
      <c r="AD100" s="73">
        <f t="shared" si="27"/>
        <v>-1650643.1438212802</v>
      </c>
      <c r="AE100" s="12"/>
      <c r="AF100" s="73">
        <f t="shared" si="28"/>
        <v>101470713.61435799</v>
      </c>
      <c r="AG100" s="73">
        <f t="shared" si="29"/>
        <v>48573729.358467184</v>
      </c>
      <c r="AH100" s="73">
        <f t="shared" si="29"/>
        <v>24650599.786835812</v>
      </c>
      <c r="AI100" s="12">
        <f t="shared" si="30"/>
        <v>0.38080092656148168</v>
      </c>
      <c r="AL100" s="73">
        <f>Summary!G100</f>
        <v>569565.38721094455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116002.79188268895</v>
      </c>
      <c r="AN100" s="20">
        <f>Summary!I100</f>
        <v>6799477.1075267084</v>
      </c>
      <c r="AP100" s="12">
        <v>1</v>
      </c>
    </row>
    <row r="101" spans="1:42" x14ac:dyDescent="0.3">
      <c r="A101">
        <v>97</v>
      </c>
      <c r="B101" t="str">
        <f>Summary!B101</f>
        <v>MarinusSnowyYallourn</v>
      </c>
      <c r="C101" t="str">
        <f>Summary!C101</f>
        <v>Wind</v>
      </c>
      <c r="D101" s="90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271833469.38078588</v>
      </c>
      <c r="H101" s="73">
        <f>SUMIFS(AM$5:AM101,$F$5:$F101,$F101,$D$5:$D101,$D101)</f>
        <v>-282331381.67727906</v>
      </c>
      <c r="I101" s="20">
        <f>SUMIFS(AN$5:AN101,$F$5:$F101,$F101,$D$5:$D101,$D101)</f>
        <v>167832168.35703564</v>
      </c>
      <c r="J101" s="73">
        <f t="shared" si="16"/>
        <v>167832168.35703564</v>
      </c>
      <c r="K101" s="73">
        <f t="shared" si="17"/>
        <v>439665637.73782152</v>
      </c>
      <c r="L101" s="73">
        <f t="shared" si="18"/>
        <v>157334256.06054246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142625217.18793741</v>
      </c>
      <c r="Q101" s="73">
        <f>P101/SUMIFS(FinParameters!$H$8:$H$39,FinParameters!$B$8:$B$39,Financials!$E101,FinParameters!$C$8:$C$39,Financials!$F101)</f>
        <v>37557677.337776594</v>
      </c>
      <c r="R101" s="73">
        <f t="shared" si="31"/>
        <v>76480630.742594272</v>
      </c>
      <c r="S101" s="12">
        <f t="shared" si="20"/>
        <v>1.1562644027685025</v>
      </c>
      <c r="T101" s="115">
        <f t="shared" si="21"/>
        <v>271833469.38078588</v>
      </c>
      <c r="U101" s="73">
        <f>T101/SUMIFS(FinParameters!$L$8:$L$39,FinParameters!$B$8:$B$39,Financials!$E101,FinParameters!$C$8:$C$39,Financials!$F101)</f>
        <v>192383938.99856475</v>
      </c>
      <c r="V101" s="73">
        <f t="shared" si="22"/>
        <v>192383938.99856475</v>
      </c>
      <c r="W101" s="12"/>
      <c r="X101" s="73">
        <f t="shared" si="23"/>
        <v>414458686.56872326</v>
      </c>
      <c r="Y101" s="73">
        <f t="shared" si="24"/>
        <v>229941616.33634135</v>
      </c>
      <c r="Z101" s="73">
        <f t="shared" si="24"/>
        <v>268864569.74115902</v>
      </c>
      <c r="AA101" s="12">
        <f t="shared" si="25"/>
        <v>4.0648008278550245</v>
      </c>
      <c r="AB101" s="115">
        <f t="shared" si="26"/>
        <v>-282331381.67727906</v>
      </c>
      <c r="AC101" s="73">
        <f>AB101/SUMIFS(FinParameters!$L$8:$L$39,FinParameters!$B$8:$B$39,Financials!$E101,FinParameters!$C$8:$C$39,Financials!$F101)</f>
        <v>-199813597.02949587</v>
      </c>
      <c r="AD101" s="73">
        <f t="shared" si="27"/>
        <v>-199813597.02949587</v>
      </c>
      <c r="AE101" s="12"/>
      <c r="AF101" s="73">
        <f t="shared" si="28"/>
        <v>132127304.89144421</v>
      </c>
      <c r="AG101" s="73">
        <f t="shared" si="29"/>
        <v>30128019.306845486</v>
      </c>
      <c r="AH101" s="73">
        <f t="shared" si="29"/>
        <v>69050972.711663157</v>
      </c>
      <c r="AI101" s="12">
        <f t="shared" si="30"/>
        <v>1.0439398962562361</v>
      </c>
      <c r="AL101" s="73">
        <f>Summary!G101</f>
        <v>17732706.391014211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-24280848.011854909</v>
      </c>
      <c r="AN101" s="20">
        <f>Summary!I101</f>
        <v>13461583.592833927</v>
      </c>
      <c r="AP101" s="12">
        <v>1</v>
      </c>
    </row>
    <row r="102" spans="1:42" x14ac:dyDescent="0.3">
      <c r="A102">
        <v>98</v>
      </c>
      <c r="B102" t="str">
        <f>Summary!B102</f>
        <v>MarinusSnowyYallourn</v>
      </c>
      <c r="C102" t="str">
        <f>Summary!C102</f>
        <v>Wind</v>
      </c>
      <c r="D102" s="90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154238373.09451869</v>
      </c>
      <c r="H102" s="73">
        <f>SUMIFS(AM$5:AM102,$F$5:$F102,$F102,$D$5:$D102,$D102)</f>
        <v>-120720488.2906128</v>
      </c>
      <c r="I102" s="20">
        <f>SUMIFS(AN$5:AN102,$F$5:$F102,$F102,$D$5:$D102,$D102)</f>
        <v>121023000.74733061</v>
      </c>
      <c r="J102" s="73">
        <f t="shared" si="16"/>
        <v>121023000.74733061</v>
      </c>
      <c r="K102" s="73">
        <f t="shared" si="17"/>
        <v>275261373.84184933</v>
      </c>
      <c r="L102" s="73">
        <f t="shared" si="18"/>
        <v>154540885.55123651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95816049.578232378</v>
      </c>
      <c r="Q102" s="73">
        <f>P102/SUMIFS(FinParameters!$H$8:$H$39,FinParameters!$B$8:$B$39,Financials!$E102,FinParameters!$C$8:$C$39,Financials!$F102)</f>
        <v>25231360.518089447</v>
      </c>
      <c r="R102" s="73">
        <f t="shared" si="31"/>
        <v>29671463.132889237</v>
      </c>
      <c r="S102" s="12">
        <f t="shared" si="20"/>
        <v>0.44858490660316513</v>
      </c>
      <c r="T102" s="115">
        <f t="shared" si="21"/>
        <v>154238373.09451869</v>
      </c>
      <c r="U102" s="73">
        <f>T102/SUMIFS(FinParameters!$L$8:$L$39,FinParameters!$B$8:$B$39,Financials!$E102,FinParameters!$C$8:$C$39,Financials!$F102)</f>
        <v>109158691.26876229</v>
      </c>
      <c r="V102" s="73">
        <f t="shared" si="22"/>
        <v>109158691.26876229</v>
      </c>
      <c r="W102" s="12"/>
      <c r="X102" s="73">
        <f t="shared" si="23"/>
        <v>250054422.6727511</v>
      </c>
      <c r="Y102" s="73">
        <f t="shared" si="24"/>
        <v>134390051.78685173</v>
      </c>
      <c r="Z102" s="73">
        <f t="shared" si="24"/>
        <v>138830154.40165153</v>
      </c>
      <c r="AA102" s="12">
        <f t="shared" si="25"/>
        <v>2.0988891436545636</v>
      </c>
      <c r="AB102" s="115">
        <f t="shared" si="26"/>
        <v>-120720488.2906128</v>
      </c>
      <c r="AC102" s="73">
        <f>AB102/SUMIFS(FinParameters!$L$8:$L$39,FinParameters!$B$8:$B$39,Financials!$E102,FinParameters!$C$8:$C$39,Financials!$F102)</f>
        <v>-85437172.64868857</v>
      </c>
      <c r="AD102" s="73">
        <f t="shared" si="27"/>
        <v>-85437172.64868857</v>
      </c>
      <c r="AE102" s="12"/>
      <c r="AF102" s="73">
        <f t="shared" si="28"/>
        <v>129333934.3821383</v>
      </c>
      <c r="AG102" s="73">
        <f t="shared" si="29"/>
        <v>48952879.138163164</v>
      </c>
      <c r="AH102" s="73">
        <f t="shared" si="29"/>
        <v>53392981.752962962</v>
      </c>
      <c r="AI102" s="12">
        <f t="shared" si="30"/>
        <v>0.80721620048350984</v>
      </c>
      <c r="AL102" s="73">
        <f>Summary!G102</f>
        <v>8247096.3216619203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-10728215.182577154</v>
      </c>
      <c r="AN102" s="20">
        <f>Summary!I102</f>
        <v>9569999.5432639364</v>
      </c>
      <c r="AP102" s="12">
        <v>1</v>
      </c>
    </row>
    <row r="103" spans="1:42" x14ac:dyDescent="0.3">
      <c r="A103">
        <v>99</v>
      </c>
      <c r="B103" t="str">
        <f>Summary!B103</f>
        <v>MarinusSnowyYallourn</v>
      </c>
      <c r="C103" t="str">
        <f>Summary!C103</f>
        <v>Wind</v>
      </c>
      <c r="D103" s="90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88151453.94768548</v>
      </c>
      <c r="H103" s="73">
        <f>SUMIFS(AM$5:AM103,$F$5:$F103,$F103,$D$5:$D103,$D103)</f>
        <v>-49792458.721737586</v>
      </c>
      <c r="I103" s="20">
        <f>SUMIFS(AN$5:AN103,$F$5:$F103,$F103,$D$5:$D103,$D103)</f>
        <v>99526623.746294454</v>
      </c>
      <c r="J103" s="73">
        <f t="shared" si="16"/>
        <v>99526623.746294454</v>
      </c>
      <c r="K103" s="73">
        <f t="shared" si="17"/>
        <v>187678077.69397992</v>
      </c>
      <c r="L103" s="73">
        <f t="shared" si="18"/>
        <v>137885618.97224236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74319672.577196226</v>
      </c>
      <c r="Q103" s="73">
        <f>P103/SUMIFS(FinParameters!$H$8:$H$39,FinParameters!$B$8:$B$39,Financials!$E103,FinParameters!$C$8:$C$39,Financials!$F103)</f>
        <v>19570692.599370234</v>
      </c>
      <c r="R103" s="73">
        <f t="shared" si="31"/>
        <v>8175086.1318530841</v>
      </c>
      <c r="S103" s="12">
        <f t="shared" si="20"/>
        <v>0.12359418315523604</v>
      </c>
      <c r="T103" s="115">
        <f t="shared" si="21"/>
        <v>88151453.94768548</v>
      </c>
      <c r="U103" s="73">
        <f>T103/SUMIFS(FinParameters!$L$8:$L$39,FinParameters!$B$8:$B$39,Financials!$E103,FinParameters!$C$8:$C$39,Financials!$F103)</f>
        <v>62387181.304558769</v>
      </c>
      <c r="V103" s="73">
        <f t="shared" si="22"/>
        <v>62387181.304558769</v>
      </c>
      <c r="W103" s="12"/>
      <c r="X103" s="73">
        <f t="shared" si="23"/>
        <v>162471126.52488169</v>
      </c>
      <c r="Y103" s="73">
        <f t="shared" si="24"/>
        <v>81957873.903928995</v>
      </c>
      <c r="Z103" s="73">
        <f t="shared" si="24"/>
        <v>70562267.436411858</v>
      </c>
      <c r="AA103" s="12">
        <f t="shared" si="25"/>
        <v>1.0667882472093033</v>
      </c>
      <c r="AB103" s="115">
        <f t="shared" si="26"/>
        <v>-49792458.721737586</v>
      </c>
      <c r="AC103" s="73">
        <f>AB103/SUMIFS(FinParameters!$L$8:$L$39,FinParameters!$B$8:$B$39,Financials!$E103,FinParameters!$C$8:$C$39,Financials!$F103)</f>
        <v>-35239477.181128941</v>
      </c>
      <c r="AD103" s="73">
        <f t="shared" si="27"/>
        <v>-35239477.181128941</v>
      </c>
      <c r="AE103" s="12"/>
      <c r="AF103" s="73">
        <f t="shared" si="28"/>
        <v>112678667.8031441</v>
      </c>
      <c r="AG103" s="73">
        <f t="shared" si="29"/>
        <v>46718396.722800054</v>
      </c>
      <c r="AH103" s="73">
        <f t="shared" si="29"/>
        <v>35322790.255282916</v>
      </c>
      <c r="AI103" s="12">
        <f t="shared" si="30"/>
        <v>0.53402390359596519</v>
      </c>
      <c r="AL103" s="73">
        <f>Summary!G103</f>
        <v>4997956.4359967588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-4808300.599894085</v>
      </c>
      <c r="AN103" s="20">
        <f>Summary!I103</f>
        <v>8174414.5991093181</v>
      </c>
      <c r="AP103" s="12">
        <v>1</v>
      </c>
    </row>
    <row r="104" spans="1:42" x14ac:dyDescent="0.3">
      <c r="A104">
        <v>100</v>
      </c>
      <c r="B104" t="str">
        <f>Summary!B104</f>
        <v>MarinusSnowyYallourn</v>
      </c>
      <c r="C104" t="str">
        <f>Summary!C104</f>
        <v>Wind</v>
      </c>
      <c r="D104" s="90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41087557.753688239</v>
      </c>
      <c r="H104" s="73">
        <f>SUMIFS(AM$5:AM104,$F$5:$F104,$F104,$D$5:$D104,$D104)</f>
        <v>-344372.18795961898</v>
      </c>
      <c r="I104" s="20">
        <f>SUMIFS(AN$5:AN104,$F$5:$F104,$F104,$D$5:$D104,$D104)</f>
        <v>86530226.742180035</v>
      </c>
      <c r="J104" s="73">
        <f t="shared" si="16"/>
        <v>86530226.742180035</v>
      </c>
      <c r="K104" s="73">
        <f t="shared" si="17"/>
        <v>127617784.49586827</v>
      </c>
      <c r="L104" s="73">
        <f t="shared" si="18"/>
        <v>127273412.30790865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61323275.573081806</v>
      </c>
      <c r="Q104" s="73">
        <f>P104/SUMIFS(FinParameters!$H$8:$H$39,FinParameters!$B$8:$B$39,Financials!$E104,FinParameters!$C$8:$C$39,Financials!$F104)</f>
        <v>16148335.074817009</v>
      </c>
      <c r="R104" s="73">
        <f t="shared" si="31"/>
        <v>-4821310.8722613351</v>
      </c>
      <c r="S104" s="12">
        <f t="shared" si="20"/>
        <v>-7.2890483278556739E-2</v>
      </c>
      <c r="T104" s="115">
        <f t="shared" si="21"/>
        <v>41087557.753688239</v>
      </c>
      <c r="U104" s="73">
        <f>T104/SUMIFS(FinParameters!$L$8:$L$39,FinParameters!$B$8:$B$39,Financials!$E104,FinParameters!$C$8:$C$39,Financials!$F104)</f>
        <v>29078782.029643208</v>
      </c>
      <c r="V104" s="73">
        <f t="shared" si="22"/>
        <v>29078782.029643208</v>
      </c>
      <c r="W104" s="12"/>
      <c r="X104" s="73">
        <f t="shared" si="23"/>
        <v>102410833.32677004</v>
      </c>
      <c r="Y104" s="73">
        <f t="shared" si="24"/>
        <v>45227117.104460217</v>
      </c>
      <c r="Z104" s="73">
        <f t="shared" si="24"/>
        <v>24257471.157381874</v>
      </c>
      <c r="AA104" s="12">
        <f t="shared" si="25"/>
        <v>0.36673403616222477</v>
      </c>
      <c r="AB104" s="115">
        <f t="shared" si="26"/>
        <v>-344372.18795961898</v>
      </c>
      <c r="AC104" s="73">
        <f>AB104/SUMIFS(FinParameters!$L$8:$L$39,FinParameters!$B$8:$B$39,Financials!$E104,FinParameters!$C$8:$C$39,Financials!$F104)</f>
        <v>-243721.56288238327</v>
      </c>
      <c r="AD104" s="73">
        <f t="shared" si="27"/>
        <v>-243721.56288238327</v>
      </c>
      <c r="AE104" s="12"/>
      <c r="AF104" s="73">
        <f t="shared" si="28"/>
        <v>102066461.13881041</v>
      </c>
      <c r="AG104" s="73">
        <f t="shared" si="29"/>
        <v>44983395.541577831</v>
      </c>
      <c r="AH104" s="73">
        <f t="shared" si="29"/>
        <v>24013749.594499491</v>
      </c>
      <c r="AI104" s="12">
        <f t="shared" si="30"/>
        <v>0.36304935724925314</v>
      </c>
      <c r="AL104" s="73">
        <f>Summary!G104</f>
        <v>1966981.3243338447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-148592.49884041652</v>
      </c>
      <c r="AN104" s="20">
        <f>Summary!I104</f>
        <v>7186079.15947646</v>
      </c>
      <c r="AP104" s="12">
        <v>1</v>
      </c>
    </row>
    <row r="105" spans="1:42" x14ac:dyDescent="0.3">
      <c r="A105">
        <v>101</v>
      </c>
      <c r="B105" t="str">
        <f>Summary!B105</f>
        <v>MarinusSnowyYallourn</v>
      </c>
      <c r="C105" t="str">
        <f>Summary!C105</f>
        <v>Wind</v>
      </c>
      <c r="D105" s="90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3160211.2378036259</v>
      </c>
      <c r="H105" s="73">
        <f>SUMIFS(AM$5:AM105,$F$5:$F105,$F105,$D$5:$D105,$D105)</f>
        <v>47558867.519301362</v>
      </c>
      <c r="I105" s="20">
        <f>SUMIFS(AN$5:AN105,$F$5:$F105,$F105,$D$5:$D105,$D105)</f>
        <v>74549977.708729684</v>
      </c>
      <c r="J105" s="73">
        <f t="shared" si="16"/>
        <v>74549977.708729684</v>
      </c>
      <c r="K105" s="73">
        <f t="shared" si="17"/>
        <v>77710188.946533307</v>
      </c>
      <c r="L105" s="73">
        <f t="shared" si="18"/>
        <v>125269056.46583468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49343026.539631456</v>
      </c>
      <c r="Q105" s="73">
        <f>P105/SUMIFS(FinParameters!$H$8:$H$39,FinParameters!$B$8:$B$39,Financials!$E105,FinParameters!$C$8:$C$39,Financials!$F105)</f>
        <v>12993561.06993933</v>
      </c>
      <c r="R105" s="73">
        <f t="shared" si="31"/>
        <v>-16801559.905711684</v>
      </c>
      <c r="S105" s="12">
        <f t="shared" si="20"/>
        <v>-0.25401262308284617</v>
      </c>
      <c r="T105" s="115">
        <f t="shared" si="21"/>
        <v>3160211.2378036259</v>
      </c>
      <c r="U105" s="73">
        <f>T105/SUMIFS(FinParameters!$L$8:$L$39,FinParameters!$B$8:$B$39,Financials!$E105,FinParameters!$C$8:$C$39,Financials!$F105)</f>
        <v>2236567.4373398745</v>
      </c>
      <c r="V105" s="73">
        <f t="shared" si="22"/>
        <v>2236567.4373398745</v>
      </c>
      <c r="W105" s="12"/>
      <c r="X105" s="73">
        <f t="shared" si="23"/>
        <v>52503237.777435079</v>
      </c>
      <c r="Y105" s="73">
        <f t="shared" si="24"/>
        <v>15230128.507279204</v>
      </c>
      <c r="Z105" s="73">
        <f t="shared" si="24"/>
        <v>-14564992.46837181</v>
      </c>
      <c r="AA105" s="12">
        <f t="shared" si="25"/>
        <v>-0.22019931261354567</v>
      </c>
      <c r="AB105" s="115">
        <f t="shared" si="26"/>
        <v>47558867.519301362</v>
      </c>
      <c r="AC105" s="73">
        <f>AB105/SUMIFS(FinParameters!$L$8:$L$39,FinParameters!$B$8:$B$39,Financials!$E105,FinParameters!$C$8:$C$39,Financials!$F105)</f>
        <v>33658703.942954637</v>
      </c>
      <c r="AD105" s="73">
        <f t="shared" si="27"/>
        <v>33658703.942954637</v>
      </c>
      <c r="AE105" s="12"/>
      <c r="AF105" s="73">
        <f t="shared" si="28"/>
        <v>100062105.29673645</v>
      </c>
      <c r="AG105" s="73">
        <f t="shared" si="29"/>
        <v>48888832.450233839</v>
      </c>
      <c r="AH105" s="73">
        <f t="shared" si="29"/>
        <v>19093711.474582829</v>
      </c>
      <c r="AI105" s="12">
        <f t="shared" si="30"/>
        <v>0.28866627642097997</v>
      </c>
      <c r="AL105" s="73">
        <f>Summary!G105</f>
        <v>-2159960.03066881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5454946.4341184748</v>
      </c>
      <c r="AN105" s="20">
        <f>Summary!I105</f>
        <v>6029319.0462380964</v>
      </c>
      <c r="AP105" s="12">
        <v>1</v>
      </c>
    </row>
    <row r="106" spans="1:42" x14ac:dyDescent="0.3">
      <c r="A106">
        <v>102</v>
      </c>
      <c r="B106" t="str">
        <f>Summary!B106</f>
        <v>MarinusSnowyYallourn</v>
      </c>
      <c r="C106" t="str">
        <f>Summary!C106</f>
        <v>Wind</v>
      </c>
      <c r="D106" s="90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-39733516.559874803</v>
      </c>
      <c r="H106" s="73">
        <f>SUMIFS(AM$5:AM106,$F$5:$F106,$F106,$D$5:$D106,$D106)</f>
        <v>111870343.89441602</v>
      </c>
      <c r="I106" s="20">
        <f>SUMIFS(AN$5:AN106,$F$5:$F106,$F106,$D$5:$D106,$D106)</f>
        <v>59197592.662570536</v>
      </c>
      <c r="J106" s="73">
        <f t="shared" si="16"/>
        <v>59197592.662570536</v>
      </c>
      <c r="K106" s="73">
        <f t="shared" si="17"/>
        <v>19464076.102695733</v>
      </c>
      <c r="L106" s="73">
        <f t="shared" si="18"/>
        <v>131334419.99711175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33990641.493472308</v>
      </c>
      <c r="Q106" s="73">
        <f>P106/SUMIFS(FinParameters!$H$8:$H$39,FinParameters!$B$8:$B$39,Financials!$E106,FinParameters!$C$8:$C$39,Financials!$F106)</f>
        <v>8950798.2591443397</v>
      </c>
      <c r="R106" s="73">
        <f t="shared" si="31"/>
        <v>-32153944.951870833</v>
      </c>
      <c r="S106" s="12">
        <f t="shared" si="20"/>
        <v>-0.48611604788610185</v>
      </c>
      <c r="T106" s="115">
        <f t="shared" si="21"/>
        <v>-39733516.559874803</v>
      </c>
      <c r="U106" s="73">
        <f>T106/SUMIFS(FinParameters!$L$8:$L$39,FinParameters!$B$8:$B$39,Financials!$E106,FinParameters!$C$8:$C$39,Financials!$F106)</f>
        <v>-28120490.252602156</v>
      </c>
      <c r="V106" s="73">
        <f t="shared" si="22"/>
        <v>-28120490.252602156</v>
      </c>
      <c r="W106" s="12"/>
      <c r="X106" s="73">
        <f t="shared" si="23"/>
        <v>-5742875.0664024986</v>
      </c>
      <c r="Y106" s="73">
        <f t="shared" si="24"/>
        <v>-19169691.993457817</v>
      </c>
      <c r="Z106" s="73">
        <f t="shared" si="24"/>
        <v>-60274435.204472989</v>
      </c>
      <c r="AA106" s="12">
        <f t="shared" si="25"/>
        <v>-0.91125273349889635</v>
      </c>
      <c r="AB106" s="115">
        <f t="shared" si="26"/>
        <v>111870343.89441602</v>
      </c>
      <c r="AC106" s="73">
        <f>AB106/SUMIFS(FinParameters!$L$8:$L$39,FinParameters!$B$8:$B$39,Financials!$E106,FinParameters!$C$8:$C$39,Financials!$F106)</f>
        <v>79173684.7730975</v>
      </c>
      <c r="AD106" s="73">
        <f t="shared" si="27"/>
        <v>79173684.7730975</v>
      </c>
      <c r="AE106" s="12"/>
      <c r="AF106" s="73">
        <f t="shared" si="28"/>
        <v>106127468.82801352</v>
      </c>
      <c r="AG106" s="73">
        <f t="shared" si="29"/>
        <v>60003992.779639684</v>
      </c>
      <c r="AH106" s="73">
        <f t="shared" si="29"/>
        <v>18899249.568624511</v>
      </c>
      <c r="AI106" s="12">
        <f t="shared" si="30"/>
        <v>0.28572632447012747</v>
      </c>
      <c r="AL106" s="73">
        <f>Summary!G106</f>
        <v>-7185166.4120985391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13218939.823655928</v>
      </c>
      <c r="AN106" s="20">
        <f>Summary!I106</f>
        <v>4515631.3420114061</v>
      </c>
      <c r="AP106" s="12">
        <v>1</v>
      </c>
    </row>
    <row r="107" spans="1:42" x14ac:dyDescent="0.3">
      <c r="A107">
        <v>103</v>
      </c>
      <c r="B107" t="str">
        <f>Summary!B107</f>
        <v>MarinusSnowyYallourn</v>
      </c>
      <c r="C107" t="str">
        <f>Summary!C107</f>
        <v>Wind</v>
      </c>
      <c r="D107" s="90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-94460248.21951212</v>
      </c>
      <c r="H107" s="73">
        <f>SUMIFS(AM$5:AM107,$F$5:$F107,$F107,$D$5:$D107,$D107)</f>
        <v>232107254.57668245</v>
      </c>
      <c r="I107" s="20">
        <f>SUMIFS(AN$5:AN107,$F$5:$F107,$F107,$D$5:$D107,$D107)</f>
        <v>35536964.153276592</v>
      </c>
      <c r="J107" s="73">
        <f t="shared" si="16"/>
        <v>35536964.153276592</v>
      </c>
      <c r="K107" s="73">
        <f t="shared" si="17"/>
        <v>-58923284.066235527</v>
      </c>
      <c r="L107" s="73">
        <f t="shared" si="18"/>
        <v>173183970.51044694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10330012.984178361</v>
      </c>
      <c r="Q107" s="73">
        <f>P107/SUMIFS(FinParameters!$H$8:$H$39,FinParameters!$B$8:$B$39,Financials!$E107,FinParameters!$C$8:$C$39,Financials!$F107)</f>
        <v>2720215.276121777</v>
      </c>
      <c r="R107" s="73">
        <f t="shared" si="31"/>
        <v>-55814573.46116478</v>
      </c>
      <c r="S107" s="12">
        <f t="shared" si="20"/>
        <v>-0.84382678100626873</v>
      </c>
      <c r="T107" s="115">
        <f t="shared" si="21"/>
        <v>-94460248.21951212</v>
      </c>
      <c r="U107" s="73">
        <f>T107/SUMIFS(FinParameters!$L$8:$L$39,FinParameters!$B$8:$B$39,Financials!$E107,FinParameters!$C$8:$C$39,Financials!$F107)</f>
        <v>-66852086.583185136</v>
      </c>
      <c r="V107" s="73">
        <f t="shared" si="22"/>
        <v>-66852086.583185136</v>
      </c>
      <c r="W107" s="12"/>
      <c r="X107" s="73">
        <f t="shared" si="23"/>
        <v>-84130235.235333756</v>
      </c>
      <c r="Y107" s="73">
        <f t="shared" si="24"/>
        <v>-64131871.307063356</v>
      </c>
      <c r="Z107" s="73">
        <f t="shared" si="24"/>
        <v>-122666660.04434991</v>
      </c>
      <c r="AA107" s="12">
        <f t="shared" si="25"/>
        <v>-1.8545230477132442</v>
      </c>
      <c r="AB107" s="115">
        <f t="shared" si="26"/>
        <v>232107254.57668245</v>
      </c>
      <c r="AC107" s="73">
        <f>AB107/SUMIFS(FinParameters!$L$8:$L$39,FinParameters!$B$8:$B$39,Financials!$E107,FinParameters!$C$8:$C$39,Financials!$F107)</f>
        <v>164268616.39709878</v>
      </c>
      <c r="AD107" s="73">
        <f t="shared" si="27"/>
        <v>164268616.39709878</v>
      </c>
      <c r="AE107" s="12"/>
      <c r="AF107" s="73">
        <f t="shared" si="28"/>
        <v>147977019.34134871</v>
      </c>
      <c r="AG107" s="73">
        <f t="shared" si="29"/>
        <v>100136745.09003542</v>
      </c>
      <c r="AH107" s="73">
        <f t="shared" si="29"/>
        <v>41601956.352748871</v>
      </c>
      <c r="AI107" s="12">
        <f t="shared" si="30"/>
        <v>0.62895481835275457</v>
      </c>
      <c r="AL107" s="73">
        <f>Summary!G107</f>
        <v>-11220367.735248208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24064534.742392078</v>
      </c>
      <c r="AN107" s="20">
        <f>Summary!I107</f>
        <v>2888770.3838535636</v>
      </c>
      <c r="AP107" s="12">
        <v>1</v>
      </c>
    </row>
    <row r="108" spans="1:42" x14ac:dyDescent="0.3">
      <c r="A108">
        <v>104</v>
      </c>
      <c r="B108" t="str">
        <f>Summary!B108</f>
        <v>MarinusSnowyYallourn</v>
      </c>
      <c r="C108" t="str">
        <f>Summary!C108</f>
        <v>Wind</v>
      </c>
      <c r="D108" s="90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47637731.25491672</v>
      </c>
      <c r="H108" s="73">
        <f>SUMIFS(AM$5:AM108,$F$5:$F108,$F108,$D$5:$D108,$D108)</f>
        <v>-1826669.6787171762</v>
      </c>
      <c r="I108" s="20">
        <f>SUMIFS(AN$5:AN108,$F$5:$F108,$F108,$D$5:$D108,$D108)</f>
        <v>87782360.381237924</v>
      </c>
      <c r="J108" s="73">
        <f t="shared" si="16"/>
        <v>87782360.381237924</v>
      </c>
      <c r="K108" s="73">
        <f t="shared" si="17"/>
        <v>135420091.63615465</v>
      </c>
      <c r="L108" s="73">
        <f t="shared" si="18"/>
        <v>133593421.95743747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62575409.212139696</v>
      </c>
      <c r="Q108" s="73">
        <f>P108/SUMIFS(FinParameters!$H$8:$H$39,FinParameters!$B$8:$B$39,Financials!$E108,FinParameters!$C$8:$C$39,Financials!$F108)</f>
        <v>16478060.99654896</v>
      </c>
      <c r="R108" s="73">
        <f t="shared" si="31"/>
        <v>-3569177.2332034456</v>
      </c>
      <c r="S108" s="12">
        <f t="shared" si="20"/>
        <v>-5.3960232046393428E-2</v>
      </c>
      <c r="T108" s="115">
        <f t="shared" si="21"/>
        <v>47637731.25491672</v>
      </c>
      <c r="U108" s="73">
        <f>T108/SUMIFS(FinParameters!$L$8:$L$39,FinParameters!$B$8:$B$39,Financials!$E108,FinParameters!$C$8:$C$39,Financials!$F108)</f>
        <v>33714517.953408845</v>
      </c>
      <c r="V108" s="73">
        <f t="shared" si="22"/>
        <v>33714517.953408845</v>
      </c>
      <c r="W108" s="12"/>
      <c r="X108" s="73">
        <f t="shared" si="23"/>
        <v>110213140.46705642</v>
      </c>
      <c r="Y108" s="73">
        <f t="shared" si="24"/>
        <v>50192578.949957803</v>
      </c>
      <c r="Z108" s="73">
        <f t="shared" si="24"/>
        <v>30145340.7202054</v>
      </c>
      <c r="AA108" s="12">
        <f t="shared" si="25"/>
        <v>0.45574917525737674</v>
      </c>
      <c r="AB108" s="115">
        <f t="shared" si="26"/>
        <v>-1826669.6787171762</v>
      </c>
      <c r="AC108" s="73">
        <f>AB108/SUMIFS(FinParameters!$L$8:$L$39,FinParameters!$B$8:$B$39,Financials!$E108,FinParameters!$C$8:$C$39,Financials!$F108)</f>
        <v>-1292783.8092982555</v>
      </c>
      <c r="AD108" s="73">
        <f t="shared" si="27"/>
        <v>-1292783.8092982555</v>
      </c>
      <c r="AE108" s="12"/>
      <c r="AF108" s="73">
        <f t="shared" si="28"/>
        <v>108386470.78833924</v>
      </c>
      <c r="AG108" s="73">
        <f t="shared" si="29"/>
        <v>48899795.140659548</v>
      </c>
      <c r="AH108" s="73">
        <f t="shared" si="29"/>
        <v>28852556.910907146</v>
      </c>
      <c r="AI108" s="12">
        <f t="shared" si="30"/>
        <v>0.43620435868547919</v>
      </c>
      <c r="AL108" s="73">
        <f>Summary!G108</f>
        <v>1343909.9244241479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448760.12615043699</v>
      </c>
      <c r="AN108" s="20">
        <f>Summary!I108</f>
        <v>7114110.3226529704</v>
      </c>
      <c r="AP108" s="12">
        <v>1</v>
      </c>
    </row>
    <row r="109" spans="1:42" x14ac:dyDescent="0.3">
      <c r="A109">
        <v>105</v>
      </c>
      <c r="B109" t="str">
        <f>Summary!B109</f>
        <v>MarinusSnowyYallourn</v>
      </c>
      <c r="C109" t="str">
        <f>Summary!C109</f>
        <v>Wind</v>
      </c>
      <c r="D109" s="90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287550371.3446756</v>
      </c>
      <c r="H109" s="73">
        <f>SUMIFS(AM$5:AM109,$F$5:$F109,$F109,$D$5:$D109,$D109)</f>
        <v>-305922676.05135375</v>
      </c>
      <c r="I109" s="20">
        <f>SUMIFS(AN$5:AN109,$F$5:$F109,$F109,$D$5:$D109,$D109)</f>
        <v>181006240.68507585</v>
      </c>
      <c r="J109" s="73">
        <f t="shared" si="16"/>
        <v>181006240.68507585</v>
      </c>
      <c r="K109" s="73">
        <f t="shared" si="17"/>
        <v>468556612.02975142</v>
      </c>
      <c r="L109" s="73">
        <f t="shared" si="18"/>
        <v>162633935.9783977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153758490.73675016</v>
      </c>
      <c r="Q109" s="73">
        <f>P109/SUMIFS(FinParameters!$H$8:$H$39,FinParameters!$B$8:$B$39,Financials!$E109,FinParameters!$C$8:$C$39,Financials!$F109)</f>
        <v>36808560.205380142</v>
      </c>
      <c r="R109" s="73">
        <f t="shared" si="31"/>
        <v>86417739.045584261</v>
      </c>
      <c r="S109" s="12">
        <f t="shared" si="20"/>
        <v>1.2832903832423508</v>
      </c>
      <c r="T109" s="115">
        <f t="shared" si="21"/>
        <v>287550371.3446756</v>
      </c>
      <c r="U109" s="73">
        <f>T109/SUMIFS(FinParameters!$L$8:$L$39,FinParameters!$B$8:$B$39,Financials!$E109,FinParameters!$C$8:$C$39,Financials!$F109)</f>
        <v>198543627.2697587</v>
      </c>
      <c r="V109" s="73">
        <f t="shared" si="22"/>
        <v>198543627.2697587</v>
      </c>
      <c r="W109" s="12"/>
      <c r="X109" s="73">
        <f t="shared" si="23"/>
        <v>441308862.08142573</v>
      </c>
      <c r="Y109" s="73">
        <f t="shared" si="24"/>
        <v>235352187.47513884</v>
      </c>
      <c r="Z109" s="73">
        <f t="shared" si="24"/>
        <v>284961366.31534296</v>
      </c>
      <c r="AA109" s="12">
        <f t="shared" si="25"/>
        <v>4.2316332853279635</v>
      </c>
      <c r="AB109" s="115">
        <f t="shared" si="26"/>
        <v>-305922676.05135375</v>
      </c>
      <c r="AC109" s="73">
        <f>AB109/SUMIFS(FinParameters!$L$8:$L$39,FinParameters!$B$8:$B$39,Financials!$E109,FinParameters!$C$8:$C$39,Financials!$F109)</f>
        <v>-211229070.86947075</v>
      </c>
      <c r="AD109" s="73">
        <f t="shared" si="27"/>
        <v>-211229070.86947075</v>
      </c>
      <c r="AE109" s="12"/>
      <c r="AF109" s="73">
        <f t="shared" si="28"/>
        <v>135386186.03007197</v>
      </c>
      <c r="AG109" s="73">
        <f t="shared" si="29"/>
        <v>24123116.605668098</v>
      </c>
      <c r="AH109" s="73">
        <f t="shared" si="29"/>
        <v>73732295.445872217</v>
      </c>
      <c r="AI109" s="12">
        <f t="shared" si="30"/>
        <v>1.0949134601885473</v>
      </c>
      <c r="AL109" s="73">
        <f>Summary!G109</f>
        <v>15716901.963889744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-23591294.374074675</v>
      </c>
      <c r="AN109" s="20">
        <f>Summary!I109</f>
        <v>13174072.328040201</v>
      </c>
      <c r="AP109" s="12">
        <v>1</v>
      </c>
    </row>
    <row r="110" spans="1:42" x14ac:dyDescent="0.3">
      <c r="A110">
        <v>106</v>
      </c>
      <c r="B110" t="str">
        <f>Summary!B110</f>
        <v>MarinusSnowyYallourn</v>
      </c>
      <c r="C110" t="str">
        <f>Summary!C110</f>
        <v>Wind</v>
      </c>
      <c r="D110" s="90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161172470.20908824</v>
      </c>
      <c r="H110" s="73">
        <f>SUMIFS(AM$5:AM110,$F$5:$F110,$F110,$D$5:$D110,$D110)</f>
        <v>-130310117.50784138</v>
      </c>
      <c r="I110" s="20">
        <f>SUMIFS(AN$5:AN110,$F$5:$F110,$F110,$D$5:$D110,$D110)</f>
        <v>130507967.83768106</v>
      </c>
      <c r="J110" s="73">
        <f t="shared" si="16"/>
        <v>130507967.83768106</v>
      </c>
      <c r="K110" s="73">
        <f t="shared" si="17"/>
        <v>291680438.04676926</v>
      </c>
      <c r="L110" s="73">
        <f t="shared" si="18"/>
        <v>161370320.53892791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103260217.88935536</v>
      </c>
      <c r="Q110" s="73">
        <f>P110/SUMIFS(FinParameters!$H$8:$H$39,FinParameters!$B$8:$B$39,Financials!$E110,FinParameters!$C$8:$C$39,Financials!$F110)</f>
        <v>24719675.178839125</v>
      </c>
      <c r="R110" s="73">
        <f t="shared" si="31"/>
        <v>35919466.198189475</v>
      </c>
      <c r="S110" s="12">
        <f t="shared" si="20"/>
        <v>0.53339865231860151</v>
      </c>
      <c r="T110" s="115">
        <f t="shared" si="21"/>
        <v>161172470.20908824</v>
      </c>
      <c r="U110" s="73">
        <f>T110/SUMIFS(FinParameters!$L$8:$L$39,FinParameters!$B$8:$B$39,Financials!$E110,FinParameters!$C$8:$C$39,Financials!$F110)</f>
        <v>111284039.39003302</v>
      </c>
      <c r="V110" s="73">
        <f t="shared" si="22"/>
        <v>111284039.39003302</v>
      </c>
      <c r="W110" s="12"/>
      <c r="X110" s="73">
        <f t="shared" si="23"/>
        <v>264432688.09844357</v>
      </c>
      <c r="Y110" s="73">
        <f t="shared" si="24"/>
        <v>136003714.56887215</v>
      </c>
      <c r="Z110" s="73">
        <f t="shared" si="24"/>
        <v>147203505.5882225</v>
      </c>
      <c r="AA110" s="12">
        <f t="shared" si="25"/>
        <v>2.1859498430210338</v>
      </c>
      <c r="AB110" s="115">
        <f t="shared" si="26"/>
        <v>-130310117.50784138</v>
      </c>
      <c r="AC110" s="73">
        <f>AB110/SUMIFS(FinParameters!$L$8:$L$39,FinParameters!$B$8:$B$39,Financials!$E110,FinParameters!$C$8:$C$39,Financials!$F110)</f>
        <v>-89974647.846805423</v>
      </c>
      <c r="AD110" s="73">
        <f t="shared" si="27"/>
        <v>-89974647.846805423</v>
      </c>
      <c r="AE110" s="12"/>
      <c r="AF110" s="73">
        <f t="shared" si="28"/>
        <v>134122570.59060219</v>
      </c>
      <c r="AG110" s="73">
        <f t="shared" si="29"/>
        <v>46029066.72206673</v>
      </c>
      <c r="AH110" s="73">
        <f t="shared" si="29"/>
        <v>57228857.74141708</v>
      </c>
      <c r="AI110" s="12">
        <f t="shared" si="30"/>
        <v>0.84983990086532779</v>
      </c>
      <c r="AL110" s="73">
        <f>Summary!G110</f>
        <v>6934097.1145695476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-9589629.2172285765</v>
      </c>
      <c r="AN110" s="20">
        <f>Summary!I110</f>
        <v>9484967.0903504491</v>
      </c>
      <c r="AP110" s="12">
        <v>1</v>
      </c>
    </row>
    <row r="111" spans="1:42" x14ac:dyDescent="0.3">
      <c r="A111">
        <v>107</v>
      </c>
      <c r="B111" t="str">
        <f>Summary!B111</f>
        <v>MarinusSnowyYallourn</v>
      </c>
      <c r="C111" t="str">
        <f>Summary!C111</f>
        <v>Wind</v>
      </c>
      <c r="D111" s="90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92493438.396915048</v>
      </c>
      <c r="H111" s="73">
        <f>SUMIFS(AM$5:AM111,$F$5:$F111,$F111,$D$5:$D111,$D111)</f>
        <v>-54212678.730171435</v>
      </c>
      <c r="I111" s="20">
        <f>SUMIFS(AN$5:AN111,$F$5:$F111,$F111,$D$5:$D111,$D111)</f>
        <v>107743187.3616695</v>
      </c>
      <c r="J111" s="73">
        <f t="shared" si="16"/>
        <v>107743187.3616695</v>
      </c>
      <c r="K111" s="73">
        <f t="shared" si="17"/>
        <v>200236625.75858456</v>
      </c>
      <c r="L111" s="73">
        <f t="shared" si="18"/>
        <v>146023947.02841312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80495437.413343817</v>
      </c>
      <c r="Q111" s="73">
        <f>P111/SUMIFS(FinParameters!$H$8:$H$39,FinParameters!$B$8:$B$39,Financials!$E111,FinParameters!$C$8:$C$39,Financials!$F111)</f>
        <v>19269967.727247603</v>
      </c>
      <c r="R111" s="73">
        <f t="shared" si="31"/>
        <v>13154685.722177926</v>
      </c>
      <c r="S111" s="12">
        <f t="shared" si="20"/>
        <v>0.19534509775755332</v>
      </c>
      <c r="T111" s="115">
        <f t="shared" si="21"/>
        <v>92493438.396915048</v>
      </c>
      <c r="U111" s="73">
        <f>T111/SUMIFS(FinParameters!$L$8:$L$39,FinParameters!$B$8:$B$39,Financials!$E111,FinParameters!$C$8:$C$39,Financials!$F111)</f>
        <v>63863533.446678415</v>
      </c>
      <c r="V111" s="73">
        <f t="shared" si="22"/>
        <v>63863533.446678415</v>
      </c>
      <c r="W111" s="12"/>
      <c r="X111" s="73">
        <f t="shared" si="23"/>
        <v>172988875.81025887</v>
      </c>
      <c r="Y111" s="73">
        <f t="shared" si="24"/>
        <v>83133501.173926026</v>
      </c>
      <c r="Z111" s="73">
        <f t="shared" si="24"/>
        <v>77018219.168856338</v>
      </c>
      <c r="AA111" s="12">
        <f t="shared" si="25"/>
        <v>1.1437089315853299</v>
      </c>
      <c r="AB111" s="115">
        <f t="shared" si="26"/>
        <v>-54212678.730171435</v>
      </c>
      <c r="AC111" s="73">
        <f>AB111/SUMIFS(FinParameters!$L$8:$L$39,FinParameters!$B$8:$B$39,Financials!$E111,FinParameters!$C$8:$C$39,Financials!$F111)</f>
        <v>-37431987.407160886</v>
      </c>
      <c r="AD111" s="73">
        <f t="shared" si="27"/>
        <v>-37431987.407160886</v>
      </c>
      <c r="AE111" s="12"/>
      <c r="AF111" s="73">
        <f t="shared" si="28"/>
        <v>118776197.08008742</v>
      </c>
      <c r="AG111" s="73">
        <f t="shared" si="29"/>
        <v>45701513.76676514</v>
      </c>
      <c r="AH111" s="73">
        <f t="shared" si="29"/>
        <v>39586231.761695452</v>
      </c>
      <c r="AI111" s="12">
        <f t="shared" si="30"/>
        <v>0.58784956757304174</v>
      </c>
      <c r="AL111" s="73">
        <f>Summary!G111</f>
        <v>4341984.449229572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-4420220.0084338496</v>
      </c>
      <c r="AN111" s="20">
        <f>Summary!I111</f>
        <v>8216563.6153750448</v>
      </c>
      <c r="AP111" s="12">
        <v>1</v>
      </c>
    </row>
    <row r="112" spans="1:42" x14ac:dyDescent="0.3">
      <c r="A112">
        <v>108</v>
      </c>
      <c r="B112" t="str">
        <f>Summary!B112</f>
        <v>MarinusSnowyYallourn</v>
      </c>
      <c r="C112" t="str">
        <f>Summary!C112</f>
        <v>Wind</v>
      </c>
      <c r="D112" s="90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42861521.519034199</v>
      </c>
      <c r="H112" s="73">
        <f>SUMIFS(AM$5:AM112,$F$5:$F112,$F112,$D$5:$D112,$D112)</f>
        <v>-481273.34640643303</v>
      </c>
      <c r="I112" s="20">
        <f>SUMIFS(AN$5:AN112,$F$5:$F112,$F112,$D$5:$D112,$D112)</f>
        <v>93848198.526860952</v>
      </c>
      <c r="J112" s="73">
        <f t="shared" si="16"/>
        <v>93848198.526860952</v>
      </c>
      <c r="K112" s="73">
        <f t="shared" si="17"/>
        <v>136709720.04589516</v>
      </c>
      <c r="L112" s="73">
        <f t="shared" si="18"/>
        <v>136228446.69948873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66600448.578535266</v>
      </c>
      <c r="Q112" s="73">
        <f>P112/SUMIFS(FinParameters!$H$8:$H$39,FinParameters!$B$8:$B$39,Financials!$E112,FinParameters!$C$8:$C$39,Financials!$F112)</f>
        <v>15943617.874121139</v>
      </c>
      <c r="R112" s="73">
        <f t="shared" si="31"/>
        <v>-740303.11263062339</v>
      </c>
      <c r="S112" s="12">
        <f t="shared" si="20"/>
        <v>-1.0993389500992757E-2</v>
      </c>
      <c r="T112" s="115">
        <f t="shared" si="21"/>
        <v>42861521.519034199</v>
      </c>
      <c r="U112" s="73">
        <f>T112/SUMIFS(FinParameters!$L$8:$L$39,FinParameters!$B$8:$B$39,Financials!$E112,FinParameters!$C$8:$C$39,Financials!$F112)</f>
        <v>29594404.322606139</v>
      </c>
      <c r="V112" s="73">
        <f t="shared" si="22"/>
        <v>29594404.322606139</v>
      </c>
      <c r="W112" s="12"/>
      <c r="X112" s="73">
        <f t="shared" si="23"/>
        <v>109461970.09756947</v>
      </c>
      <c r="Y112" s="73">
        <f t="shared" si="24"/>
        <v>45538022.196727276</v>
      </c>
      <c r="Z112" s="73">
        <f t="shared" si="24"/>
        <v>28854101.209975515</v>
      </c>
      <c r="AA112" s="12">
        <f t="shared" si="25"/>
        <v>0.42847904850103929</v>
      </c>
      <c r="AB112" s="115">
        <f t="shared" si="26"/>
        <v>-481273.34640643303</v>
      </c>
      <c r="AC112" s="73">
        <f>AB112/SUMIFS(FinParameters!$L$8:$L$39,FinParameters!$B$8:$B$39,Financials!$E112,FinParameters!$C$8:$C$39,Financials!$F112)</f>
        <v>-332302.66911828006</v>
      </c>
      <c r="AD112" s="73">
        <f t="shared" si="27"/>
        <v>-332302.66911828006</v>
      </c>
      <c r="AE112" s="12"/>
      <c r="AF112" s="73">
        <f t="shared" si="28"/>
        <v>108980696.75116304</v>
      </c>
      <c r="AG112" s="73">
        <f t="shared" si="29"/>
        <v>45205719.527608998</v>
      </c>
      <c r="AH112" s="73">
        <f t="shared" si="29"/>
        <v>28521798.540857233</v>
      </c>
      <c r="AI112" s="12">
        <f t="shared" si="30"/>
        <v>0.42354440401351906</v>
      </c>
      <c r="AL112" s="73">
        <f>Summary!G112</f>
        <v>1773963.765345963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-136901.15844681405</v>
      </c>
      <c r="AN112" s="20">
        <f>Summary!I112</f>
        <v>7317971.7846809132</v>
      </c>
      <c r="AP112" s="12">
        <v>1</v>
      </c>
    </row>
    <row r="113" spans="1:42" x14ac:dyDescent="0.3">
      <c r="A113">
        <v>109</v>
      </c>
      <c r="B113" t="str">
        <f>Summary!B113</f>
        <v>MarinusSnowyYallourn</v>
      </c>
      <c r="C113" t="str">
        <f>Summary!C113</f>
        <v>Wind</v>
      </c>
      <c r="D113" s="90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-28494.727680830751</v>
      </c>
      <c r="H113" s="73">
        <f>SUMIFS(AM$5:AM113,$F$5:$F113,$F113,$D$5:$D113,$D113)</f>
        <v>53578918.618649915</v>
      </c>
      <c r="I113" s="20">
        <f>SUMIFS(AN$5:AN113,$F$5:$F113,$F113,$D$5:$D113,$D113)</f>
        <v>80544660.920560181</v>
      </c>
      <c r="J113" s="73">
        <f t="shared" si="16"/>
        <v>80544660.920560181</v>
      </c>
      <c r="K113" s="73">
        <f t="shared" si="17"/>
        <v>80516166.192879349</v>
      </c>
      <c r="L113" s="73">
        <f t="shared" si="18"/>
        <v>134095084.81152926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53296910.972234495</v>
      </c>
      <c r="Q113" s="73">
        <f>P113/SUMIFS(FinParameters!$H$8:$H$39,FinParameters!$B$8:$B$39,Financials!$E113,FinParameters!$C$8:$C$39,Financials!$F113)</f>
        <v>12758856.742689064</v>
      </c>
      <c r="R113" s="73">
        <f t="shared" si="31"/>
        <v>-14043840.718931396</v>
      </c>
      <c r="S113" s="12">
        <f t="shared" si="20"/>
        <v>-0.20854891527404407</v>
      </c>
      <c r="T113" s="115">
        <f t="shared" si="21"/>
        <v>-28494.727680830751</v>
      </c>
      <c r="U113" s="73">
        <f>T113/SUMIFS(FinParameters!$L$8:$L$39,FinParameters!$B$8:$B$39,Financials!$E113,FinParameters!$C$8:$C$39,Financials!$F113)</f>
        <v>-19674.628015120077</v>
      </c>
      <c r="V113" s="73">
        <f t="shared" si="22"/>
        <v>-19674.628015120077</v>
      </c>
      <c r="W113" s="12"/>
      <c r="X113" s="73">
        <f t="shared" si="23"/>
        <v>53268416.244553663</v>
      </c>
      <c r="Y113" s="73">
        <f t="shared" si="24"/>
        <v>12739182.114673944</v>
      </c>
      <c r="Z113" s="73">
        <f t="shared" si="24"/>
        <v>-14063515.346946515</v>
      </c>
      <c r="AA113" s="12">
        <f t="shared" si="25"/>
        <v>-0.20884108053090591</v>
      </c>
      <c r="AB113" s="115">
        <f t="shared" si="26"/>
        <v>53578918.618649915</v>
      </c>
      <c r="AC113" s="73">
        <f>AB113/SUMIFS(FinParameters!$L$8:$L$39,FinParameters!$B$8:$B$39,Financials!$E113,FinParameters!$C$8:$C$39,Financials!$F113)</f>
        <v>36994397.878856838</v>
      </c>
      <c r="AD113" s="73">
        <f t="shared" si="27"/>
        <v>36994397.878856838</v>
      </c>
      <c r="AE113" s="12"/>
      <c r="AF113" s="73">
        <f t="shared" si="28"/>
        <v>106847334.86320359</v>
      </c>
      <c r="AG113" s="73">
        <f t="shared" si="29"/>
        <v>49733579.99353078</v>
      </c>
      <c r="AH113" s="73">
        <f t="shared" si="29"/>
        <v>22930882.531910323</v>
      </c>
      <c r="AI113" s="12">
        <f t="shared" si="30"/>
        <v>0.34052014502413869</v>
      </c>
      <c r="AL113" s="73">
        <f>Summary!G113</f>
        <v>-3188705.9654844566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6020051.0993485516</v>
      </c>
      <c r="AN113" s="20">
        <f>Summary!I113</f>
        <v>5994683.2118304949</v>
      </c>
      <c r="AP113" s="12">
        <v>1</v>
      </c>
    </row>
    <row r="114" spans="1:42" x14ac:dyDescent="0.3">
      <c r="A114">
        <v>110</v>
      </c>
      <c r="B114" t="str">
        <f>Summary!B114</f>
        <v>MarinusSnowyYallourn</v>
      </c>
      <c r="C114" t="str">
        <f>Summary!C114</f>
        <v>Wind</v>
      </c>
      <c r="D114" s="90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-49441181.294179074</v>
      </c>
      <c r="H114" s="73">
        <f>SUMIFS(AM$5:AM114,$F$5:$F114,$F114,$D$5:$D114,$D114)</f>
        <v>127521811.26689105</v>
      </c>
      <c r="I114" s="20">
        <f>SUMIFS(AN$5:AN114,$F$5:$F114,$F114,$D$5:$D114,$D114)</f>
        <v>63409497.701328717</v>
      </c>
      <c r="J114" s="73">
        <f t="shared" si="16"/>
        <v>63409497.701328717</v>
      </c>
      <c r="K114" s="73">
        <f t="shared" si="17"/>
        <v>13968316.407149643</v>
      </c>
      <c r="L114" s="73">
        <f t="shared" si="18"/>
        <v>141490127.6740407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36161747.753003031</v>
      </c>
      <c r="Q114" s="73">
        <f>P114/SUMIFS(FinParameters!$H$8:$H$39,FinParameters!$B$8:$B$39,Financials!$E114,FinParameters!$C$8:$C$39,Financials!$F114)</f>
        <v>8656834.9033621326</v>
      </c>
      <c r="R114" s="73">
        <f t="shared" si="31"/>
        <v>-31179003.93816286</v>
      </c>
      <c r="S114" s="12">
        <f t="shared" si="20"/>
        <v>-0.46300350315592159</v>
      </c>
      <c r="T114" s="115">
        <f t="shared" si="21"/>
        <v>-49441181.294179074</v>
      </c>
      <c r="U114" s="73">
        <f>T114/SUMIFS(FinParameters!$L$8:$L$39,FinParameters!$B$8:$B$39,Financials!$E114,FinParameters!$C$8:$C$39,Financials!$F114)</f>
        <v>-34137432.773062624</v>
      </c>
      <c r="V114" s="73">
        <f t="shared" si="22"/>
        <v>-34137432.773062624</v>
      </c>
      <c r="W114" s="12"/>
      <c r="X114" s="73">
        <f t="shared" si="23"/>
        <v>-13279433.541176043</v>
      </c>
      <c r="Y114" s="73">
        <f t="shared" si="24"/>
        <v>-25480597.869700491</v>
      </c>
      <c r="Z114" s="73">
        <f t="shared" si="24"/>
        <v>-65316436.71122548</v>
      </c>
      <c r="AA114" s="12">
        <f t="shared" si="25"/>
        <v>-0.9699392280439012</v>
      </c>
      <c r="AB114" s="115">
        <f t="shared" si="26"/>
        <v>127521811.26689105</v>
      </c>
      <c r="AC114" s="73">
        <f>AB114/SUMIFS(FinParameters!$L$8:$L$39,FinParameters!$B$8:$B$39,Financials!$E114,FinParameters!$C$8:$C$39,Financials!$F114)</f>
        <v>88049418.425510034</v>
      </c>
      <c r="AD114" s="73">
        <f t="shared" si="27"/>
        <v>88049418.425510034</v>
      </c>
      <c r="AE114" s="12"/>
      <c r="AF114" s="73">
        <f t="shared" si="28"/>
        <v>114242377.72571501</v>
      </c>
      <c r="AG114" s="73">
        <f t="shared" si="29"/>
        <v>62568820.555809543</v>
      </c>
      <c r="AH114" s="73">
        <f t="shared" si="29"/>
        <v>22732981.714284554</v>
      </c>
      <c r="AI114" s="12">
        <f t="shared" si="30"/>
        <v>0.33758134774825782</v>
      </c>
      <c r="AL114" s="73">
        <f>Summary!G114</f>
        <v>-9707664.7343042735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15651467.372475026</v>
      </c>
      <c r="AN114" s="20">
        <f>Summary!I114</f>
        <v>4211905.038758181</v>
      </c>
      <c r="AP114" s="12">
        <v>1</v>
      </c>
    </row>
    <row r="115" spans="1:42" x14ac:dyDescent="0.3">
      <c r="A115">
        <v>111</v>
      </c>
      <c r="B115" t="str">
        <f>Summary!B115</f>
        <v>MarinusSnowyYallourn</v>
      </c>
      <c r="C115" t="str">
        <f>Summary!C115</f>
        <v>Wind</v>
      </c>
      <c r="D115" s="90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-107633612.16955811</v>
      </c>
      <c r="H115" s="73">
        <f>SUMIFS(AM$5:AM115,$F$5:$F115,$F115,$D$5:$D115,$D115)</f>
        <v>260472909.04691622</v>
      </c>
      <c r="I115" s="20">
        <f>SUMIFS(AN$5:AN115,$F$5:$F115,$F115,$D$5:$D115,$D115)</f>
        <v>38226186.936351709</v>
      </c>
      <c r="J115" s="73">
        <f t="shared" si="16"/>
        <v>38226186.936351709</v>
      </c>
      <c r="K115" s="73">
        <f t="shared" si="17"/>
        <v>-69407425.233206391</v>
      </c>
      <c r="L115" s="73">
        <f t="shared" si="18"/>
        <v>191065483.81370983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10978436.988026023</v>
      </c>
      <c r="Q115" s="73">
        <f>P115/SUMIFS(FinParameters!$H$8:$H$39,FinParameters!$B$8:$B$39,Financials!$E115,FinParameters!$C$8:$C$39,Financials!$F115)</f>
        <v>2628150.5294337748</v>
      </c>
      <c r="R115" s="73">
        <f t="shared" si="31"/>
        <v>-56362314.703139864</v>
      </c>
      <c r="S115" s="12">
        <f t="shared" si="20"/>
        <v>-0.8369718675197646</v>
      </c>
      <c r="T115" s="115">
        <f t="shared" si="21"/>
        <v>-107633612.16955811</v>
      </c>
      <c r="U115" s="73">
        <f>T115/SUMIFS(FinParameters!$L$8:$L$39,FinParameters!$B$8:$B$39,Financials!$E115,FinParameters!$C$8:$C$39,Financials!$F115)</f>
        <v>-74317301.961245418</v>
      </c>
      <c r="V115" s="73">
        <f t="shared" si="22"/>
        <v>-74317301.961245418</v>
      </c>
      <c r="W115" s="12"/>
      <c r="X115" s="73">
        <f t="shared" si="23"/>
        <v>-96655175.181532085</v>
      </c>
      <c r="Y115" s="73">
        <f t="shared" si="24"/>
        <v>-71689151.431811646</v>
      </c>
      <c r="Z115" s="73">
        <f t="shared" si="24"/>
        <v>-130679616.66438529</v>
      </c>
      <c r="AA115" s="12">
        <f t="shared" si="25"/>
        <v>-1.9405725861763512</v>
      </c>
      <c r="AB115" s="115">
        <f t="shared" si="26"/>
        <v>260472909.04691622</v>
      </c>
      <c r="AC115" s="73">
        <f>AB115/SUMIFS(FinParameters!$L$8:$L$39,FinParameters!$B$8:$B$39,Financials!$E115,FinParameters!$C$8:$C$39,Financials!$F115)</f>
        <v>179847572.1865496</v>
      </c>
      <c r="AD115" s="73">
        <f t="shared" si="27"/>
        <v>179847572.1865496</v>
      </c>
      <c r="AE115" s="12"/>
      <c r="AF115" s="73">
        <f t="shared" si="28"/>
        <v>163817733.86538413</v>
      </c>
      <c r="AG115" s="73">
        <f t="shared" si="29"/>
        <v>108158420.75473796</v>
      </c>
      <c r="AH115" s="73">
        <f t="shared" si="29"/>
        <v>49167955.522164315</v>
      </c>
      <c r="AI115" s="12">
        <f t="shared" si="30"/>
        <v>0.73013671940662972</v>
      </c>
      <c r="AL115" s="73">
        <f>Summary!G115</f>
        <v>-13173363.950045982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28365654.470233768</v>
      </c>
      <c r="AN115" s="20">
        <f>Summary!I115</f>
        <v>2689222.7830751156</v>
      </c>
      <c r="AP115" s="12">
        <v>1</v>
      </c>
    </row>
    <row r="116" spans="1:42" x14ac:dyDescent="0.3">
      <c r="A116">
        <v>112</v>
      </c>
      <c r="B116" t="str">
        <f>Summary!B116</f>
        <v>MarinusSnowyYallourn</v>
      </c>
      <c r="C116" t="str">
        <f>Summary!C116</f>
        <v>Wind</v>
      </c>
      <c r="D116" s="90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48005357.170730755</v>
      </c>
      <c r="H116" s="73">
        <f>SUMIFS(AM$5:AM116,$F$5:$F116,$F116,$D$5:$D116,$D116)</f>
        <v>-675701.50516261859</v>
      </c>
      <c r="I116" s="20">
        <f>SUMIFS(AN$5:AN116,$F$5:$F116,$F116,$D$5:$D116,$D116)</f>
        <v>94875722.074624121</v>
      </c>
      <c r="J116" s="73">
        <f t="shared" si="16"/>
        <v>94875722.074624121</v>
      </c>
      <c r="K116" s="73">
        <f t="shared" si="17"/>
        <v>142881079.24535489</v>
      </c>
      <c r="L116" s="73">
        <f t="shared" si="18"/>
        <v>142205377.74019226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67627972.126298428</v>
      </c>
      <c r="Q116" s="73">
        <f>P116/SUMIFS(FinParameters!$H$8:$H$39,FinParameters!$B$8:$B$39,Financials!$E116,FinParameters!$C$8:$C$39,Financials!$F116)</f>
        <v>16189598.841995236</v>
      </c>
      <c r="R116" s="73">
        <f t="shared" si="31"/>
        <v>287220.43513253797</v>
      </c>
      <c r="S116" s="12">
        <f t="shared" si="20"/>
        <v>4.2651801163398209E-3</v>
      </c>
      <c r="T116" s="115">
        <f t="shared" si="21"/>
        <v>48005357.170730755</v>
      </c>
      <c r="U116" s="73">
        <f>T116/SUMIFS(FinParameters!$L$8:$L$39,FinParameters!$B$8:$B$39,Financials!$E116,FinParameters!$C$8:$C$39,Financials!$F116)</f>
        <v>33146045.670143031</v>
      </c>
      <c r="V116" s="73">
        <f t="shared" si="22"/>
        <v>33146045.670143031</v>
      </c>
      <c r="W116" s="12"/>
      <c r="X116" s="73">
        <f t="shared" si="23"/>
        <v>115633329.2970292</v>
      </c>
      <c r="Y116" s="73">
        <f t="shared" si="24"/>
        <v>49335644.512138262</v>
      </c>
      <c r="Z116" s="73">
        <f t="shared" si="24"/>
        <v>33433266.105275568</v>
      </c>
      <c r="AA116" s="12">
        <f t="shared" si="25"/>
        <v>0.49647895613944437</v>
      </c>
      <c r="AB116" s="115">
        <f t="shared" si="26"/>
        <v>-675701.50516261859</v>
      </c>
      <c r="AC116" s="73">
        <f>AB116/SUMIFS(FinParameters!$L$8:$L$39,FinParameters!$B$8:$B$39,Financials!$E116,FinParameters!$C$8:$C$39,Financials!$F116)</f>
        <v>-466548.61601904855</v>
      </c>
      <c r="AD116" s="73">
        <f t="shared" si="27"/>
        <v>-466548.61601904855</v>
      </c>
      <c r="AE116" s="12"/>
      <c r="AF116" s="73">
        <f t="shared" si="28"/>
        <v>114957627.79186659</v>
      </c>
      <c r="AG116" s="73">
        <f t="shared" si="29"/>
        <v>48869095.896119215</v>
      </c>
      <c r="AH116" s="73">
        <f t="shared" si="29"/>
        <v>32966717.48925652</v>
      </c>
      <c r="AI116" s="12">
        <f t="shared" si="30"/>
        <v>0.48955077959994414</v>
      </c>
      <c r="AL116" s="73">
        <f>Summary!G116</f>
        <v>367625.91581403313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1150968.1735545576</v>
      </c>
      <c r="AN116" s="20">
        <f>Summary!I116</f>
        <v>7093361.6933861952</v>
      </c>
      <c r="AP116" s="12">
        <v>1</v>
      </c>
    </row>
    <row r="117" spans="1:42" x14ac:dyDescent="0.3">
      <c r="A117">
        <v>113</v>
      </c>
      <c r="B117" t="str">
        <f>Summary!B117</f>
        <v>MarinusSnowyYallourn</v>
      </c>
      <c r="C117" t="str">
        <f>Summary!C117</f>
        <v>Wind</v>
      </c>
      <c r="D117" s="90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305425947.29215497</v>
      </c>
      <c r="H117" s="73">
        <f>SUMIFS(AM$5:AM117,$F$5:$F117,$F117,$D$5:$D117,$D117)</f>
        <v>-326044647.66142493</v>
      </c>
      <c r="I117" s="20">
        <f>SUMIFS(AN$5:AN117,$F$5:$F117,$F117,$D$5:$D117,$D117)</f>
        <v>195022298.82254487</v>
      </c>
      <c r="J117" s="73">
        <f t="shared" si="16"/>
        <v>195022298.82254487</v>
      </c>
      <c r="K117" s="73">
        <f t="shared" si="17"/>
        <v>500448246.11469984</v>
      </c>
      <c r="L117" s="73">
        <f t="shared" si="18"/>
        <v>174403598.45327491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165682730.12551105</v>
      </c>
      <c r="Q117" s="73">
        <f>P117/SUMIFS(FinParameters!$H$8:$H$39,FinParameters!$B$8:$B$39,Financials!$E117,FinParameters!$C$8:$C$39,Financials!$F117)</f>
        <v>36057389.372567371</v>
      </c>
      <c r="R117" s="73">
        <f t="shared" si="31"/>
        <v>97327956.53277269</v>
      </c>
      <c r="S117" s="12">
        <f t="shared" si="20"/>
        <v>1.423864807345544</v>
      </c>
      <c r="T117" s="115">
        <f t="shared" si="21"/>
        <v>305425947.29215497</v>
      </c>
      <c r="U117" s="73">
        <f>T117/SUMIFS(FinParameters!$L$8:$L$39,FinParameters!$B$8:$B$39,Financials!$E117,FinParameters!$C$8:$C$39,Financials!$F117)</f>
        <v>205742533.43429527</v>
      </c>
      <c r="V117" s="73">
        <f t="shared" si="22"/>
        <v>205742533.43429527</v>
      </c>
      <c r="W117" s="12"/>
      <c r="X117" s="73">
        <f t="shared" si="23"/>
        <v>471108677.41766602</v>
      </c>
      <c r="Y117" s="73">
        <f t="shared" si="24"/>
        <v>241799922.80686265</v>
      </c>
      <c r="Z117" s="73">
        <f t="shared" si="24"/>
        <v>303070489.96706796</v>
      </c>
      <c r="AA117" s="12">
        <f t="shared" si="25"/>
        <v>4.4337867574952297</v>
      </c>
      <c r="AB117" s="115">
        <f t="shared" si="26"/>
        <v>-326044647.66142493</v>
      </c>
      <c r="AC117" s="73">
        <f>AB117/SUMIFS(FinParameters!$L$8:$L$39,FinParameters!$B$8:$B$39,Financials!$E117,FinParameters!$C$8:$C$39,Financials!$F117)</f>
        <v>-219631804.09943107</v>
      </c>
      <c r="AD117" s="73">
        <f t="shared" si="27"/>
        <v>-219631804.09943107</v>
      </c>
      <c r="AE117" s="12"/>
      <c r="AF117" s="73">
        <f t="shared" si="28"/>
        <v>145064029.75624108</v>
      </c>
      <c r="AG117" s="73">
        <f t="shared" si="29"/>
        <v>22168118.707431585</v>
      </c>
      <c r="AH117" s="73">
        <f t="shared" si="29"/>
        <v>83438685.867636889</v>
      </c>
      <c r="AI117" s="12">
        <f t="shared" si="30"/>
        <v>1.2206709419413682</v>
      </c>
      <c r="AL117" s="73">
        <f>Summary!G117</f>
        <v>17875575.947479371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-20121971.610071175</v>
      </c>
      <c r="AN117" s="20">
        <f>Summary!I117</f>
        <v>14016058.137469009</v>
      </c>
      <c r="AP117" s="12">
        <v>1</v>
      </c>
    </row>
    <row r="118" spans="1:42" x14ac:dyDescent="0.3">
      <c r="A118">
        <v>114</v>
      </c>
      <c r="B118" t="str">
        <f>Summary!B118</f>
        <v>MarinusSnowyYallourn</v>
      </c>
      <c r="C118" t="str">
        <f>Summary!C118</f>
        <v>Wind</v>
      </c>
      <c r="D118" s="90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169799332.86645949</v>
      </c>
      <c r="H118" s="73">
        <f>SUMIFS(AM$5:AM118,$F$5:$F118,$F118,$D$5:$D118,$D118)</f>
        <v>-138638720.99857533</v>
      </c>
      <c r="I118" s="20">
        <f>SUMIFS(AN$5:AN118,$F$5:$F118,$F118,$D$5:$D118,$D118)</f>
        <v>140558593.66393232</v>
      </c>
      <c r="J118" s="73">
        <f t="shared" si="16"/>
        <v>140558593.66393232</v>
      </c>
      <c r="K118" s="73">
        <f t="shared" si="17"/>
        <v>310357926.53039181</v>
      </c>
      <c r="L118" s="73">
        <f t="shared" si="18"/>
        <v>171719205.53181648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111219024.9668985</v>
      </c>
      <c r="Q118" s="73">
        <f>P118/SUMIFS(FinParameters!$H$8:$H$39,FinParameters!$B$8:$B$39,Financials!$E118,FinParameters!$C$8:$C$39,Financials!$F118)</f>
        <v>24204500.286969069</v>
      </c>
      <c r="R118" s="73">
        <f t="shared" si="31"/>
        <v>42864251.374160141</v>
      </c>
      <c r="S118" s="12">
        <f t="shared" si="20"/>
        <v>0.6270849733121463</v>
      </c>
      <c r="T118" s="115">
        <f t="shared" si="21"/>
        <v>169799332.86645949</v>
      </c>
      <c r="U118" s="73">
        <f>T118/SUMIFS(FinParameters!$L$8:$L$39,FinParameters!$B$8:$B$39,Financials!$E118,FinParameters!$C$8:$C$39,Financials!$F118)</f>
        <v>114381064.31075935</v>
      </c>
      <c r="V118" s="73">
        <f t="shared" si="22"/>
        <v>114381064.31075935</v>
      </c>
      <c r="W118" s="12"/>
      <c r="X118" s="73">
        <f t="shared" si="23"/>
        <v>281018357.83335799</v>
      </c>
      <c r="Y118" s="73">
        <f t="shared" si="24"/>
        <v>138585564.59772843</v>
      </c>
      <c r="Z118" s="73">
        <f t="shared" si="24"/>
        <v>157245315.68491948</v>
      </c>
      <c r="AA118" s="12">
        <f t="shared" si="25"/>
        <v>2.3004291788280367</v>
      </c>
      <c r="AB118" s="115">
        <f t="shared" si="26"/>
        <v>-138638720.99857533</v>
      </c>
      <c r="AC118" s="73">
        <f>AB118/SUMIFS(FinParameters!$L$8:$L$39,FinParameters!$B$8:$B$39,Financials!$E118,FinParameters!$C$8:$C$39,Financials!$F118)</f>
        <v>-93390499.213391393</v>
      </c>
      <c r="AD118" s="73">
        <f t="shared" si="27"/>
        <v>-93390499.213391393</v>
      </c>
      <c r="AE118" s="12"/>
      <c r="AF118" s="73">
        <f t="shared" si="28"/>
        <v>142379636.83478266</v>
      </c>
      <c r="AG118" s="73">
        <f t="shared" si="29"/>
        <v>45195065.384337038</v>
      </c>
      <c r="AH118" s="73">
        <f t="shared" si="29"/>
        <v>63854816.471528083</v>
      </c>
      <c r="AI118" s="12">
        <f t="shared" si="30"/>
        <v>0.93416762451703406</v>
      </c>
      <c r="AL118" s="73">
        <f>Summary!G118</f>
        <v>8626862.6573712379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-8328603.4907339429</v>
      </c>
      <c r="AN118" s="20">
        <f>Summary!I118</f>
        <v>10050625.826251255</v>
      </c>
      <c r="AP118" s="12">
        <v>1</v>
      </c>
    </row>
    <row r="119" spans="1:42" x14ac:dyDescent="0.3">
      <c r="A119">
        <v>115</v>
      </c>
      <c r="B119" t="str">
        <f>Summary!B119</f>
        <v>MarinusSnowyYallourn</v>
      </c>
      <c r="C119" t="str">
        <f>Summary!C119</f>
        <v>Wind</v>
      </c>
      <c r="D119" s="90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99320911.749849662</v>
      </c>
      <c r="H119" s="73">
        <f>SUMIFS(AM$5:AM119,$F$5:$F119,$F119,$D$5:$D119,$D119)</f>
        <v>-58348598.364140026</v>
      </c>
      <c r="I119" s="20">
        <f>SUMIFS(AN$5:AN119,$F$5:$F119,$F119,$D$5:$D119,$D119)</f>
        <v>116652898.2621412</v>
      </c>
      <c r="J119" s="73">
        <f t="shared" si="16"/>
        <v>116652898.2621412</v>
      </c>
      <c r="K119" s="73">
        <f t="shared" si="17"/>
        <v>215973810.01199085</v>
      </c>
      <c r="L119" s="73">
        <f t="shared" si="18"/>
        <v>157625211.64785084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87313329.565107375</v>
      </c>
      <c r="Q119" s="73">
        <f>P119/SUMIFS(FinParameters!$H$8:$H$39,FinParameters!$B$8:$B$39,Financials!$E119,FinParameters!$C$8:$C$39,Financials!$F119)</f>
        <v>19001924.456214741</v>
      </c>
      <c r="R119" s="73">
        <f t="shared" si="31"/>
        <v>18958555.972369019</v>
      </c>
      <c r="S119" s="12">
        <f t="shared" si="20"/>
        <v>0.27735525956570606</v>
      </c>
      <c r="T119" s="115">
        <f t="shared" si="21"/>
        <v>99320911.749849662</v>
      </c>
      <c r="U119" s="73">
        <f>T119/SUMIFS(FinParameters!$L$8:$L$39,FinParameters!$B$8:$B$39,Financials!$E119,FinParameters!$C$8:$C$39,Financials!$F119)</f>
        <v>66905042.57279586</v>
      </c>
      <c r="V119" s="73">
        <f t="shared" si="22"/>
        <v>66905042.57279586</v>
      </c>
      <c r="W119" s="12"/>
      <c r="X119" s="73">
        <f t="shared" si="23"/>
        <v>186634241.31495702</v>
      </c>
      <c r="Y119" s="73">
        <f t="shared" si="24"/>
        <v>85906967.029010594</v>
      </c>
      <c r="Z119" s="73">
        <f t="shared" si="24"/>
        <v>85863598.545164883</v>
      </c>
      <c r="AA119" s="12">
        <f t="shared" si="25"/>
        <v>1.2561463381730309</v>
      </c>
      <c r="AB119" s="115">
        <f t="shared" si="26"/>
        <v>-58348598.364140026</v>
      </c>
      <c r="AC119" s="73">
        <f>AB119/SUMIFS(FinParameters!$L$8:$L$39,FinParameters!$B$8:$B$39,Financials!$E119,FinParameters!$C$8:$C$39,Financials!$F119)</f>
        <v>-39305070.692946643</v>
      </c>
      <c r="AD119" s="73">
        <f t="shared" si="27"/>
        <v>-39305070.692946643</v>
      </c>
      <c r="AE119" s="12"/>
      <c r="AF119" s="73">
        <f t="shared" si="28"/>
        <v>128285642.95081699</v>
      </c>
      <c r="AG119" s="73">
        <f t="shared" si="29"/>
        <v>46601896.336063951</v>
      </c>
      <c r="AH119" s="73">
        <f t="shared" si="29"/>
        <v>46558527.85221824</v>
      </c>
      <c r="AI119" s="12">
        <f t="shared" si="30"/>
        <v>0.68113059856823766</v>
      </c>
      <c r="AL119" s="73">
        <f>Summary!G119</f>
        <v>6827473.3529346166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-4135919.6339685889</v>
      </c>
      <c r="AN119" s="20">
        <f>Summary!I119</f>
        <v>8909710.9004717059</v>
      </c>
      <c r="AP119" s="12">
        <v>1</v>
      </c>
    </row>
    <row r="120" spans="1:42" x14ac:dyDescent="0.3">
      <c r="A120">
        <v>116</v>
      </c>
      <c r="B120" t="str">
        <f>Summary!B120</f>
        <v>MarinusSnowyYallourn</v>
      </c>
      <c r="C120" t="str">
        <f>Summary!C120</f>
        <v>Wind</v>
      </c>
      <c r="D120" s="90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47359589.286902182</v>
      </c>
      <c r="H120" s="73">
        <f>SUMIFS(AM$5:AM120,$F$5:$F120,$F120,$D$5:$D120,$D120)</f>
        <v>-519552.34315269254</v>
      </c>
      <c r="I120" s="20">
        <f>SUMIFS(AN$5:AN120,$F$5:$F120,$F120,$D$5:$D120,$D120)</f>
        <v>101872746.86103268</v>
      </c>
      <c r="J120" s="73">
        <f t="shared" si="16"/>
        <v>101872746.86103268</v>
      </c>
      <c r="K120" s="73">
        <f t="shared" si="17"/>
        <v>149232336.14793485</v>
      </c>
      <c r="L120" s="73">
        <f t="shared" si="18"/>
        <v>148712783.80478215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72533178.163998857</v>
      </c>
      <c r="Q120" s="73">
        <f>P120/SUMIFS(FinParameters!$H$8:$H$39,FinParameters!$B$8:$B$39,Financials!$E120,FinParameters!$C$8:$C$39,Financials!$F120)</f>
        <v>15785332.879943941</v>
      </c>
      <c r="R120" s="73">
        <f t="shared" si="31"/>
        <v>4178404.5712605007</v>
      </c>
      <c r="S120" s="12">
        <f t="shared" si="20"/>
        <v>6.1128204390752186E-2</v>
      </c>
      <c r="T120" s="115">
        <f t="shared" si="21"/>
        <v>47359589.286902182</v>
      </c>
      <c r="U120" s="73">
        <f>T120/SUMIFS(FinParameters!$L$8:$L$39,FinParameters!$B$8:$B$39,Financials!$E120,FinParameters!$C$8:$C$39,Financials!$F120)</f>
        <v>31902600.184045468</v>
      </c>
      <c r="V120" s="73">
        <f t="shared" si="22"/>
        <v>31902600.184045468</v>
      </c>
      <c r="W120" s="12"/>
      <c r="X120" s="73">
        <f t="shared" si="23"/>
        <v>119892767.45090103</v>
      </c>
      <c r="Y120" s="73">
        <f t="shared" si="24"/>
        <v>47687933.063989408</v>
      </c>
      <c r="Z120" s="73">
        <f t="shared" si="24"/>
        <v>36081004.755305968</v>
      </c>
      <c r="AA120" s="12">
        <f t="shared" si="25"/>
        <v>0.52784908586309787</v>
      </c>
      <c r="AB120" s="115">
        <f t="shared" si="26"/>
        <v>-519552.34315269254</v>
      </c>
      <c r="AC120" s="73">
        <f>AB120/SUMIFS(FinParameters!$L$8:$L$39,FinParameters!$B$8:$B$39,Financials!$E120,FinParameters!$C$8:$C$39,Financials!$F120)</f>
        <v>-349983.41260675504</v>
      </c>
      <c r="AD120" s="73">
        <f t="shared" si="27"/>
        <v>-349983.41260675504</v>
      </c>
      <c r="AE120" s="12"/>
      <c r="AF120" s="73">
        <f t="shared" si="28"/>
        <v>119373215.10774834</v>
      </c>
      <c r="AG120" s="73">
        <f t="shared" si="29"/>
        <v>47337949.651382655</v>
      </c>
      <c r="AH120" s="73">
        <f t="shared" si="29"/>
        <v>35731021.342699215</v>
      </c>
      <c r="AI120" s="12">
        <f t="shared" si="30"/>
        <v>0.52272898386858357</v>
      </c>
      <c r="AL120" s="73">
        <f>Summary!G120</f>
        <v>4498067.7678679843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-38278.996746259538</v>
      </c>
      <c r="AN120" s="20">
        <f>Summary!I120</f>
        <v>8024548.3341717217</v>
      </c>
      <c r="AP120" s="12">
        <v>1</v>
      </c>
    </row>
    <row r="121" spans="1:42" x14ac:dyDescent="0.3">
      <c r="A121">
        <v>117</v>
      </c>
      <c r="B121" t="str">
        <f>Summary!B121</f>
        <v>MarinusSnowyYallourn</v>
      </c>
      <c r="C121" t="str">
        <f>Summary!C121</f>
        <v>Wind</v>
      </c>
      <c r="D121" s="90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-1537387.082510689</v>
      </c>
      <c r="H121" s="73">
        <f>SUMIFS(AM$5:AM121,$F$5:$F121,$F121,$D$5:$D121,$D121)</f>
        <v>60471611.713648543</v>
      </c>
      <c r="I121" s="20">
        <f>SUMIFS(AN$5:AN121,$F$5:$F121,$F121,$D$5:$D121,$D121)</f>
        <v>87023631.081857353</v>
      </c>
      <c r="J121" s="73">
        <f t="shared" si="16"/>
        <v>87023631.081857353</v>
      </c>
      <c r="K121" s="73">
        <f t="shared" si="17"/>
        <v>85486243.999346659</v>
      </c>
      <c r="L121" s="73">
        <f t="shared" si="18"/>
        <v>145957855.7129952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57684062.384823531</v>
      </c>
      <c r="Q121" s="73">
        <f>P121/SUMIFS(FinParameters!$H$8:$H$39,FinParameters!$B$8:$B$39,Financials!$E121,FinParameters!$C$8:$C$39,Financials!$F121)</f>
        <v>12553732.645674158</v>
      </c>
      <c r="R121" s="73">
        <f t="shared" si="31"/>
        <v>-10670711.207914826</v>
      </c>
      <c r="S121" s="12">
        <f t="shared" si="20"/>
        <v>-0.15610776902709869</v>
      </c>
      <c r="T121" s="115">
        <f t="shared" si="21"/>
        <v>-1537387.082510689</v>
      </c>
      <c r="U121" s="73">
        <f>T121/SUMIFS(FinParameters!$L$8:$L$39,FinParameters!$B$8:$B$39,Financials!$E121,FinParameters!$C$8:$C$39,Financials!$F121)</f>
        <v>-1035622.2712222511</v>
      </c>
      <c r="V121" s="73">
        <f t="shared" si="22"/>
        <v>-1035622.2712222511</v>
      </c>
      <c r="W121" s="12"/>
      <c r="X121" s="73">
        <f t="shared" si="23"/>
        <v>56146675.302312836</v>
      </c>
      <c r="Y121" s="73">
        <f t="shared" si="24"/>
        <v>11518110.374451907</v>
      </c>
      <c r="Z121" s="73">
        <f t="shared" si="24"/>
        <v>-11706333.479137076</v>
      </c>
      <c r="AA121" s="12">
        <f t="shared" si="25"/>
        <v>-0.17125846321844437</v>
      </c>
      <c r="AB121" s="115">
        <f t="shared" si="26"/>
        <v>60471611.713648543</v>
      </c>
      <c r="AC121" s="73">
        <f>AB121/SUMIFS(FinParameters!$L$8:$L$39,FinParameters!$B$8:$B$39,Financials!$E121,FinParameters!$C$8:$C$39,Financials!$F121)</f>
        <v>40735185.419332005</v>
      </c>
      <c r="AD121" s="73">
        <f t="shared" si="27"/>
        <v>40735185.419332005</v>
      </c>
      <c r="AE121" s="12"/>
      <c r="AF121" s="73">
        <f t="shared" si="28"/>
        <v>116618287.01596138</v>
      </c>
      <c r="AG121" s="73">
        <f t="shared" si="29"/>
        <v>52253295.793783911</v>
      </c>
      <c r="AH121" s="73">
        <f t="shared" si="29"/>
        <v>29028851.940194927</v>
      </c>
      <c r="AI121" s="12">
        <f t="shared" si="30"/>
        <v>0.42467922011051462</v>
      </c>
      <c r="AL121" s="73">
        <f>Summary!G121</f>
        <v>-1508892.3548298583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6892693.0949986242</v>
      </c>
      <c r="AN121" s="20">
        <f>Summary!I121</f>
        <v>6478970.1612971658</v>
      </c>
      <c r="AP121" s="12">
        <v>1</v>
      </c>
    </row>
    <row r="122" spans="1:42" x14ac:dyDescent="0.3">
      <c r="A122">
        <v>118</v>
      </c>
      <c r="B122" t="str">
        <f>Summary!B122</f>
        <v>MarinusSnowyYallourn</v>
      </c>
      <c r="C122" t="str">
        <f>Summary!C122</f>
        <v>Wind</v>
      </c>
      <c r="D122" s="90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-58613436.546741173</v>
      </c>
      <c r="H122" s="73">
        <f>SUMIFS(AM$5:AM122,$F$5:$F122,$F122,$D$5:$D122,$D122)</f>
        <v>144987431.0455049</v>
      </c>
      <c r="I122" s="20">
        <f>SUMIFS(AN$5:AN122,$F$5:$F122,$F122,$D$5:$D122,$D122)</f>
        <v>67869162.314950064</v>
      </c>
      <c r="J122" s="73">
        <f t="shared" si="16"/>
        <v>67869162.314950064</v>
      </c>
      <c r="K122" s="73">
        <f t="shared" si="17"/>
        <v>9255725.7682088912</v>
      </c>
      <c r="L122" s="73">
        <f t="shared" si="18"/>
        <v>154243156.81371379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38529593.617916241</v>
      </c>
      <c r="Q122" s="73">
        <f>P122/SUMIFS(FinParameters!$H$8:$H$39,FinParameters!$B$8:$B$39,Financials!$E122,FinParameters!$C$8:$C$39,Financials!$F122)</f>
        <v>8385162.1614127327</v>
      </c>
      <c r="R122" s="73">
        <f t="shared" si="31"/>
        <v>-29825179.974822115</v>
      </c>
      <c r="S122" s="12">
        <f t="shared" si="20"/>
        <v>-0.4363291458256045</v>
      </c>
      <c r="T122" s="115">
        <f t="shared" si="21"/>
        <v>-58613436.546741173</v>
      </c>
      <c r="U122" s="73">
        <f>T122/SUMIFS(FinParameters!$L$8:$L$39,FinParameters!$B$8:$B$39,Financials!$E122,FinParameters!$C$8:$C$39,Financials!$F122)</f>
        <v>-39483472.296089984</v>
      </c>
      <c r="V122" s="73">
        <f t="shared" si="22"/>
        <v>-39483472.296089984</v>
      </c>
      <c r="W122" s="12"/>
      <c r="X122" s="73">
        <f t="shared" si="23"/>
        <v>-20083842.928824935</v>
      </c>
      <c r="Y122" s="73">
        <f t="shared" si="24"/>
        <v>-31098310.134677254</v>
      </c>
      <c r="Z122" s="73">
        <f t="shared" si="24"/>
        <v>-69308652.270912096</v>
      </c>
      <c r="AA122" s="12">
        <f t="shared" si="25"/>
        <v>-1.0139548217050209</v>
      </c>
      <c r="AB122" s="115">
        <f t="shared" si="26"/>
        <v>144987431.0455049</v>
      </c>
      <c r="AC122" s="73">
        <f>AB122/SUMIFS(FinParameters!$L$8:$L$39,FinParameters!$B$8:$B$39,Financials!$E122,FinParameters!$C$8:$C$39,Financials!$F122)</f>
        <v>97667148.596574306</v>
      </c>
      <c r="AD122" s="73">
        <f t="shared" si="27"/>
        <v>97667148.596574306</v>
      </c>
      <c r="AE122" s="12"/>
      <c r="AF122" s="73">
        <f t="shared" si="28"/>
        <v>124903588.11667997</v>
      </c>
      <c r="AG122" s="73">
        <f t="shared" si="29"/>
        <v>66568838.461897053</v>
      </c>
      <c r="AH122" s="73">
        <f t="shared" si="29"/>
        <v>28358496.325662211</v>
      </c>
      <c r="AI122" s="12">
        <f t="shared" si="30"/>
        <v>0.41487221499150517</v>
      </c>
      <c r="AL122" s="73">
        <f>Summary!G122</f>
        <v>-9172255.2525620945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17465619.778613839</v>
      </c>
      <c r="AN122" s="20">
        <f>Summary!I122</f>
        <v>4459664.6136213439</v>
      </c>
      <c r="AP122" s="12">
        <v>1</v>
      </c>
    </row>
    <row r="123" spans="1:42" x14ac:dyDescent="0.3">
      <c r="A123">
        <v>119</v>
      </c>
      <c r="B123" t="str">
        <f>Summary!B123</f>
        <v>MarinusSnowyYallourn</v>
      </c>
      <c r="C123" t="str">
        <f>Summary!C123</f>
        <v>Wind</v>
      </c>
      <c r="D123" s="90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-120826010.30382816</v>
      </c>
      <c r="H123" s="73">
        <f>SUMIFS(AM$5:AM123,$F$5:$F123,$F123,$D$5:$D123,$D123)</f>
        <v>289155961.36548424</v>
      </c>
      <c r="I123" s="20">
        <f>SUMIFS(AN$5:AN123,$F$5:$F123,$F123,$D$5:$D123,$D123)</f>
        <v>41028365.21242027</v>
      </c>
      <c r="J123" s="73">
        <f t="shared" si="16"/>
        <v>41028365.21242027</v>
      </c>
      <c r="K123" s="73">
        <f t="shared" si="17"/>
        <v>-79797645.091407895</v>
      </c>
      <c r="L123" s="73">
        <f t="shared" si="18"/>
        <v>209358316.27407634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11688796.515386444</v>
      </c>
      <c r="Q123" s="73">
        <f>P123/SUMIFS(FinParameters!$H$8:$H$39,FinParameters!$B$8:$B$39,Financials!$E123,FinParameters!$C$8:$C$39,Financials!$F123)</f>
        <v>2543822.6840704507</v>
      </c>
      <c r="R123" s="73">
        <f t="shared" si="31"/>
        <v>-56665977.077351913</v>
      </c>
      <c r="S123" s="12">
        <f t="shared" si="20"/>
        <v>-0.82899809477785757</v>
      </c>
      <c r="T123" s="115">
        <f t="shared" si="21"/>
        <v>-120826010.30382816</v>
      </c>
      <c r="U123" s="73">
        <f>T123/SUMIFS(FinParameters!$L$8:$L$39,FinParameters!$B$8:$B$39,Financials!$E123,FinParameters!$C$8:$C$39,Financials!$F123)</f>
        <v>-81391413.156161755</v>
      </c>
      <c r="V123" s="73">
        <f t="shared" si="22"/>
        <v>-81391413.156161755</v>
      </c>
      <c r="W123" s="12"/>
      <c r="X123" s="73">
        <f t="shared" si="23"/>
        <v>-109137213.78844172</v>
      </c>
      <c r="Y123" s="73">
        <f t="shared" si="24"/>
        <v>-78847590.472091302</v>
      </c>
      <c r="Z123" s="73">
        <f t="shared" si="24"/>
        <v>-138057390.23351365</v>
      </c>
      <c r="AA123" s="12">
        <f t="shared" si="25"/>
        <v>-2.0197183455842813</v>
      </c>
      <c r="AB123" s="115">
        <f t="shared" si="26"/>
        <v>289155961.36548424</v>
      </c>
      <c r="AC123" s="73">
        <f>AB123/SUMIFS(FinParameters!$L$8:$L$39,FinParameters!$B$8:$B$39,Financials!$E123,FinParameters!$C$8:$C$39,Financials!$F123)</f>
        <v>194782665.24637216</v>
      </c>
      <c r="AD123" s="73">
        <f t="shared" si="27"/>
        <v>194782665.24637216</v>
      </c>
      <c r="AE123" s="12"/>
      <c r="AF123" s="73">
        <f t="shared" si="28"/>
        <v>180018747.57704252</v>
      </c>
      <c r="AG123" s="73">
        <f t="shared" si="29"/>
        <v>115935074.77428086</v>
      </c>
      <c r="AH123" s="73">
        <f t="shared" si="29"/>
        <v>56725275.01285851</v>
      </c>
      <c r="AI123" s="12">
        <f t="shared" si="30"/>
        <v>0.82986559725632236</v>
      </c>
      <c r="AL123" s="73">
        <f>Summary!G123</f>
        <v>-13192398.134270061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28683052.318568029</v>
      </c>
      <c r="AN123" s="20">
        <f>Summary!I123</f>
        <v>2802178.2760685617</v>
      </c>
      <c r="AP123" s="12">
        <v>1</v>
      </c>
    </row>
    <row r="124" spans="1:42" x14ac:dyDescent="0.3">
      <c r="A124">
        <v>120</v>
      </c>
      <c r="B124" t="str">
        <f>Summary!B124</f>
        <v>MarinusSnowyYallourn</v>
      </c>
      <c r="C124" t="str">
        <f>Summary!C124</f>
        <v>Wind</v>
      </c>
      <c r="D124" s="90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50347584.478184596</v>
      </c>
      <c r="H124" s="73">
        <f>SUMIFS(AM$5:AM124,$F$5:$F124,$F124,$D$5:$D124,$D124)</f>
        <v>1203071.6157859894</v>
      </c>
      <c r="I124" s="20">
        <f>SUMIFS(AN$5:AN124,$F$5:$F124,$F124,$D$5:$D124,$D124)</f>
        <v>102540437.31720555</v>
      </c>
      <c r="J124" s="73">
        <f t="shared" si="16"/>
        <v>102540437.31720555</v>
      </c>
      <c r="K124" s="73">
        <f t="shared" si="17"/>
        <v>152888021.79539013</v>
      </c>
      <c r="L124" s="73">
        <f t="shared" si="18"/>
        <v>154091093.41117615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73200868.620171726</v>
      </c>
      <c r="Q124" s="73">
        <f>P124/SUMIFS(FinParameters!$H$8:$H$39,FinParameters!$B$8:$B$39,Financials!$E124,FinParameters!$C$8:$C$39,Financials!$F124)</f>
        <v>15930641.776896173</v>
      </c>
      <c r="R124" s="73">
        <f t="shared" si="31"/>
        <v>4846095.0274333693</v>
      </c>
      <c r="S124" s="12">
        <f t="shared" si="20"/>
        <v>7.0896219425825038E-2</v>
      </c>
      <c r="T124" s="115">
        <f t="shared" si="21"/>
        <v>50347584.478184596</v>
      </c>
      <c r="U124" s="73">
        <f>T124/SUMIFS(FinParameters!$L$8:$L$39,FinParameters!$B$8:$B$39,Financials!$E124,FinParameters!$C$8:$C$39,Financials!$F124)</f>
        <v>33915388.246075734</v>
      </c>
      <c r="V124" s="73">
        <f t="shared" si="22"/>
        <v>33915388.246075734</v>
      </c>
      <c r="W124" s="12"/>
      <c r="X124" s="73">
        <f t="shared" si="23"/>
        <v>123548453.09835631</v>
      </c>
      <c r="Y124" s="73">
        <f t="shared" si="24"/>
        <v>49846030.022971906</v>
      </c>
      <c r="Z124" s="73">
        <f t="shared" si="24"/>
        <v>38761483.2735091</v>
      </c>
      <c r="AA124" s="12">
        <f t="shared" si="25"/>
        <v>0.56706329691693846</v>
      </c>
      <c r="AB124" s="115">
        <f t="shared" si="26"/>
        <v>1203071.6157859894</v>
      </c>
      <c r="AC124" s="73">
        <f>AB124/SUMIFS(FinParameters!$L$8:$L$39,FinParameters!$B$8:$B$39,Financials!$E124,FinParameters!$C$8:$C$39,Financials!$F124)</f>
        <v>810419.03718131909</v>
      </c>
      <c r="AD124" s="73">
        <f t="shared" si="27"/>
        <v>810419.03718131909</v>
      </c>
      <c r="AE124" s="12"/>
      <c r="AF124" s="73">
        <f t="shared" si="28"/>
        <v>124751524.71414229</v>
      </c>
      <c r="AG124" s="73">
        <f t="shared" si="29"/>
        <v>50656449.060153224</v>
      </c>
      <c r="AH124" s="73">
        <f t="shared" si="29"/>
        <v>39571902.310690418</v>
      </c>
      <c r="AI124" s="12">
        <f t="shared" si="30"/>
        <v>0.57891936774543451</v>
      </c>
      <c r="AL124" s="73">
        <f>Summary!G124</f>
        <v>2342227.3074538447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1878773.120948608</v>
      </c>
      <c r="AN124" s="20">
        <f>Summary!I124</f>
        <v>7664715.2425814336</v>
      </c>
      <c r="AP124" s="12">
        <v>1</v>
      </c>
    </row>
    <row r="125" spans="1:42" x14ac:dyDescent="0.3">
      <c r="A125">
        <v>121</v>
      </c>
      <c r="B125" t="str">
        <f>Summary!B125</f>
        <v>MarinusSnowyYallourn</v>
      </c>
      <c r="C125" t="str">
        <f>Summary!C125</f>
        <v>Wind</v>
      </c>
      <c r="D125" s="90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320676602.54357105</v>
      </c>
      <c r="H125" s="73">
        <f>SUMIFS(AM$5:AM125,$F$5:$F125,$F125,$D$5:$D125,$D125)</f>
        <v>-349905209.83044606</v>
      </c>
      <c r="I125" s="20">
        <f>SUMIFS(AN$5:AN125,$F$5:$F125,$F125,$D$5:$D125,$D125)</f>
        <v>208679965.58632913</v>
      </c>
      <c r="J125" s="73">
        <f t="shared" si="16"/>
        <v>208679965.58632913</v>
      </c>
      <c r="K125" s="73">
        <f t="shared" si="17"/>
        <v>529356568.12990022</v>
      </c>
      <c r="L125" s="73">
        <f t="shared" si="18"/>
        <v>179451358.29945412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177196282.67186946</v>
      </c>
      <c r="Q125" s="73">
        <f>P125/SUMIFS(FinParameters!$H$8:$H$39,FinParameters!$B$8:$B$39,Financials!$E125,FinParameters!$C$8:$C$39,Financials!$F125)</f>
        <v>35057339.875550739</v>
      </c>
      <c r="R125" s="73">
        <f t="shared" si="31"/>
        <v>107981895.05802535</v>
      </c>
      <c r="S125" s="12">
        <f t="shared" si="20"/>
        <v>1.5601076420768194</v>
      </c>
      <c r="T125" s="115">
        <f t="shared" si="21"/>
        <v>320676602.54357105</v>
      </c>
      <c r="U125" s="73">
        <f>T125/SUMIFS(FinParameters!$L$8:$L$39,FinParameters!$B$8:$B$39,Financials!$E125,FinParameters!$C$8:$C$39,Financials!$F125)</f>
        <v>210747078.11110634</v>
      </c>
      <c r="V125" s="73">
        <f t="shared" si="22"/>
        <v>210747078.11110634</v>
      </c>
      <c r="W125" s="12"/>
      <c r="X125" s="73">
        <f t="shared" si="23"/>
        <v>497872885.21544057</v>
      </c>
      <c r="Y125" s="73">
        <f t="shared" si="24"/>
        <v>245804417.98665708</v>
      </c>
      <c r="Z125" s="73">
        <f t="shared" si="24"/>
        <v>318728973.1691317</v>
      </c>
      <c r="AA125" s="12">
        <f t="shared" si="25"/>
        <v>4.6049525851093458</v>
      </c>
      <c r="AB125" s="115">
        <f t="shared" si="26"/>
        <v>-349905209.83044606</v>
      </c>
      <c r="AC125" s="73">
        <f>AB125/SUMIFS(FinParameters!$L$8:$L$39,FinParameters!$B$8:$B$39,Financials!$E125,FinParameters!$C$8:$C$39,Financials!$F125)</f>
        <v>-229955974.34521481</v>
      </c>
      <c r="AD125" s="73">
        <f t="shared" si="27"/>
        <v>-229955974.34521481</v>
      </c>
      <c r="AE125" s="12"/>
      <c r="AF125" s="73">
        <f t="shared" si="28"/>
        <v>147967675.38499451</v>
      </c>
      <c r="AG125" s="73">
        <f t="shared" si="29"/>
        <v>15848443.641442269</v>
      </c>
      <c r="AH125" s="73">
        <f t="shared" si="29"/>
        <v>88772998.823916882</v>
      </c>
      <c r="AI125" s="12">
        <f t="shared" si="30"/>
        <v>1.2825801380948822</v>
      </c>
      <c r="AL125" s="73">
        <f>Summary!G125</f>
        <v>15250655.251416072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-23860562.169021141</v>
      </c>
      <c r="AN125" s="20">
        <f>Summary!I125</f>
        <v>13657666.763784265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MarinusSnowyYallourn</v>
      </c>
      <c r="C126" t="str">
        <f>Summary!C126</f>
        <v>Wind</v>
      </c>
      <c r="D126" s="90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177406969.42073506</v>
      </c>
      <c r="H126" s="73">
        <f>SUMIFS(AM$5:AM126,$F$5:$F126,$F126,$D$5:$D126,$D126)</f>
        <v>-147741271.64198095</v>
      </c>
      <c r="I126" s="20">
        <f>SUMIFS(AN$5:AN126,$F$5:$F126,$F126,$D$5:$D126,$D126)</f>
        <v>150592195.66748798</v>
      </c>
      <c r="J126" s="73">
        <f t="shared" si="16"/>
        <v>150592195.66748798</v>
      </c>
      <c r="K126" s="73">
        <f t="shared" si="17"/>
        <v>327999165.08822304</v>
      </c>
      <c r="L126" s="73">
        <f t="shared" si="18"/>
        <v>180257893.44624209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119108512.7530283</v>
      </c>
      <c r="Q126" s="73">
        <f>P126/SUMIFS(FinParameters!$H$8:$H$39,FinParameters!$B$8:$B$39,Financials!$E126,FinParameters!$C$8:$C$39,Financials!$F126)</f>
        <v>23564984.268810391</v>
      </c>
      <c r="R126" s="73">
        <f t="shared" si="31"/>
        <v>49894125.139184192</v>
      </c>
      <c r="S126" s="12">
        <f t="shared" si="20"/>
        <v>0.72086349181545717</v>
      </c>
      <c r="T126" s="115">
        <f t="shared" si="21"/>
        <v>177406969.42073506</v>
      </c>
      <c r="U126" s="73">
        <f>T126/SUMIFS(FinParameters!$L$8:$L$39,FinParameters!$B$8:$B$39,Financials!$E126,FinParameters!$C$8:$C$39,Financials!$F126)</f>
        <v>116590983.39388922</v>
      </c>
      <c r="V126" s="73">
        <f t="shared" si="22"/>
        <v>116590983.39388922</v>
      </c>
      <c r="W126" s="12"/>
      <c r="X126" s="73">
        <f t="shared" si="23"/>
        <v>296515482.17376339</v>
      </c>
      <c r="Y126" s="73">
        <f t="shared" si="24"/>
        <v>140155967.66269961</v>
      </c>
      <c r="Z126" s="73">
        <f t="shared" si="24"/>
        <v>166485108.53307343</v>
      </c>
      <c r="AA126" s="12">
        <f t="shared" si="25"/>
        <v>2.4053540639832729</v>
      </c>
      <c r="AB126" s="115">
        <f t="shared" si="26"/>
        <v>-147741271.64198095</v>
      </c>
      <c r="AC126" s="73">
        <f>AB126/SUMIFS(FinParameters!$L$8:$L$39,FinParameters!$B$8:$B$39,Financials!$E126,FinParameters!$C$8:$C$39,Financials!$F126)</f>
        <v>-97094833.4490235</v>
      </c>
      <c r="AD126" s="73">
        <f t="shared" si="27"/>
        <v>-97094833.4490235</v>
      </c>
      <c r="AE126" s="12"/>
      <c r="AF126" s="73">
        <f t="shared" si="28"/>
        <v>148774210.53178245</v>
      </c>
      <c r="AG126" s="73">
        <f t="shared" si="29"/>
        <v>43061134.21367611</v>
      </c>
      <c r="AH126" s="73">
        <f t="shared" si="29"/>
        <v>69390275.084049925</v>
      </c>
      <c r="AI126" s="12">
        <f t="shared" si="30"/>
        <v>1.0025411980986831</v>
      </c>
      <c r="AL126" s="73">
        <f>Summary!G126</f>
        <v>7607636.5542755835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-9102550.6434056032</v>
      </c>
      <c r="AN126" s="20">
        <f>Summary!I126</f>
        <v>10033602.003555665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MarinusSnowyYallourn</v>
      </c>
      <c r="C127" t="str">
        <f>Summary!C127</f>
        <v>Wind</v>
      </c>
      <c r="D127" s="90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105089220.0468874</v>
      </c>
      <c r="H127" s="73">
        <f>SUMIFS(AM$5:AM127,$F$5:$F127,$F127,$D$5:$D127,$D127)</f>
        <v>-62932007.182893127</v>
      </c>
      <c r="I127" s="20">
        <f>SUMIFS(AN$5:AN127,$F$5:$F127,$F127,$D$5:$D127,$D127)</f>
        <v>125534118.83958003</v>
      </c>
      <c r="J127" s="73">
        <f t="shared" si="16"/>
        <v>125534118.83958003</v>
      </c>
      <c r="K127" s="73">
        <f t="shared" si="17"/>
        <v>230623338.88646743</v>
      </c>
      <c r="L127" s="73">
        <f t="shared" si="18"/>
        <v>167691331.7035743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94050435.925120354</v>
      </c>
      <c r="Q127" s="73">
        <f>P127/SUMIFS(FinParameters!$H$8:$H$39,FinParameters!$B$8:$B$39,Financials!$E127,FinParameters!$C$8:$C$39,Financials!$F127)</f>
        <v>18607377.355518799</v>
      </c>
      <c r="R127" s="73">
        <f t="shared" si="31"/>
        <v>24836048.311276246</v>
      </c>
      <c r="S127" s="12">
        <f t="shared" si="20"/>
        <v>0.3588278270962928</v>
      </c>
      <c r="T127" s="115">
        <f t="shared" si="21"/>
        <v>105089220.0468874</v>
      </c>
      <c r="U127" s="73">
        <f>T127/SUMIFS(FinParameters!$L$8:$L$39,FinParameters!$B$8:$B$39,Financials!$E127,FinParameters!$C$8:$C$39,Financials!$F127)</f>
        <v>69064115.966637835</v>
      </c>
      <c r="V127" s="73">
        <f t="shared" si="22"/>
        <v>69064115.966637835</v>
      </c>
      <c r="W127" s="12"/>
      <c r="X127" s="73">
        <f t="shared" si="23"/>
        <v>199139655.97200775</v>
      </c>
      <c r="Y127" s="73">
        <f t="shared" si="24"/>
        <v>87671493.322156638</v>
      </c>
      <c r="Z127" s="73">
        <f t="shared" si="24"/>
        <v>93900164.277914077</v>
      </c>
      <c r="AA127" s="12">
        <f t="shared" si="25"/>
        <v>1.3566567229026869</v>
      </c>
      <c r="AB127" s="115">
        <f t="shared" si="26"/>
        <v>-62932007.182893127</v>
      </c>
      <c r="AC127" s="73">
        <f>AB127/SUMIFS(FinParameters!$L$8:$L$39,FinParameters!$B$8:$B$39,Financials!$E127,FinParameters!$C$8:$C$39,Financials!$F127)</f>
        <v>-41358604.052379668</v>
      </c>
      <c r="AD127" s="73">
        <f t="shared" si="27"/>
        <v>-41358604.052379668</v>
      </c>
      <c r="AE127" s="12"/>
      <c r="AF127" s="73">
        <f t="shared" si="28"/>
        <v>136207648.78911462</v>
      </c>
      <c r="AG127" s="73">
        <f t="shared" si="29"/>
        <v>46312889.26977697</v>
      </c>
      <c r="AH127" s="73">
        <f t="shared" si="29"/>
        <v>52541560.225534409</v>
      </c>
      <c r="AI127" s="12">
        <f t="shared" si="30"/>
        <v>0.75911327163176634</v>
      </c>
      <c r="AL127" s="73">
        <f>Summary!G127</f>
        <v>5768308.2970377356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-4583408.8187531037</v>
      </c>
      <c r="AN127" s="20">
        <f>Summary!I127</f>
        <v>8881220.5774388239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MarinusSnowyYallourn</v>
      </c>
      <c r="C128" t="str">
        <f>Summary!C128</f>
        <v>Wind</v>
      </c>
      <c r="D128" s="90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50680439.873441257</v>
      </c>
      <c r="H128" s="73">
        <f>SUMIFS(AM$5:AM128,$F$5:$F128,$F128,$D$5:$D128,$D128)</f>
        <v>-696437.073695731</v>
      </c>
      <c r="I128" s="20">
        <f>SUMIFS(AN$5:AN128,$F$5:$F128,$F128,$D$5:$D128,$D128)</f>
        <v>109846892.53205587</v>
      </c>
      <c r="J128" s="73">
        <f t="shared" si="16"/>
        <v>109846892.53205587</v>
      </c>
      <c r="K128" s="73">
        <f t="shared" si="17"/>
        <v>160527332.40549713</v>
      </c>
      <c r="L128" s="73">
        <f t="shared" si="18"/>
        <v>159830895.33180138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78363209.617596194</v>
      </c>
      <c r="Q128" s="73">
        <f>P128/SUMIFS(FinParameters!$H$8:$H$39,FinParameters!$B$8:$B$39,Financials!$E128,FinParameters!$C$8:$C$39,Financials!$F128)</f>
        <v>15503743.260745194</v>
      </c>
      <c r="R128" s="73">
        <f t="shared" si="31"/>
        <v>9148822.0037520863</v>
      </c>
      <c r="S128" s="12">
        <f t="shared" si="20"/>
        <v>0.13218092826009717</v>
      </c>
      <c r="T128" s="115">
        <f t="shared" si="21"/>
        <v>50680439.873441257</v>
      </c>
      <c r="U128" s="73">
        <f>T128/SUMIFS(FinParameters!$L$8:$L$39,FinParameters!$B$8:$B$39,Financials!$E128,FinParameters!$C$8:$C$39,Financials!$F128)</f>
        <v>33306934.575191323</v>
      </c>
      <c r="V128" s="73">
        <f t="shared" si="22"/>
        <v>33306934.575191323</v>
      </c>
      <c r="W128" s="12"/>
      <c r="X128" s="73">
        <f t="shared" si="23"/>
        <v>129043649.49103746</v>
      </c>
      <c r="Y128" s="73">
        <f t="shared" si="24"/>
        <v>48810677.835936517</v>
      </c>
      <c r="Z128" s="73">
        <f t="shared" si="24"/>
        <v>42455756.578943409</v>
      </c>
      <c r="AA128" s="12">
        <f t="shared" si="25"/>
        <v>0.61339496082533429</v>
      </c>
      <c r="AB128" s="115">
        <f t="shared" si="26"/>
        <v>-696437.073695731</v>
      </c>
      <c r="AC128" s="73">
        <f>AB128/SUMIFS(FinParameters!$L$8:$L$39,FinParameters!$B$8:$B$39,Financials!$E128,FinParameters!$C$8:$C$39,Financials!$F128)</f>
        <v>-457695.00239632319</v>
      </c>
      <c r="AD128" s="73">
        <f t="shared" si="27"/>
        <v>-457695.00239632319</v>
      </c>
      <c r="AE128" s="12"/>
      <c r="AF128" s="73">
        <f t="shared" si="28"/>
        <v>128347212.41734172</v>
      </c>
      <c r="AG128" s="73">
        <f t="shared" si="29"/>
        <v>48352982.833540194</v>
      </c>
      <c r="AH128" s="73">
        <f t="shared" si="29"/>
        <v>41998061.576547086</v>
      </c>
      <c r="AI128" s="12">
        <f t="shared" si="30"/>
        <v>0.60678224606796527</v>
      </c>
      <c r="AL128" s="73">
        <f>Summary!G128</f>
        <v>3320850.586539072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-176884.73054303849</v>
      </c>
      <c r="AN128" s="20">
        <f>Summary!I128</f>
        <v>7974145.6710231956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MarinusSnowyYallourn</v>
      </c>
      <c r="C129" t="str">
        <f>Summary!C129</f>
        <v>Wind</v>
      </c>
      <c r="D129" s="90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-4608189.4502126928</v>
      </c>
      <c r="H129" s="73">
        <f>SUMIFS(AM$5:AM129,$F$5:$F129,$F129,$D$5:$D129,$D129)</f>
        <v>67721253.199589938</v>
      </c>
      <c r="I129" s="20">
        <f>SUMIFS(AN$5:AN129,$F$5:$F129,$F129,$D$5:$D129,$D129)</f>
        <v>93374822.802337199</v>
      </c>
      <c r="J129" s="73">
        <f t="shared" si="16"/>
        <v>93374822.802337199</v>
      </c>
      <c r="K129" s="73">
        <f t="shared" si="17"/>
        <v>88766633.352124512</v>
      </c>
      <c r="L129" s="73">
        <f t="shared" si="18"/>
        <v>156487886.55171445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61891139.887877524</v>
      </c>
      <c r="Q129" s="73">
        <f>P129/SUMIFS(FinParameters!$H$8:$H$39,FinParameters!$B$8:$B$39,Financials!$E129,FinParameters!$C$8:$C$39,Financials!$F129)</f>
        <v>12244832.078969067</v>
      </c>
      <c r="R129" s="73">
        <f t="shared" si="31"/>
        <v>-7323247.7259665839</v>
      </c>
      <c r="S129" s="12">
        <f t="shared" si="20"/>
        <v>-0.105805280931241</v>
      </c>
      <c r="T129" s="115">
        <f t="shared" si="21"/>
        <v>-4608189.4502126928</v>
      </c>
      <c r="U129" s="73">
        <f>T129/SUMIFS(FinParameters!$L$8:$L$39,FinParameters!$B$8:$B$39,Financials!$E129,FinParameters!$C$8:$C$39,Financials!$F129)</f>
        <v>-3028479.3287430331</v>
      </c>
      <c r="V129" s="73">
        <f t="shared" si="22"/>
        <v>-3028479.3287430331</v>
      </c>
      <c r="W129" s="12"/>
      <c r="X129" s="73">
        <f t="shared" si="23"/>
        <v>57282950.437664837</v>
      </c>
      <c r="Y129" s="73">
        <f t="shared" si="24"/>
        <v>9216352.7502260339</v>
      </c>
      <c r="Z129" s="73">
        <f t="shared" si="24"/>
        <v>-10351727.054709617</v>
      </c>
      <c r="AA129" s="12">
        <f t="shared" si="25"/>
        <v>-0.1495603358143284</v>
      </c>
      <c r="AB129" s="115">
        <f t="shared" si="26"/>
        <v>67721253.199589938</v>
      </c>
      <c r="AC129" s="73">
        <f>AB129/SUMIFS(FinParameters!$L$8:$L$39,FinParameters!$B$8:$B$39,Financials!$E129,FinParameters!$C$8:$C$39,Financials!$F129)</f>
        <v>44506072.861666963</v>
      </c>
      <c r="AD129" s="73">
        <f t="shared" si="27"/>
        <v>44506072.861666963</v>
      </c>
      <c r="AE129" s="12"/>
      <c r="AF129" s="73">
        <f t="shared" si="28"/>
        <v>125004203.63725477</v>
      </c>
      <c r="AG129" s="73">
        <f t="shared" si="29"/>
        <v>53722425.611892998</v>
      </c>
      <c r="AH129" s="73">
        <f t="shared" si="29"/>
        <v>34154345.806957349</v>
      </c>
      <c r="AI129" s="12">
        <f t="shared" si="30"/>
        <v>0.49345731407043281</v>
      </c>
      <c r="AL129" s="73">
        <f>Summary!G129</f>
        <v>-3070802.367702004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7249641.4859413961</v>
      </c>
      <c r="AN129" s="20">
        <f>Summary!I129</f>
        <v>6351191.7204798386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MarinusSnowyYallourn</v>
      </c>
      <c r="C130" t="str">
        <f>Summary!C130</f>
        <v>Wind</v>
      </c>
      <c r="D130" s="90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-69850311.584289163</v>
      </c>
      <c r="H130" s="73">
        <f>SUMIFS(AM$5:AM130,$F$5:$F130,$F130,$D$5:$D130,$D130)</f>
        <v>163740919.230331</v>
      </c>
      <c r="I130" s="20">
        <f>SUMIFS(AN$5:AN130,$F$5:$F130,$F130,$D$5:$D130,$D130)</f>
        <v>72109394.195216939</v>
      </c>
      <c r="J130" s="73">
        <f t="shared" si="16"/>
        <v>72109394.195216939</v>
      </c>
      <c r="K130" s="73">
        <f t="shared" si="17"/>
        <v>2259082.6109277755</v>
      </c>
      <c r="L130" s="73">
        <f t="shared" si="18"/>
        <v>166000001.84125876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40625711.280757263</v>
      </c>
      <c r="Q130" s="73">
        <f>P130/SUMIFS(FinParameters!$H$8:$H$39,FinParameters!$B$8:$B$39,Financials!$E130,FinParameters!$C$8:$C$39,Financials!$F130)</f>
        <v>8037580.3971739002</v>
      </c>
      <c r="R130" s="73">
        <f t="shared" si="31"/>
        <v>-28588676.333086845</v>
      </c>
      <c r="S130" s="12">
        <f t="shared" si="20"/>
        <v>-0.41304528319439471</v>
      </c>
      <c r="T130" s="115">
        <f t="shared" si="21"/>
        <v>-69850311.584289163</v>
      </c>
      <c r="U130" s="73">
        <f>T130/SUMIFS(FinParameters!$L$8:$L$39,FinParameters!$B$8:$B$39,Financials!$E130,FinParameters!$C$8:$C$39,Financials!$F130)</f>
        <v>-45905279.50831449</v>
      </c>
      <c r="V130" s="73">
        <f t="shared" si="22"/>
        <v>-45905279.50831449</v>
      </c>
      <c r="W130" s="12"/>
      <c r="X130" s="73">
        <f t="shared" si="23"/>
        <v>-29224600.303531896</v>
      </c>
      <c r="Y130" s="73">
        <f t="shared" si="24"/>
        <v>-37867699.111140594</v>
      </c>
      <c r="Z130" s="73">
        <f t="shared" si="24"/>
        <v>-74493955.841401339</v>
      </c>
      <c r="AA130" s="12">
        <f t="shared" si="25"/>
        <v>-1.0762784792233171</v>
      </c>
      <c r="AB130" s="115">
        <f t="shared" si="26"/>
        <v>158828691.65342107</v>
      </c>
      <c r="AC130" s="73">
        <f>AB130/SUMIFS(FinParameters!$L$8:$L$39,FinParameters!$B$8:$B$39,Financials!$E130,FinParameters!$C$8:$C$39,Financials!$F130)</f>
        <v>104381431.07625179</v>
      </c>
      <c r="AD130" s="73">
        <f t="shared" si="27"/>
        <v>104381431.07625179</v>
      </c>
      <c r="AE130" s="12"/>
      <c r="AF130" s="73">
        <f t="shared" si="28"/>
        <v>129604091.34988917</v>
      </c>
      <c r="AG130" s="73">
        <f t="shared" si="29"/>
        <v>66513731.965111196</v>
      </c>
      <c r="AH130" s="73">
        <f t="shared" si="29"/>
        <v>29887475.234850451</v>
      </c>
      <c r="AI130" s="12">
        <f t="shared" si="30"/>
        <v>0.43181015198164413</v>
      </c>
      <c r="AL130" s="73">
        <f>Summary!G130</f>
        <v>-11236875.037547985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18753488.184826121</v>
      </c>
      <c r="AN130" s="20">
        <f>Summary!I130</f>
        <v>4240231.8802668694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MarinusSnowyYallourn</v>
      </c>
      <c r="C131" t="str">
        <f>Summary!C131</f>
        <v>Wind</v>
      </c>
      <c r="D131" s="90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-136538088.54654634</v>
      </c>
      <c r="H131" s="73">
        <f>SUMIFS(AM$5:AM131,$F$5:$F131,$F131,$D$5:$D131,$D131)</f>
        <v>322160682.32226461</v>
      </c>
      <c r="I131" s="20">
        <f>SUMIFS(AN$5:AN131,$F$5:$F131,$F131,$D$5:$D131,$D131)</f>
        <v>43611650.77617272</v>
      </c>
      <c r="J131" s="73">
        <f t="shared" si="16"/>
        <v>43611650.77617272</v>
      </c>
      <c r="K131" s="73">
        <f t="shared" si="17"/>
        <v>-92926437.770373613</v>
      </c>
      <c r="L131" s="73">
        <f t="shared" si="18"/>
        <v>229234244.551891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12127967.861713048</v>
      </c>
      <c r="Q131" s="73">
        <f>P131/SUMIFS(FinParameters!$H$8:$H$39,FinParameters!$B$8:$B$39,Financials!$E131,FinParameters!$C$8:$C$39,Financials!$F131)</f>
        <v>2399453.786032096</v>
      </c>
      <c r="R131" s="73">
        <f t="shared" si="31"/>
        <v>-57086419.75213106</v>
      </c>
      <c r="S131" s="12">
        <f t="shared" si="20"/>
        <v>-0.82477678009120692</v>
      </c>
      <c r="T131" s="115">
        <f t="shared" si="21"/>
        <v>-136538088.54654634</v>
      </c>
      <c r="U131" s="73">
        <f>T131/SUMIFS(FinParameters!$L$8:$L$39,FinParameters!$B$8:$B$39,Financials!$E131,FinParameters!$C$8:$C$39,Financials!$F131)</f>
        <v>-89732156.895202324</v>
      </c>
      <c r="V131" s="73">
        <f t="shared" si="22"/>
        <v>-89732156.895202324</v>
      </c>
      <c r="W131" s="12"/>
      <c r="X131" s="73">
        <f t="shared" si="23"/>
        <v>-124410120.68483329</v>
      </c>
      <c r="Y131" s="73">
        <f t="shared" si="24"/>
        <v>-87332703.109170228</v>
      </c>
      <c r="Z131" s="73">
        <f t="shared" si="24"/>
        <v>-146818576.64733338</v>
      </c>
      <c r="AA131" s="12">
        <f t="shared" si="25"/>
        <v>-2.1212147027356933</v>
      </c>
      <c r="AB131" s="115">
        <f t="shared" si="26"/>
        <v>225512477.62558523</v>
      </c>
      <c r="AC131" s="73">
        <f>AB131/SUMIFS(FinParameters!$L$8:$L$39,FinParameters!$B$8:$B$39,Financials!$E131,FinParameters!$C$8:$C$39,Financials!$F131)</f>
        <v>148205685.60417765</v>
      </c>
      <c r="AD131" s="73">
        <f t="shared" si="27"/>
        <v>148205685.60417765</v>
      </c>
      <c r="AE131" s="12"/>
      <c r="AF131" s="73">
        <f t="shared" si="28"/>
        <v>101102356.94075194</v>
      </c>
      <c r="AG131" s="73">
        <f t="shared" si="29"/>
        <v>60872982.495007426</v>
      </c>
      <c r="AH131" s="73">
        <f t="shared" si="29"/>
        <v>1387108.9568442702</v>
      </c>
      <c r="AI131" s="12">
        <f t="shared" si="30"/>
        <v>2.0040760377497347E-2</v>
      </c>
      <c r="AL131" s="73">
        <f>Summary!G131</f>
        <v>-15712078.242718162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33004720.956780382</v>
      </c>
      <c r="AN131" s="20">
        <f>Summary!I131</f>
        <v>2583285.5637524468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MarinusSnowyYallourn</v>
      </c>
      <c r="C132" t="str">
        <f>Summary!C132</f>
        <v>Wind</v>
      </c>
      <c r="D132" s="90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51338003.132393301</v>
      </c>
      <c r="H132" s="73">
        <f>SUMIFS(AM$5:AM132,$F$5:$F132,$F132,$D$5:$D132,$D132)</f>
        <v>3114544.0784330769</v>
      </c>
      <c r="I132" s="20">
        <f>SUMIFS(AN$5:AN132,$F$5:$F132,$F132,$D$5:$D132,$D132)</f>
        <v>110113869.43552184</v>
      </c>
      <c r="J132" s="73">
        <f t="shared" si="16"/>
        <v>110113869.43552184</v>
      </c>
      <c r="K132" s="73">
        <f t="shared" si="17"/>
        <v>161451872.56791514</v>
      </c>
      <c r="L132" s="73">
        <f t="shared" si="18"/>
        <v>164566416.64634821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78630186.521062165</v>
      </c>
      <c r="Q132" s="73">
        <f>P132/SUMIFS(FinParameters!$H$8:$H$39,FinParameters!$B$8:$B$39,Financials!$E132,FinParameters!$C$8:$C$39,Financials!$F132)</f>
        <v>15556563.217815401</v>
      </c>
      <c r="R132" s="73">
        <f t="shared" si="31"/>
        <v>9415798.9072180577</v>
      </c>
      <c r="S132" s="12">
        <f t="shared" si="20"/>
        <v>0.13603817402459731</v>
      </c>
      <c r="T132" s="115">
        <f t="shared" si="21"/>
        <v>51338003.132393301</v>
      </c>
      <c r="U132" s="73">
        <f>T132/SUMIFS(FinParameters!$L$8:$L$39,FinParameters!$B$8:$B$39,Financials!$E132,FinParameters!$C$8:$C$39,Financials!$F132)</f>
        <v>33739081.898688465</v>
      </c>
      <c r="V132" s="73">
        <f t="shared" si="22"/>
        <v>33739081.898688465</v>
      </c>
      <c r="W132" s="12"/>
      <c r="X132" s="73">
        <f t="shared" si="23"/>
        <v>129968189.65345547</v>
      </c>
      <c r="Y132" s="73">
        <f t="shared" si="24"/>
        <v>49295645.116503865</v>
      </c>
      <c r="Z132" s="73">
        <f t="shared" si="24"/>
        <v>43154880.805906519</v>
      </c>
      <c r="AA132" s="12">
        <f t="shared" si="25"/>
        <v>0.62349581197876225</v>
      </c>
      <c r="AB132" s="115">
        <f t="shared" si="26"/>
        <v>3114544.0784330769</v>
      </c>
      <c r="AC132" s="73">
        <f>AB132/SUMIFS(FinParameters!$L$8:$L$39,FinParameters!$B$8:$B$39,Financials!$E132,FinParameters!$C$8:$C$39,Financials!$F132)</f>
        <v>2046862.973387138</v>
      </c>
      <c r="AD132" s="73">
        <f t="shared" si="27"/>
        <v>2046862.973387138</v>
      </c>
      <c r="AE132" s="12"/>
      <c r="AF132" s="73">
        <f t="shared" si="28"/>
        <v>133082733.73188855</v>
      </c>
      <c r="AG132" s="73">
        <f t="shared" si="29"/>
        <v>51342508.089891002</v>
      </c>
      <c r="AH132" s="73">
        <f t="shared" si="29"/>
        <v>45201743.779293656</v>
      </c>
      <c r="AI132" s="12">
        <f t="shared" si="30"/>
        <v>0.65306860809749478</v>
      </c>
      <c r="AL132" s="73">
        <f>Summary!G132</f>
        <v>990418.65420870378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1911472.4626470872</v>
      </c>
      <c r="AN132" s="20">
        <f>Summary!I132</f>
        <v>7573432.1183162853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MarinusSnowyYallourn</v>
      </c>
      <c r="C133" t="str">
        <f>Summary!C133</f>
        <v>Wind</v>
      </c>
      <c r="D133" s="90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-13164153.597292095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38131286.433048524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5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5">
        <f t="shared" si="26"/>
        <v>-13164153.597292095</v>
      </c>
      <c r="AC133" s="73">
        <f>AB133/SUMIFS(FinParameters!$L$8:$L$39,FinParameters!$B$8:$B$39,Financials!$E133,FinParameters!$C$8:$C$39,Financials!$F133)</f>
        <v>-12529830.907595094</v>
      </c>
      <c r="AD133" s="73">
        <f t="shared" si="27"/>
        <v>-12529830.907595094</v>
      </c>
      <c r="AE133" s="12"/>
      <c r="AF133" s="73">
        <f t="shared" si="28"/>
        <v>36131286.433048524</v>
      </c>
      <c r="AG133" s="73">
        <f t="shared" si="29"/>
        <v>33496710.333831031</v>
      </c>
      <c r="AH133" s="73">
        <f t="shared" si="29"/>
        <v>12026208.773020145</v>
      </c>
      <c r="AI133" s="12">
        <f t="shared" si="30"/>
        <v>0.53046195159048692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-13164153.597292095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MarinusSnowyYallourn</v>
      </c>
      <c r="C134" t="str">
        <f>Summary!C134</f>
        <v>Wind</v>
      </c>
      <c r="D134" s="90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-5607118.7421609182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30093317.139778692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5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5">
        <f t="shared" ref="AB134:AB197" si="42">H134*AP134</f>
        <v>-5607118.7421609182</v>
      </c>
      <c r="AC134" s="73">
        <f>AB134/SUMIFS(FinParameters!$L$8:$L$39,FinParameters!$B$8:$B$39,Financials!$E134,FinParameters!$C$8:$C$39,Financials!$F134)</f>
        <v>-5336936.3399509043</v>
      </c>
      <c r="AD134" s="73">
        <f t="shared" ref="AD134:AD197" si="43">AC134</f>
        <v>-5336936.3399509043</v>
      </c>
      <c r="AE134" s="12"/>
      <c r="AF134" s="73">
        <f t="shared" ref="AF134:AF197" si="44">X134+AB134</f>
        <v>28093317.139778696</v>
      </c>
      <c r="AG134" s="73">
        <f t="shared" ref="AG134:AH197" si="45">Y134+AC134</f>
        <v>26251316.19315898</v>
      </c>
      <c r="AH134" s="73">
        <f t="shared" si="45"/>
        <v>4236261.0633831397</v>
      </c>
      <c r="AI134" s="12">
        <f t="shared" ref="AI134:AI197" si="46">-AH134/SUM($N134,$O134)</f>
        <v>0.18685650262203773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-5607118.7421609182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MarinusSnowyYallourn</v>
      </c>
      <c r="C135" t="str">
        <f>Summary!C135</f>
        <v>Wind</v>
      </c>
      <c r="D135" s="90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-2272600.1174960025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25706225.776192147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5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5">
        <f t="shared" si="42"/>
        <v>-2272600.1174960025</v>
      </c>
      <c r="AC135" s="73">
        <f>AB135/SUMIFS(FinParameters!$L$8:$L$39,FinParameters!$B$8:$B$39,Financials!$E135,FinParameters!$C$8:$C$39,Financials!$F135)</f>
        <v>-2163093.508622013</v>
      </c>
      <c r="AD135" s="73">
        <f t="shared" si="43"/>
        <v>-2163093.508622013</v>
      </c>
      <c r="AE135" s="12"/>
      <c r="AF135" s="73">
        <f t="shared" si="44"/>
        <v>23706225.776192147</v>
      </c>
      <c r="AG135" s="73">
        <f t="shared" si="45"/>
        <v>22233136.260568254</v>
      </c>
      <c r="AH135" s="73">
        <f t="shared" si="45"/>
        <v>6424.0001135692</v>
      </c>
      <c r="AI135" s="12">
        <f t="shared" si="46"/>
        <v>2.8335510397144506E-4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-2272600.1174960025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MarinusSnowyYallourn</v>
      </c>
      <c r="C136" t="str">
        <f>Summary!C136</f>
        <v>Wind</v>
      </c>
      <c r="D136" s="90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132.20129058144181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21582286.513365127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5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5">
        <f t="shared" si="42"/>
        <v>132.20129058144181</v>
      </c>
      <c r="AC136" s="73">
        <f>AB136/SUMIFS(FinParameters!$L$8:$L$39,FinParameters!$B$8:$B$39,Financials!$E136,FinParameters!$C$8:$C$39,Financials!$F136)</f>
        <v>125.83109157067634</v>
      </c>
      <c r="AD136" s="73">
        <f t="shared" si="43"/>
        <v>125.83109157067634</v>
      </c>
      <c r="AE136" s="12"/>
      <c r="AF136" s="73">
        <f t="shared" si="44"/>
        <v>19582286.513365127</v>
      </c>
      <c r="AG136" s="73">
        <f t="shared" si="45"/>
        <v>18407522.125631824</v>
      </c>
      <c r="AH136" s="73">
        <f t="shared" si="45"/>
        <v>-3953038.0863149175</v>
      </c>
      <c r="AI136" s="12">
        <f t="shared" si="46"/>
        <v>-0.17436386957479458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132.20129058144181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MarinusSnowyYallourn</v>
      </c>
      <c r="C137" t="str">
        <f>Summary!C137</f>
        <v>Wind</v>
      </c>
      <c r="D137" s="90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2017122.5657024563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19050761.325029172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5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5">
        <f t="shared" si="42"/>
        <v>2017122.5657024563</v>
      </c>
      <c r="AC137" s="73">
        <f>AB137/SUMIFS(FinParameters!$L$8:$L$39,FinParameters!$B$8:$B$39,Financials!$E137,FinParameters!$C$8:$C$39,Financials!$F137)</f>
        <v>1919926.296920839</v>
      </c>
      <c r="AD137" s="73">
        <f t="shared" si="43"/>
        <v>1919926.296920839</v>
      </c>
      <c r="AE137" s="12"/>
      <c r="AF137" s="73">
        <f t="shared" si="44"/>
        <v>17050761.325029172</v>
      </c>
      <c r="AG137" s="73">
        <f t="shared" si="45"/>
        <v>16081017.333930798</v>
      </c>
      <c r="AH137" s="73">
        <f t="shared" si="45"/>
        <v>-6391121.0973295076</v>
      </c>
      <c r="AI137" s="12">
        <f t="shared" si="46"/>
        <v>-0.28190484916129988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2017122.5657024563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MarinusSnowyYallourn</v>
      </c>
      <c r="C138" t="str">
        <f>Summary!C138</f>
        <v>Wind</v>
      </c>
      <c r="D138" s="90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4722167.6592375943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17412386.592644665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5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5">
        <f t="shared" si="42"/>
        <v>4722167.6592375943</v>
      </c>
      <c r="AC138" s="73">
        <f>AB138/SUMIFS(FinParameters!$L$8:$L$39,FinParameters!$B$8:$B$39,Financials!$E138,FinParameters!$C$8:$C$39,Financials!$F138)</f>
        <v>4494627.1592981266</v>
      </c>
      <c r="AD138" s="73">
        <f t="shared" si="43"/>
        <v>4494627.1592981266</v>
      </c>
      <c r="AE138" s="12"/>
      <c r="AF138" s="73">
        <f t="shared" si="44"/>
        <v>15412386.592644665</v>
      </c>
      <c r="AG138" s="73">
        <f t="shared" si="45"/>
        <v>14619187.658174366</v>
      </c>
      <c r="AH138" s="73">
        <f t="shared" si="45"/>
        <v>-7984095.6557909148</v>
      </c>
      <c r="AI138" s="12">
        <f t="shared" si="46"/>
        <v>-0.3521690869659147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4722167.6592375943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MarinusSnowyYallourn</v>
      </c>
      <c r="C139" t="str">
        <f>Summary!C139</f>
        <v>Wind</v>
      </c>
      <c r="D139" s="90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10540206.020953761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15497617.946834831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5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5">
        <f t="shared" si="42"/>
        <v>10540206.020953761</v>
      </c>
      <c r="AC139" s="73">
        <f>AB139/SUMIFS(FinParameters!$L$8:$L$39,FinParameters!$B$8:$B$39,Financials!$E139,FinParameters!$C$8:$C$39,Financials!$F139)</f>
        <v>10032319.829581214</v>
      </c>
      <c r="AD139" s="73">
        <f t="shared" si="43"/>
        <v>10032319.829581214</v>
      </c>
      <c r="AE139" s="12"/>
      <c r="AF139" s="73">
        <f t="shared" si="44"/>
        <v>13497617.946834831</v>
      </c>
      <c r="AG139" s="73">
        <f t="shared" si="45"/>
        <v>12955989.536196973</v>
      </c>
      <c r="AH139" s="73">
        <f t="shared" si="45"/>
        <v>-9861355.4209609795</v>
      </c>
      <c r="AI139" s="12">
        <f t="shared" si="46"/>
        <v>-0.43497281152027667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10540206.020953761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MarinusSnowyYallourn</v>
      </c>
      <c r="C140" t="str">
        <f>Summary!C140</f>
        <v>Wind</v>
      </c>
      <c r="D140" s="90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-175137.67494567842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22596558.293509066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5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5">
        <f t="shared" si="42"/>
        <v>-175137.67494567842</v>
      </c>
      <c r="AC140" s="73">
        <f>AB140/SUMIFS(FinParameters!$L$8:$L$39,FinParameters!$B$8:$B$39,Financials!$E140,FinParameters!$C$8:$C$39,Financials!$F140)</f>
        <v>-166698.56032902171</v>
      </c>
      <c r="AD140" s="73">
        <f t="shared" si="43"/>
        <v>-166698.56032902171</v>
      </c>
      <c r="AE140" s="12"/>
      <c r="AF140" s="73">
        <f t="shared" si="44"/>
        <v>20596558.293509062</v>
      </c>
      <c r="AG140" s="73">
        <f t="shared" si="45"/>
        <v>19357635.801306173</v>
      </c>
      <c r="AH140" s="73">
        <f t="shared" si="45"/>
        <v>-2982386.0390956458</v>
      </c>
      <c r="AI140" s="12">
        <f t="shared" si="46"/>
        <v>-0.13154954720593962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-175137.67494567842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MarinusSnowyYallourn</v>
      </c>
      <c r="C141" t="str">
        <f>Summary!C141</f>
        <v>Wind</v>
      </c>
      <c r="D141" s="90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71487589.094742</v>
      </c>
      <c r="H141" s="73">
        <f>SUMIFS(AM$5:AM141,$F$5:$F141,$F141,$D$5:$D141,$D141)</f>
        <v>-33052995.604568675</v>
      </c>
      <c r="I141" s="20">
        <f>SUMIFS(AN$5:AN141,$F$5:$F141,$F141,$D$5:$D141,$D141)</f>
        <v>19024171.764055394</v>
      </c>
      <c r="J141" s="73">
        <f t="shared" si="32"/>
        <v>19024171.764055394</v>
      </c>
      <c r="K141" s="73">
        <f t="shared" si="33"/>
        <v>90511760.858797401</v>
      </c>
      <c r="L141" s="73">
        <f t="shared" si="34"/>
        <v>57458765.254228719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16065421.764055394</v>
      </c>
      <c r="Q141" s="73">
        <f>P141/SUMIFS(FinParameters!$H$8:$H$39,FinParameters!$B$8:$B$39,Financials!$E141,FinParameters!$C$8:$C$39,Financials!$F141)</f>
        <v>11746897.93084201</v>
      </c>
      <c r="R141" s="73">
        <f t="shared" si="47"/>
        <v>-17889764.731790349</v>
      </c>
      <c r="S141" s="12">
        <f t="shared" si="36"/>
        <v>-0.52686398097030263</v>
      </c>
      <c r="T141" s="115">
        <f t="shared" si="37"/>
        <v>71487589.094742</v>
      </c>
      <c r="U141" s="73">
        <f>T141/SUMIFS(FinParameters!$L$8:$L$39,FinParameters!$B$8:$B$39,Financials!$E141,FinParameters!$C$8:$C$39,Financials!$F141)</f>
        <v>66383333.121450476</v>
      </c>
      <c r="V141" s="73">
        <f t="shared" si="38"/>
        <v>66383333.121450476</v>
      </c>
      <c r="W141" s="12"/>
      <c r="X141" s="73">
        <f t="shared" si="39"/>
        <v>87553010.858797401</v>
      </c>
      <c r="Y141" s="73">
        <f t="shared" si="40"/>
        <v>78130231.052292481</v>
      </c>
      <c r="Z141" s="73">
        <f t="shared" si="40"/>
        <v>48493568.389660127</v>
      </c>
      <c r="AA141" s="12">
        <f t="shared" si="41"/>
        <v>1.4281638063037319</v>
      </c>
      <c r="AB141" s="115">
        <f t="shared" si="42"/>
        <v>-33052995.604568675</v>
      </c>
      <c r="AC141" s="73">
        <f>AB141/SUMIFS(FinParameters!$L$8:$L$39,FinParameters!$B$8:$B$39,Financials!$E141,FinParameters!$C$8:$C$39,Financials!$F141)</f>
        <v>-30692992.247535519</v>
      </c>
      <c r="AD141" s="73">
        <f t="shared" si="43"/>
        <v>-30692992.247535519</v>
      </c>
      <c r="AE141" s="12"/>
      <c r="AF141" s="73">
        <f t="shared" si="44"/>
        <v>54500015.254228726</v>
      </c>
      <c r="AG141" s="73">
        <f t="shared" si="45"/>
        <v>47437238.804756962</v>
      </c>
      <c r="AH141" s="73">
        <f t="shared" si="45"/>
        <v>17800576.142124608</v>
      </c>
      <c r="AI141" s="12">
        <f t="shared" si="46"/>
        <v>0.52423732510797505</v>
      </c>
      <c r="AL141" s="73">
        <f>Summary!G141</f>
        <v>28566039.744818877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-19888842.00727658</v>
      </c>
      <c r="AN141" s="20">
        <f>Summary!I141</f>
        <v>10650281.083637893</v>
      </c>
      <c r="AP141" s="12">
        <v>1</v>
      </c>
    </row>
    <row r="142" spans="1:42" x14ac:dyDescent="0.3">
      <c r="A142">
        <v>138</v>
      </c>
      <c r="B142" t="str">
        <f>Summary!B142</f>
        <v>MarinusSnowyYallourn</v>
      </c>
      <c r="C142" t="str">
        <f>Summary!C142</f>
        <v>Wind</v>
      </c>
      <c r="D142" s="90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50270699.003352918</v>
      </c>
      <c r="H142" s="73">
        <f>SUMIFS(AM$5:AM142,$F$5:$F142,$F142,$D$5:$D142,$D142)</f>
        <v>-13297546.526213914</v>
      </c>
      <c r="I142" s="20">
        <f>SUMIFS(AN$5:AN142,$F$5:$F142,$F142,$D$5:$D142,$D142)</f>
        <v>13277794.766819676</v>
      </c>
      <c r="J142" s="73">
        <f t="shared" si="32"/>
        <v>13277794.766819676</v>
      </c>
      <c r="K142" s="73">
        <f t="shared" si="33"/>
        <v>63548493.770172596</v>
      </c>
      <c r="L142" s="73">
        <f t="shared" si="34"/>
        <v>50250947.243958682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10319044.766819676</v>
      </c>
      <c r="Q142" s="73">
        <f>P142/SUMIFS(FinParameters!$H$8:$H$39,FinParameters!$B$8:$B$39,Financials!$E142,FinParameters!$C$8:$C$39,Financials!$F142)</f>
        <v>7545196.596757221</v>
      </c>
      <c r="R142" s="73">
        <f t="shared" si="47"/>
        <v>-23636141.729026064</v>
      </c>
      <c r="S142" s="12">
        <f t="shared" si="36"/>
        <v>-0.69609812721593611</v>
      </c>
      <c r="T142" s="115">
        <f t="shared" si="37"/>
        <v>50270699.003352918</v>
      </c>
      <c r="U142" s="73">
        <f>T142/SUMIFS(FinParameters!$L$8:$L$39,FinParameters!$B$8:$B$39,Financials!$E142,FinParameters!$C$8:$C$39,Financials!$F142)</f>
        <v>46681341.48103752</v>
      </c>
      <c r="V142" s="73">
        <f t="shared" si="38"/>
        <v>46681341.48103752</v>
      </c>
      <c r="W142" s="12"/>
      <c r="X142" s="73">
        <f t="shared" si="39"/>
        <v>60589743.770172596</v>
      </c>
      <c r="Y142" s="73">
        <f t="shared" si="40"/>
        <v>54226538.077794738</v>
      </c>
      <c r="Z142" s="73">
        <f t="shared" si="40"/>
        <v>23045199.752011456</v>
      </c>
      <c r="AA142" s="12">
        <f t="shared" si="41"/>
        <v>0.67869454213808922</v>
      </c>
      <c r="AB142" s="115">
        <f t="shared" si="42"/>
        <v>-13297546.526213914</v>
      </c>
      <c r="AC142" s="73">
        <f>AB142/SUMIFS(FinParameters!$L$8:$L$39,FinParameters!$B$8:$B$39,Financials!$E142,FinParameters!$C$8:$C$39,Financials!$F142)</f>
        <v>-12348093.870920192</v>
      </c>
      <c r="AD142" s="73">
        <f t="shared" si="43"/>
        <v>-12348093.870920192</v>
      </c>
      <c r="AE142" s="12"/>
      <c r="AF142" s="73">
        <f t="shared" si="44"/>
        <v>47292197.243958682</v>
      </c>
      <c r="AG142" s="73">
        <f t="shared" si="45"/>
        <v>41878444.206874549</v>
      </c>
      <c r="AH142" s="73">
        <f t="shared" si="45"/>
        <v>10697105.881091263</v>
      </c>
      <c r="AI142" s="12">
        <f t="shared" si="46"/>
        <v>0.31503599258393128</v>
      </c>
      <c r="AL142" s="73">
        <f>Summary!G142</f>
        <v>20053397.867657121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-7690427.784052995</v>
      </c>
      <c r="AN142" s="20">
        <f>Summary!I142</f>
        <v>7794660.0205758605</v>
      </c>
      <c r="AP142" s="12">
        <v>1</v>
      </c>
    </row>
    <row r="143" spans="1:42" x14ac:dyDescent="0.3">
      <c r="A143">
        <v>139</v>
      </c>
      <c r="B143" t="str">
        <f>Summary!B143</f>
        <v>MarinusSnowyYallourn</v>
      </c>
      <c r="C143" t="str">
        <f>Summary!C143</f>
        <v>Wind</v>
      </c>
      <c r="D143" s="90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37234100.253835961</v>
      </c>
      <c r="H143" s="73">
        <f>SUMIFS(AM$5:AM143,$F$5:$F143,$F143,$D$5:$D143,$D143)</f>
        <v>-5427416.464563543</v>
      </c>
      <c r="I143" s="20">
        <f>SUMIFS(AN$5:AN143,$F$5:$F143,$F143,$D$5:$D143,$D143)</f>
        <v>10793774.763593774</v>
      </c>
      <c r="J143" s="73">
        <f t="shared" si="32"/>
        <v>10793774.763593774</v>
      </c>
      <c r="K143" s="73">
        <f t="shared" si="33"/>
        <v>48027875.017429739</v>
      </c>
      <c r="L143" s="73">
        <f t="shared" si="34"/>
        <v>42600458.552866191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7835024.7635937743</v>
      </c>
      <c r="Q143" s="73">
        <f>P143/SUMIFS(FinParameters!$H$8:$H$39,FinParameters!$B$8:$B$39,Financials!$E143,FinParameters!$C$8:$C$39,Financials!$F143)</f>
        <v>5728902.5794192823</v>
      </c>
      <c r="R143" s="73">
        <f t="shared" si="47"/>
        <v>-26120161.732251965</v>
      </c>
      <c r="S143" s="12">
        <f t="shared" si="36"/>
        <v>-0.76925396170177551</v>
      </c>
      <c r="T143" s="115">
        <f t="shared" si="37"/>
        <v>37234100.253835961</v>
      </c>
      <c r="U143" s="73">
        <f>T143/SUMIFS(FinParameters!$L$8:$L$39,FinParameters!$B$8:$B$39,Financials!$E143,FinParameters!$C$8:$C$39,Financials!$F143)</f>
        <v>34575563.56183894</v>
      </c>
      <c r="V143" s="73">
        <f t="shared" si="38"/>
        <v>34575563.56183894</v>
      </c>
      <c r="W143" s="12"/>
      <c r="X143" s="73">
        <f t="shared" si="39"/>
        <v>45069125.017429739</v>
      </c>
      <c r="Y143" s="73">
        <f t="shared" si="40"/>
        <v>40304466.141258225</v>
      </c>
      <c r="Z143" s="73">
        <f t="shared" si="40"/>
        <v>8455401.8295869753</v>
      </c>
      <c r="AA143" s="12">
        <f t="shared" si="41"/>
        <v>0.24901650387405336</v>
      </c>
      <c r="AB143" s="115">
        <f t="shared" si="42"/>
        <v>-5427416.464563543</v>
      </c>
      <c r="AC143" s="73">
        <f>AB143/SUMIFS(FinParameters!$L$8:$L$39,FinParameters!$B$8:$B$39,Financials!$E143,FinParameters!$C$8:$C$39,Financials!$F143)</f>
        <v>-5039895.7318098517</v>
      </c>
      <c r="AD143" s="73">
        <f t="shared" si="43"/>
        <v>-5039895.7318098517</v>
      </c>
      <c r="AE143" s="12"/>
      <c r="AF143" s="73">
        <f t="shared" si="44"/>
        <v>39641708.552866198</v>
      </c>
      <c r="AG143" s="73">
        <f t="shared" si="45"/>
        <v>35264570.40944837</v>
      </c>
      <c r="AH143" s="73">
        <f t="shared" si="45"/>
        <v>3415506.0977771236</v>
      </c>
      <c r="AI143" s="12">
        <f t="shared" si="46"/>
        <v>0.10058864197948066</v>
      </c>
      <c r="AL143" s="73">
        <f>Summary!G143</f>
        <v>13614829.827161105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-3154816.34706754</v>
      </c>
      <c r="AN143" s="20">
        <f>Summary!I143</f>
        <v>6434219.2965804795</v>
      </c>
      <c r="AP143" s="12">
        <v>1</v>
      </c>
    </row>
    <row r="144" spans="1:42" x14ac:dyDescent="0.3">
      <c r="A144">
        <v>140</v>
      </c>
      <c r="B144" t="str">
        <f>Summary!B144</f>
        <v>MarinusSnowyYallourn</v>
      </c>
      <c r="C144" t="str">
        <f>Summary!C144</f>
        <v>Wind</v>
      </c>
      <c r="D144" s="90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26226198.818253011</v>
      </c>
      <c r="H144" s="73">
        <f>SUMIFS(AM$5:AM144,$F$5:$F144,$F144,$D$5:$D144,$D144)</f>
        <v>132.20129058144181</v>
      </c>
      <c r="I144" s="20">
        <f>SUMIFS(AN$5:AN144,$F$5:$F144,$F144,$D$5:$D144,$D144)</f>
        <v>9245945.8002665471</v>
      </c>
      <c r="J144" s="73">
        <f t="shared" si="32"/>
        <v>9245945.8002665471</v>
      </c>
      <c r="K144" s="73">
        <f t="shared" si="33"/>
        <v>35472144.61851956</v>
      </c>
      <c r="L144" s="73">
        <f t="shared" si="34"/>
        <v>35472276.819810137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6287195.8002665471</v>
      </c>
      <c r="Q144" s="73">
        <f>P144/SUMIFS(FinParameters!$H$8:$H$39,FinParameters!$B$8:$B$39,Financials!$E144,FinParameters!$C$8:$C$39,Financials!$F144)</f>
        <v>4597143.3817064296</v>
      </c>
      <c r="R144" s="73">
        <f t="shared" si="47"/>
        <v>-27667990.695579194</v>
      </c>
      <c r="S144" s="12">
        <f t="shared" si="36"/>
        <v>-0.81483842531579798</v>
      </c>
      <c r="T144" s="115">
        <f t="shared" si="37"/>
        <v>26226198.818253011</v>
      </c>
      <c r="U144" s="73">
        <f>T144/SUMIFS(FinParameters!$L$8:$L$39,FinParameters!$B$8:$B$39,Financials!$E144,FinParameters!$C$8:$C$39,Financials!$F144)</f>
        <v>24353632.773293957</v>
      </c>
      <c r="V144" s="73">
        <f t="shared" si="38"/>
        <v>24353632.773293957</v>
      </c>
      <c r="W144" s="12"/>
      <c r="X144" s="73">
        <f t="shared" si="39"/>
        <v>32513394.61851956</v>
      </c>
      <c r="Y144" s="73">
        <f t="shared" si="40"/>
        <v>28950776.155000389</v>
      </c>
      <c r="Z144" s="73">
        <f t="shared" si="40"/>
        <v>-3314357.9222852364</v>
      </c>
      <c r="AA144" s="12">
        <f t="shared" si="41"/>
        <v>-9.7609769355580855E-2</v>
      </c>
      <c r="AB144" s="115">
        <f t="shared" si="42"/>
        <v>132.20129058144181</v>
      </c>
      <c r="AC144" s="73">
        <f>AB144/SUMIFS(FinParameters!$L$8:$L$39,FinParameters!$B$8:$B$39,Financials!$E144,FinParameters!$C$8:$C$39,Financials!$F144)</f>
        <v>122.7620405567574</v>
      </c>
      <c r="AD144" s="73">
        <f t="shared" si="43"/>
        <v>122.7620405567574</v>
      </c>
      <c r="AE144" s="12"/>
      <c r="AF144" s="73">
        <f t="shared" si="44"/>
        <v>32513526.819810141</v>
      </c>
      <c r="AG144" s="73">
        <f t="shared" si="45"/>
        <v>28950898.917040944</v>
      </c>
      <c r="AH144" s="73">
        <f t="shared" si="45"/>
        <v>-3314235.1602446795</v>
      </c>
      <c r="AI144" s="12">
        <f t="shared" si="46"/>
        <v>-9.76061539420542E-2</v>
      </c>
      <c r="AL144" s="73">
        <f>Summary!G144</f>
        <v>8293069.7662406433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0</v>
      </c>
      <c r="AN144" s="20">
        <f>Summary!I144</f>
        <v>5596920.5402043713</v>
      </c>
      <c r="AP144" s="12">
        <v>1</v>
      </c>
    </row>
    <row r="145" spans="1:42" x14ac:dyDescent="0.3">
      <c r="A145">
        <v>141</v>
      </c>
      <c r="B145" t="str">
        <f>Summary!B145</f>
        <v>MarinusSnowyYallourn</v>
      </c>
      <c r="C145" t="str">
        <f>Summary!C145</f>
        <v>Wind</v>
      </c>
      <c r="D145" s="90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20010563.52174937</v>
      </c>
      <c r="H145" s="73">
        <f>SUMIFS(AM$5:AM145,$F$5:$F145,$F145,$D$5:$D145,$D145)</f>
        <v>4790228.1856406014</v>
      </c>
      <c r="I145" s="20">
        <f>SUMIFS(AN$5:AN145,$F$5:$F145,$F145,$D$5:$D145,$D145)</f>
        <v>7833601.5199832581</v>
      </c>
      <c r="J145" s="73">
        <f t="shared" si="32"/>
        <v>7833601.5199832581</v>
      </c>
      <c r="K145" s="73">
        <f t="shared" si="33"/>
        <v>27844165.041732628</v>
      </c>
      <c r="L145" s="73">
        <f t="shared" si="34"/>
        <v>32634393.227373231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4874851.5199832581</v>
      </c>
      <c r="Q145" s="73">
        <f>P145/SUMIFS(FinParameters!$H$8:$H$39,FinParameters!$B$8:$B$39,Financials!$E145,FinParameters!$C$8:$C$39,Financials!$F145)</f>
        <v>3564449.416533595</v>
      </c>
      <c r="R145" s="73">
        <f t="shared" si="47"/>
        <v>-29080334.975862481</v>
      </c>
      <c r="S145" s="12">
        <f t="shared" si="36"/>
        <v>-0.85643278617893392</v>
      </c>
      <c r="T145" s="115">
        <f t="shared" si="37"/>
        <v>20010563.52174937</v>
      </c>
      <c r="U145" s="73">
        <f>T145/SUMIFS(FinParameters!$L$8:$L$39,FinParameters!$B$8:$B$39,Financials!$E145,FinParameters!$C$8:$C$39,Financials!$F145)</f>
        <v>18581797.498468678</v>
      </c>
      <c r="V145" s="73">
        <f t="shared" si="38"/>
        <v>18581797.498468678</v>
      </c>
      <c r="W145" s="12"/>
      <c r="X145" s="73">
        <f t="shared" si="39"/>
        <v>24885415.041732628</v>
      </c>
      <c r="Y145" s="73">
        <f t="shared" si="40"/>
        <v>22146246.915002272</v>
      </c>
      <c r="Z145" s="73">
        <f t="shared" si="40"/>
        <v>-10498537.477393802</v>
      </c>
      <c r="AA145" s="12">
        <f t="shared" si="41"/>
        <v>-0.30918803755291546</v>
      </c>
      <c r="AB145" s="115">
        <f t="shared" si="42"/>
        <v>4790228.1856406014</v>
      </c>
      <c r="AC145" s="73">
        <f>AB145/SUMIFS(FinParameters!$L$8:$L$39,FinParameters!$B$8:$B$39,Financials!$E145,FinParameters!$C$8:$C$39,Financials!$F145)</f>
        <v>4448203.0713570397</v>
      </c>
      <c r="AD145" s="73">
        <f t="shared" si="43"/>
        <v>4448203.0713570397</v>
      </c>
      <c r="AE145" s="12"/>
      <c r="AF145" s="73">
        <f t="shared" si="44"/>
        <v>29675643.227373227</v>
      </c>
      <c r="AG145" s="73">
        <f t="shared" si="45"/>
        <v>26594449.986359313</v>
      </c>
      <c r="AH145" s="73">
        <f t="shared" si="45"/>
        <v>-6050334.4060367625</v>
      </c>
      <c r="AI145" s="12">
        <f t="shared" si="46"/>
        <v>-0.1781858688002492</v>
      </c>
      <c r="AL145" s="73">
        <f>Summary!G145</f>
        <v>6033638.4153489191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2773105.6199381454</v>
      </c>
      <c r="AN145" s="20">
        <f>Summary!I145</f>
        <v>4776887.8670569919</v>
      </c>
      <c r="AP145" s="12">
        <v>1</v>
      </c>
    </row>
    <row r="146" spans="1:42" x14ac:dyDescent="0.3">
      <c r="A146">
        <v>142</v>
      </c>
      <c r="B146" t="str">
        <f>Summary!B146</f>
        <v>MarinusSnowyYallourn</v>
      </c>
      <c r="C146" t="str">
        <f>Summary!C146</f>
        <v>Wind</v>
      </c>
      <c r="D146" s="90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12553042.875294978</v>
      </c>
      <c r="H146" s="73">
        <f>SUMIFS(AM$5:AM146,$F$5:$F146,$F146,$D$5:$D146,$D146)</f>
        <v>11199918.280795397</v>
      </c>
      <c r="I146" s="20">
        <f>SUMIFS(AN$5:AN146,$F$5:$F146,$F146,$D$5:$D146,$D146)</f>
        <v>6188586.0342028681</v>
      </c>
      <c r="J146" s="73">
        <f t="shared" si="32"/>
        <v>6188586.0342028681</v>
      </c>
      <c r="K146" s="73">
        <f t="shared" si="33"/>
        <v>18741628.909497846</v>
      </c>
      <c r="L146" s="73">
        <f t="shared" si="34"/>
        <v>29941547.190293245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3229836.0342028681</v>
      </c>
      <c r="Q146" s="73">
        <f>P146/SUMIFS(FinParameters!$H$8:$H$39,FinParameters!$B$8:$B$39,Financials!$E146,FinParameters!$C$8:$C$39,Financials!$F146)</f>
        <v>2361628.2712243781</v>
      </c>
      <c r="R146" s="73">
        <f t="shared" si="47"/>
        <v>-30725350.461642869</v>
      </c>
      <c r="S146" s="12">
        <f t="shared" si="36"/>
        <v>-0.90487944942967613</v>
      </c>
      <c r="T146" s="115">
        <f t="shared" si="37"/>
        <v>12553042.875294978</v>
      </c>
      <c r="U146" s="73">
        <f>T146/SUMIFS(FinParameters!$L$8:$L$39,FinParameters!$B$8:$B$39,Financials!$E146,FinParameters!$C$8:$C$39,Financials!$F146)</f>
        <v>11656748.219249265</v>
      </c>
      <c r="V146" s="73">
        <f t="shared" si="38"/>
        <v>11656748.219249265</v>
      </c>
      <c r="W146" s="12"/>
      <c r="X146" s="73">
        <f t="shared" si="39"/>
        <v>15782878.909497846</v>
      </c>
      <c r="Y146" s="73">
        <f t="shared" si="40"/>
        <v>14018376.490473643</v>
      </c>
      <c r="Z146" s="73">
        <f t="shared" si="40"/>
        <v>-19068602.242393605</v>
      </c>
      <c r="AA146" s="12">
        <f t="shared" si="41"/>
        <v>-0.56158143159445051</v>
      </c>
      <c r="AB146" s="115">
        <f t="shared" si="42"/>
        <v>11199918.280795397</v>
      </c>
      <c r="AC146" s="73">
        <f>AB146/SUMIFS(FinParameters!$L$8:$L$39,FinParameters!$B$8:$B$39,Financials!$E146,FinParameters!$C$8:$C$39,Financials!$F146)</f>
        <v>10400237.517895931</v>
      </c>
      <c r="AD146" s="73">
        <f t="shared" si="43"/>
        <v>10400237.517895931</v>
      </c>
      <c r="AE146" s="12"/>
      <c r="AF146" s="73">
        <f t="shared" si="44"/>
        <v>26982797.190293245</v>
      </c>
      <c r="AG146" s="73">
        <f t="shared" si="45"/>
        <v>24418614.008369572</v>
      </c>
      <c r="AH146" s="73">
        <f t="shared" si="45"/>
        <v>-8668364.724497674</v>
      </c>
      <c r="AI146" s="12">
        <f t="shared" si="46"/>
        <v>-0.25528838504710344</v>
      </c>
      <c r="AL146" s="73">
        <f>Summary!G146</f>
        <v>2223356.5953277797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6477750.6215578029</v>
      </c>
      <c r="AN146" s="20">
        <f>Summary!I146</f>
        <v>3828053.3807629962</v>
      </c>
      <c r="AP146" s="12">
        <v>1</v>
      </c>
    </row>
    <row r="147" spans="1:42" x14ac:dyDescent="0.3">
      <c r="A147">
        <v>143</v>
      </c>
      <c r="B147" t="str">
        <f>Summary!B147</f>
        <v>MarinusSnowyYallourn</v>
      </c>
      <c r="C147" t="str">
        <f>Summary!C147</f>
        <v>Wind</v>
      </c>
      <c r="D147" s="90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972379.52002861956</v>
      </c>
      <c r="H147" s="73">
        <f>SUMIFS(AM$5:AM147,$F$5:$F147,$F147,$D$5:$D147,$D147)</f>
        <v>25793210.418980293</v>
      </c>
      <c r="I147" s="20">
        <f>SUMIFS(AN$5:AN147,$F$5:$F147,$F147,$D$5:$D147,$D147)</f>
        <v>3203341.4560936</v>
      </c>
      <c r="J147" s="73">
        <f t="shared" si="32"/>
        <v>3203341.4560936</v>
      </c>
      <c r="K147" s="73">
        <f t="shared" si="33"/>
        <v>4175720.9761222196</v>
      </c>
      <c r="L147" s="73">
        <f t="shared" si="34"/>
        <v>29968931.395102516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244591.45609360002</v>
      </c>
      <c r="Q147" s="73">
        <f>P147/SUMIFS(FinParameters!$H$8:$H$39,FinParameters!$B$8:$B$39,Financials!$E147,FinParameters!$C$8:$C$39,Financials!$F147)</f>
        <v>178843.1646354901</v>
      </c>
      <c r="R147" s="73">
        <f t="shared" si="47"/>
        <v>-33710595.039752148</v>
      </c>
      <c r="S147" s="12">
        <f t="shared" si="36"/>
        <v>-0.99279663929622297</v>
      </c>
      <c r="T147" s="115">
        <f t="shared" si="37"/>
        <v>972379.52002861956</v>
      </c>
      <c r="U147" s="73">
        <f>T147/SUMIFS(FinParameters!$L$8:$L$39,FinParameters!$B$8:$B$39,Financials!$E147,FinParameters!$C$8:$C$39,Financials!$F147)</f>
        <v>902951.04948900419</v>
      </c>
      <c r="V147" s="73">
        <f t="shared" si="38"/>
        <v>902951.04948900419</v>
      </c>
      <c r="W147" s="12"/>
      <c r="X147" s="73">
        <f t="shared" si="39"/>
        <v>1216970.9761222196</v>
      </c>
      <c r="Y147" s="73">
        <f t="shared" si="40"/>
        <v>1081794.2141244942</v>
      </c>
      <c r="Z147" s="73">
        <f t="shared" si="40"/>
        <v>-32807643.990263145</v>
      </c>
      <c r="AA147" s="12">
        <f t="shared" si="41"/>
        <v>-0.96620420548351305</v>
      </c>
      <c r="AB147" s="115">
        <f t="shared" si="42"/>
        <v>25793210.418980293</v>
      </c>
      <c r="AC147" s="73">
        <f>AB147/SUMIFS(FinParameters!$L$8:$L$39,FinParameters!$B$8:$B$39,Financials!$E147,FinParameters!$C$8:$C$39,Financials!$F147)</f>
        <v>23951560.000794228</v>
      </c>
      <c r="AD147" s="73">
        <f t="shared" si="43"/>
        <v>23951560.000794228</v>
      </c>
      <c r="AE147" s="12"/>
      <c r="AF147" s="73">
        <f t="shared" si="44"/>
        <v>27010181.395102512</v>
      </c>
      <c r="AG147" s="73">
        <f t="shared" si="45"/>
        <v>25033354.214918721</v>
      </c>
      <c r="AH147" s="73">
        <f t="shared" si="45"/>
        <v>-8856083.9894689173</v>
      </c>
      <c r="AI147" s="12">
        <f t="shared" si="46"/>
        <v>-0.26081682662978212</v>
      </c>
      <c r="AL147" s="73">
        <f>Summary!G147</f>
        <v>-2760843.3567973408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15253004.398026532</v>
      </c>
      <c r="AN147" s="20">
        <f>Summary!I147</f>
        <v>1979152.4070384912</v>
      </c>
      <c r="AP147" s="12">
        <v>1</v>
      </c>
    </row>
    <row r="148" spans="1:42" x14ac:dyDescent="0.3">
      <c r="A148">
        <v>144</v>
      </c>
      <c r="B148" t="str">
        <f>Summary!B148</f>
        <v>MarinusSnowyYallourn</v>
      </c>
      <c r="C148" t="str">
        <f>Summary!C148</f>
        <v>Wind</v>
      </c>
      <c r="D148" s="90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28930640.141471021</v>
      </c>
      <c r="H148" s="73">
        <f>SUMIFS(AM$5:AM148,$F$5:$F148,$F148,$D$5:$D148,$D148)</f>
        <v>-424991.74562369799</v>
      </c>
      <c r="I148" s="20">
        <f>SUMIFS(AN$5:AN148,$F$5:$F148,$F148,$D$5:$D148,$D148)</f>
        <v>9423370.9121316411</v>
      </c>
      <c r="J148" s="73">
        <f t="shared" si="32"/>
        <v>9423370.9121316411</v>
      </c>
      <c r="K148" s="73">
        <f t="shared" si="33"/>
        <v>38354011.053602666</v>
      </c>
      <c r="L148" s="73">
        <f t="shared" si="34"/>
        <v>37929019.307978965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6464620.9121316411</v>
      </c>
      <c r="Q148" s="73">
        <f>P148/SUMIFS(FinParameters!$H$8:$H$39,FinParameters!$B$8:$B$39,Financials!$E148,FinParameters!$C$8:$C$39,Financials!$F148)</f>
        <v>4726875.0943285432</v>
      </c>
      <c r="R148" s="73">
        <f t="shared" si="47"/>
        <v>-27490565.583714105</v>
      </c>
      <c r="S148" s="12">
        <f t="shared" si="36"/>
        <v>-0.80961315253201294</v>
      </c>
      <c r="T148" s="115">
        <f t="shared" si="37"/>
        <v>28930640.141471021</v>
      </c>
      <c r="U148" s="73">
        <f>T148/SUMIFS(FinParameters!$L$8:$L$39,FinParameters!$B$8:$B$39,Financials!$E148,FinParameters!$C$8:$C$39,Financials!$F148)</f>
        <v>26864975.392901227</v>
      </c>
      <c r="V148" s="73">
        <f t="shared" si="38"/>
        <v>26864975.392901227</v>
      </c>
      <c r="W148" s="12"/>
      <c r="X148" s="73">
        <f t="shared" si="39"/>
        <v>35395261.053602666</v>
      </c>
      <c r="Y148" s="73">
        <f t="shared" si="40"/>
        <v>31591850.487229772</v>
      </c>
      <c r="Z148" s="73">
        <f t="shared" si="40"/>
        <v>-625590.19081287831</v>
      </c>
      <c r="AA148" s="12">
        <f t="shared" si="41"/>
        <v>-1.8423995135158994E-2</v>
      </c>
      <c r="AB148" s="115">
        <f t="shared" si="42"/>
        <v>-424991.74562369799</v>
      </c>
      <c r="AC148" s="73">
        <f>AB148/SUMIFS(FinParameters!$L$8:$L$39,FinParameters!$B$8:$B$39,Financials!$E148,FinParameters!$C$8:$C$39,Financials!$F148)</f>
        <v>-394647.08463192167</v>
      </c>
      <c r="AD148" s="73">
        <f t="shared" si="43"/>
        <v>-394647.08463192167</v>
      </c>
      <c r="AE148" s="12"/>
      <c r="AF148" s="73">
        <f t="shared" si="44"/>
        <v>34970269.307978965</v>
      </c>
      <c r="AG148" s="73">
        <f t="shared" si="45"/>
        <v>31197203.402597852</v>
      </c>
      <c r="AH148" s="73">
        <f t="shared" si="45"/>
        <v>-1020237.2754448</v>
      </c>
      <c r="AI148" s="12">
        <f t="shared" si="46"/>
        <v>-3.0046581413111111E-2</v>
      </c>
      <c r="AL148" s="73">
        <f>Summary!G148</f>
        <v>9916997.1262300704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-249854.07067801958</v>
      </c>
      <c r="AN148" s="20">
        <f>Summary!I148</f>
        <v>5665317.9589178516</v>
      </c>
      <c r="AP148" s="12">
        <v>1</v>
      </c>
    </row>
    <row r="149" spans="1:42" x14ac:dyDescent="0.3">
      <c r="A149">
        <v>145</v>
      </c>
      <c r="B149" t="str">
        <f>Summary!B149</f>
        <v>MarinusSnowyYallourn</v>
      </c>
      <c r="C149" t="str">
        <f>Summary!C149</f>
        <v>Wind</v>
      </c>
      <c r="D149" s="90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90666589.108795375</v>
      </c>
      <c r="H149" s="73">
        <f>SUMIFS(AM$5:AM149,$F$5:$F149,$F149,$D$5:$D149,$D149)</f>
        <v>-47962299.866815567</v>
      </c>
      <c r="I149" s="20">
        <f>SUMIFS(AN$5:AN149,$F$5:$F149,$F149,$D$5:$D149,$D149)</f>
        <v>29641958.15979486</v>
      </c>
      <c r="J149" s="73">
        <f t="shared" si="32"/>
        <v>29641958.15979486</v>
      </c>
      <c r="K149" s="73">
        <f t="shared" si="33"/>
        <v>120308547.26859024</v>
      </c>
      <c r="L149" s="73">
        <f t="shared" si="34"/>
        <v>72346247.401774675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25715489.40979486</v>
      </c>
      <c r="Q149" s="73">
        <f>P149/SUMIFS(FinParameters!$H$8:$H$39,FinParameters!$B$8:$B$39,Financials!$E149,FinParameters!$C$8:$C$39,Financials!$F149)</f>
        <v>16939589.389529601</v>
      </c>
      <c r="R149" s="73">
        <f t="shared" si="47"/>
        <v>-16644319.004349291</v>
      </c>
      <c r="S149" s="12">
        <f t="shared" si="36"/>
        <v>-0.39292715494888003</v>
      </c>
      <c r="T149" s="115">
        <f t="shared" si="37"/>
        <v>90666589.108795375</v>
      </c>
      <c r="U149" s="73">
        <f>T149/SUMIFS(FinParameters!$L$8:$L$39,FinParameters!$B$8:$B$39,Financials!$E149,FinParameters!$C$8:$C$39,Financials!$F149)</f>
        <v>82139454.864907622</v>
      </c>
      <c r="V149" s="73">
        <f t="shared" si="38"/>
        <v>82139454.864907622</v>
      </c>
      <c r="W149" s="12"/>
      <c r="X149" s="73">
        <f t="shared" si="39"/>
        <v>116382078.51859024</v>
      </c>
      <c r="Y149" s="73">
        <f t="shared" si="40"/>
        <v>99079044.254437223</v>
      </c>
      <c r="Z149" s="73">
        <f t="shared" si="40"/>
        <v>65495135.860558331</v>
      </c>
      <c r="AA149" s="12">
        <f t="shared" si="41"/>
        <v>1.5461622304856595</v>
      </c>
      <c r="AB149" s="115">
        <f t="shared" si="42"/>
        <v>-47962299.866815567</v>
      </c>
      <c r="AC149" s="73">
        <f>AB149/SUMIFS(FinParameters!$L$8:$L$39,FinParameters!$B$8:$B$39,Financials!$E149,FinParameters!$C$8:$C$39,Financials!$F149)</f>
        <v>-43451476.490420766</v>
      </c>
      <c r="AD149" s="73">
        <f t="shared" si="43"/>
        <v>-43451476.490420766</v>
      </c>
      <c r="AE149" s="12"/>
      <c r="AF149" s="73">
        <f t="shared" si="44"/>
        <v>68419778.651774675</v>
      </c>
      <c r="AG149" s="73">
        <f t="shared" si="45"/>
        <v>55627567.764016457</v>
      </c>
      <c r="AH149" s="73">
        <f t="shared" si="45"/>
        <v>22043659.370137565</v>
      </c>
      <c r="AI149" s="12">
        <f t="shared" si="46"/>
        <v>0.52039091288186934</v>
      </c>
      <c r="AL149" s="73">
        <f>Summary!G149</f>
        <v>19179000.014053375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-14909304.262246892</v>
      </c>
      <c r="AN149" s="20">
        <f>Summary!I149</f>
        <v>10617786.395739466</v>
      </c>
      <c r="AP149" s="12">
        <v>1</v>
      </c>
    </row>
    <row r="150" spans="1:42" x14ac:dyDescent="0.3">
      <c r="A150">
        <v>146</v>
      </c>
      <c r="B150" t="str">
        <f>Summary!B150</f>
        <v>MarinusSnowyYallourn</v>
      </c>
      <c r="C150" t="str">
        <f>Summary!C150</f>
        <v>Wind</v>
      </c>
      <c r="D150" s="90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63085509.717595197</v>
      </c>
      <c r="H150" s="73">
        <f>SUMIFS(AM$5:AM150,$F$5:$F150,$F150,$D$5:$D150,$D150)</f>
        <v>-20723735.614567924</v>
      </c>
      <c r="I150" s="20">
        <f>SUMIFS(AN$5:AN150,$F$5:$F150,$F150,$D$5:$D150,$D150)</f>
        <v>21008783.645857524</v>
      </c>
      <c r="J150" s="73">
        <f t="shared" si="32"/>
        <v>21008783.645857524</v>
      </c>
      <c r="K150" s="73">
        <f t="shared" si="33"/>
        <v>84094293.363452718</v>
      </c>
      <c r="L150" s="73">
        <f t="shared" si="34"/>
        <v>63370557.748884797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17082314.895857524</v>
      </c>
      <c r="Q150" s="73">
        <f>P150/SUMIFS(FinParameters!$H$8:$H$39,FinParameters!$B$8:$B$39,Financials!$E150,FinParameters!$C$8:$C$39,Financials!$F150)</f>
        <v>11252649.931999873</v>
      </c>
      <c r="R150" s="73">
        <f t="shared" si="47"/>
        <v>-25277493.518286623</v>
      </c>
      <c r="S150" s="12">
        <f t="shared" si="36"/>
        <v>-0.59673295193295406</v>
      </c>
      <c r="T150" s="115">
        <f t="shared" si="37"/>
        <v>63085509.717595197</v>
      </c>
      <c r="U150" s="73">
        <f>T150/SUMIFS(FinParameters!$L$8:$L$39,FinParameters!$B$8:$B$39,Financials!$E150,FinParameters!$C$8:$C$39,Financials!$F150)</f>
        <v>57152358.206176579</v>
      </c>
      <c r="V150" s="73">
        <f t="shared" si="38"/>
        <v>57152358.206176579</v>
      </c>
      <c r="W150" s="12"/>
      <c r="X150" s="73">
        <f t="shared" si="39"/>
        <v>80167824.613452718</v>
      </c>
      <c r="Y150" s="73">
        <f t="shared" si="40"/>
        <v>68405008.138176456</v>
      </c>
      <c r="Z150" s="73">
        <f t="shared" si="40"/>
        <v>31874864.687889956</v>
      </c>
      <c r="AA150" s="12">
        <f t="shared" si="41"/>
        <v>0.75247896251690272</v>
      </c>
      <c r="AB150" s="115">
        <f t="shared" si="42"/>
        <v>-20723735.614567924</v>
      </c>
      <c r="AC150" s="73">
        <f>AB150/SUMIFS(FinParameters!$L$8:$L$39,FinParameters!$B$8:$B$39,Financials!$E150,FinParameters!$C$8:$C$39,Financials!$F150)</f>
        <v>-18774681.64267746</v>
      </c>
      <c r="AD150" s="73">
        <f t="shared" si="43"/>
        <v>-18774681.64267746</v>
      </c>
      <c r="AE150" s="12"/>
      <c r="AF150" s="73">
        <f t="shared" si="44"/>
        <v>59444088.998884797</v>
      </c>
      <c r="AG150" s="73">
        <f t="shared" si="45"/>
        <v>49630326.495499</v>
      </c>
      <c r="AH150" s="73">
        <f t="shared" si="45"/>
        <v>13100183.045212496</v>
      </c>
      <c r="AI150" s="12">
        <f t="shared" si="46"/>
        <v>0.30925973312094301</v>
      </c>
      <c r="AL150" s="73">
        <f>Summary!G150</f>
        <v>12814810.71424228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-7426189.0883540092</v>
      </c>
      <c r="AN150" s="20">
        <f>Summary!I150</f>
        <v>7730988.8790378468</v>
      </c>
      <c r="AP150" s="12">
        <v>1</v>
      </c>
    </row>
    <row r="151" spans="1:42" x14ac:dyDescent="0.3">
      <c r="A151">
        <v>147</v>
      </c>
      <c r="B151" t="str">
        <f>Summary!B151</f>
        <v>MarinusSnowyYallourn</v>
      </c>
      <c r="C151" t="str">
        <f>Summary!C151</f>
        <v>Wind</v>
      </c>
      <c r="D151" s="90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44452385.133129254</v>
      </c>
      <c r="H151" s="73">
        <f>SUMIFS(AM$5:AM151,$F$5:$F151,$F151,$D$5:$D151,$D151)</f>
        <v>-8403990.3989704046</v>
      </c>
      <c r="I151" s="20">
        <f>SUMIFS(AN$5:AN151,$F$5:$F151,$F151,$D$5:$D151,$D151)</f>
        <v>17182116.212310441</v>
      </c>
      <c r="J151" s="73">
        <f t="shared" si="32"/>
        <v>17182116.212310441</v>
      </c>
      <c r="K151" s="73">
        <f t="shared" si="33"/>
        <v>61634501.345439695</v>
      </c>
      <c r="L151" s="73">
        <f t="shared" si="34"/>
        <v>53230510.946469292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13255647.462310441</v>
      </c>
      <c r="Q151" s="73">
        <f>P151/SUMIFS(FinParameters!$H$8:$H$39,FinParameters!$B$8:$B$39,Financials!$E151,FinParameters!$C$8:$C$39,Financials!$F151)</f>
        <v>8731905.5657704547</v>
      </c>
      <c r="R151" s="73">
        <f t="shared" si="47"/>
        <v>-29104160.95183371</v>
      </c>
      <c r="S151" s="12">
        <f t="shared" si="36"/>
        <v>-0.68707017433335904</v>
      </c>
      <c r="T151" s="115">
        <f t="shared" si="37"/>
        <v>44452385.133129254</v>
      </c>
      <c r="U151" s="73">
        <f>T151/SUMIFS(FinParameters!$L$8:$L$39,FinParameters!$B$8:$B$39,Financials!$E151,FinParameters!$C$8:$C$39,Financials!$F151)</f>
        <v>40271666.974245489</v>
      </c>
      <c r="V151" s="73">
        <f t="shared" si="38"/>
        <v>40271666.974245489</v>
      </c>
      <c r="W151" s="12"/>
      <c r="X151" s="73">
        <f t="shared" si="39"/>
        <v>57708032.595439695</v>
      </c>
      <c r="Y151" s="73">
        <f t="shared" si="40"/>
        <v>49003572.540015943</v>
      </c>
      <c r="Z151" s="73">
        <f t="shared" si="40"/>
        <v>11167506.022411779</v>
      </c>
      <c r="AA151" s="12">
        <f t="shared" si="41"/>
        <v>0.26363447901437848</v>
      </c>
      <c r="AB151" s="115">
        <f t="shared" si="42"/>
        <v>-8403990.3989704046</v>
      </c>
      <c r="AC151" s="73">
        <f>AB151/SUMIFS(FinParameters!$L$8:$L$39,FinParameters!$B$8:$B$39,Financials!$E151,FinParameters!$C$8:$C$39,Financials!$F151)</f>
        <v>-7613600.5208381889</v>
      </c>
      <c r="AD151" s="73">
        <f t="shared" si="43"/>
        <v>-7613600.5208381889</v>
      </c>
      <c r="AE151" s="12"/>
      <c r="AF151" s="73">
        <f t="shared" si="44"/>
        <v>49304042.196469292</v>
      </c>
      <c r="AG151" s="73">
        <f t="shared" si="45"/>
        <v>41389972.019177757</v>
      </c>
      <c r="AH151" s="73">
        <f t="shared" si="45"/>
        <v>3553905.5015735896</v>
      </c>
      <c r="AI151" s="12">
        <f t="shared" si="46"/>
        <v>8.3898054184468954E-2</v>
      </c>
      <c r="AL151" s="73">
        <f>Summary!G151</f>
        <v>7218284.8792932946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-2976573.9344068612</v>
      </c>
      <c r="AN151" s="20">
        <f>Summary!I151</f>
        <v>6388341.4487166665</v>
      </c>
      <c r="AP151" s="12">
        <v>1</v>
      </c>
    </row>
    <row r="152" spans="1:42" x14ac:dyDescent="0.3">
      <c r="A152">
        <v>148</v>
      </c>
      <c r="B152" t="str">
        <f>Summary!B152</f>
        <v>MarinusSnowyYallourn</v>
      </c>
      <c r="C152" t="str">
        <f>Summary!C152</f>
        <v>Wind</v>
      </c>
      <c r="D152" s="90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29604488.17694762</v>
      </c>
      <c r="H152" s="73">
        <f>SUMIFS(AM$5:AM152,$F$5:$F152,$F152,$D$5:$D152,$D152)</f>
        <v>132.20129057988146</v>
      </c>
      <c r="I152" s="20">
        <f>SUMIFS(AN$5:AN152,$F$5:$F152,$F152,$D$5:$D152,$D152)</f>
        <v>14767829.96997191</v>
      </c>
      <c r="J152" s="73">
        <f t="shared" si="32"/>
        <v>14767829.96997191</v>
      </c>
      <c r="K152" s="73">
        <f t="shared" si="33"/>
        <v>44372318.146919534</v>
      </c>
      <c r="L152" s="73">
        <f t="shared" si="34"/>
        <v>44372450.348210111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10841361.21997191</v>
      </c>
      <c r="Q152" s="73">
        <f>P152/SUMIFS(FinParameters!$H$8:$H$39,FinParameters!$B$8:$B$39,Financials!$E152,FinParameters!$C$8:$C$39,Financials!$F152)</f>
        <v>7141540.4374899231</v>
      </c>
      <c r="R152" s="73">
        <f t="shared" si="47"/>
        <v>-31518447.194172241</v>
      </c>
      <c r="S152" s="12">
        <f t="shared" si="36"/>
        <v>-0.74406491375083916</v>
      </c>
      <c r="T152" s="115">
        <f t="shared" si="37"/>
        <v>29604488.17694762</v>
      </c>
      <c r="U152" s="73">
        <f>T152/SUMIFS(FinParameters!$L$8:$L$39,FinParameters!$B$8:$B$39,Financials!$E152,FinParameters!$C$8:$C$39,Financials!$F152)</f>
        <v>26820205.152872421</v>
      </c>
      <c r="V152" s="73">
        <f t="shared" si="38"/>
        <v>26820205.152872421</v>
      </c>
      <c r="W152" s="12"/>
      <c r="X152" s="73">
        <f t="shared" si="39"/>
        <v>40445849.396919534</v>
      </c>
      <c r="Y152" s="73">
        <f t="shared" si="40"/>
        <v>33961745.59036234</v>
      </c>
      <c r="Z152" s="73">
        <f t="shared" si="40"/>
        <v>-4698242.0412998199</v>
      </c>
      <c r="AA152" s="12">
        <f t="shared" si="41"/>
        <v>-0.11091273112866709</v>
      </c>
      <c r="AB152" s="115">
        <f t="shared" si="42"/>
        <v>132.20129057988146</v>
      </c>
      <c r="AC152" s="73">
        <f>AB152/SUMIFS(FinParameters!$L$8:$L$39,FinParameters!$B$8:$B$39,Financials!$E152,FinParameters!$C$8:$C$39,Financials!$F152)</f>
        <v>119.76784444420339</v>
      </c>
      <c r="AD152" s="73">
        <f t="shared" si="43"/>
        <v>119.76784444420339</v>
      </c>
      <c r="AE152" s="12"/>
      <c r="AF152" s="73">
        <f t="shared" si="44"/>
        <v>40445981.598210111</v>
      </c>
      <c r="AG152" s="73">
        <f t="shared" si="45"/>
        <v>33961865.358206786</v>
      </c>
      <c r="AH152" s="73">
        <f t="shared" si="45"/>
        <v>-4698122.2734553758</v>
      </c>
      <c r="AI152" s="12">
        <f t="shared" si="46"/>
        <v>-0.11090990373522674</v>
      </c>
      <c r="AL152" s="73">
        <f>Summary!G152</f>
        <v>3378289.3586946107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-1.56035184772918E-9</v>
      </c>
      <c r="AN152" s="20">
        <f>Summary!I152</f>
        <v>5521884.1697053621</v>
      </c>
      <c r="AP152" s="12">
        <v>1</v>
      </c>
    </row>
    <row r="153" spans="1:42" x14ac:dyDescent="0.3">
      <c r="A153">
        <v>149</v>
      </c>
      <c r="B153" t="str">
        <f>Summary!B153</f>
        <v>MarinusSnowyYallourn</v>
      </c>
      <c r="C153" t="str">
        <f>Summary!C153</f>
        <v>Wind</v>
      </c>
      <c r="D153" s="90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20903611.202221569</v>
      </c>
      <c r="H153" s="73">
        <f>SUMIFS(AM$5:AM153,$F$5:$F153,$F153,$D$5:$D153,$D153)</f>
        <v>7701276.5578484461</v>
      </c>
      <c r="I153" s="20">
        <f>SUMIFS(AN$5:AN153,$F$5:$F153,$F153,$D$5:$D153,$D153)</f>
        <v>12542654.095131978</v>
      </c>
      <c r="J153" s="73">
        <f t="shared" si="32"/>
        <v>12542654.095131978</v>
      </c>
      <c r="K153" s="73">
        <f t="shared" si="33"/>
        <v>33446265.297353547</v>
      </c>
      <c r="L153" s="73">
        <f t="shared" si="34"/>
        <v>41147541.855201989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8616185.3451319784</v>
      </c>
      <c r="Q153" s="73">
        <f>P153/SUMIFS(FinParameters!$H$8:$H$39,FinParameters!$B$8:$B$39,Financials!$E153,FinParameters!$C$8:$C$39,Financials!$F153)</f>
        <v>5675748.1658126619</v>
      </c>
      <c r="R153" s="73">
        <f t="shared" si="47"/>
        <v>-33743623.069012173</v>
      </c>
      <c r="S153" s="12">
        <f t="shared" si="36"/>
        <v>-0.79659527113784134</v>
      </c>
      <c r="T153" s="115">
        <f t="shared" si="37"/>
        <v>20903611.202221569</v>
      </c>
      <c r="U153" s="73">
        <f>T153/SUMIFS(FinParameters!$L$8:$L$39,FinParameters!$B$8:$B$39,Financials!$E153,FinParameters!$C$8:$C$39,Financials!$F153)</f>
        <v>18937640.047296014</v>
      </c>
      <c r="V153" s="73">
        <f t="shared" si="38"/>
        <v>18937640.047296014</v>
      </c>
      <c r="W153" s="12"/>
      <c r="X153" s="73">
        <f t="shared" si="39"/>
        <v>29519796.547353547</v>
      </c>
      <c r="Y153" s="73">
        <f t="shared" si="40"/>
        <v>24613388.213108674</v>
      </c>
      <c r="Z153" s="73">
        <f t="shared" si="40"/>
        <v>-14805983.021716159</v>
      </c>
      <c r="AA153" s="12">
        <f t="shared" si="41"/>
        <v>-0.34952903650934286</v>
      </c>
      <c r="AB153" s="115">
        <f t="shared" si="42"/>
        <v>7701276.5578484461</v>
      </c>
      <c r="AC153" s="73">
        <f>AB153/SUMIFS(FinParameters!$L$8:$L$39,FinParameters!$B$8:$B$39,Financials!$E153,FinParameters!$C$8:$C$39,Financials!$F153)</f>
        <v>6976976.4633640377</v>
      </c>
      <c r="AD153" s="73">
        <f t="shared" si="43"/>
        <v>6976976.4633640377</v>
      </c>
      <c r="AE153" s="12"/>
      <c r="AF153" s="73">
        <f t="shared" si="44"/>
        <v>37221073.105201989</v>
      </c>
      <c r="AG153" s="73">
        <f t="shared" si="45"/>
        <v>31590364.676472712</v>
      </c>
      <c r="AH153" s="73">
        <f t="shared" si="45"/>
        <v>-7829006.5583521212</v>
      </c>
      <c r="AI153" s="12">
        <f t="shared" si="46"/>
        <v>-0.1848215761933894</v>
      </c>
      <c r="AL153" s="73">
        <f>Summary!G153</f>
        <v>893047.68047220027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2911048.3722078446</v>
      </c>
      <c r="AN153" s="20">
        <f>Summary!I153</f>
        <v>4709052.5751487203</v>
      </c>
      <c r="AP153" s="12">
        <v>1</v>
      </c>
    </row>
    <row r="154" spans="1:42" x14ac:dyDescent="0.3">
      <c r="A154">
        <v>150</v>
      </c>
      <c r="B154" t="str">
        <f>Summary!B154</f>
        <v>MarinusSnowyYallourn</v>
      </c>
      <c r="C154" t="str">
        <f>Summary!C154</f>
        <v>Wind</v>
      </c>
      <c r="D154" s="90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10343955.02060969</v>
      </c>
      <c r="H154" s="73">
        <f>SUMIFS(AM$5:AM154,$F$5:$F154,$F154,$D$5:$D154,$D154)</f>
        <v>17955562.219091401</v>
      </c>
      <c r="I154" s="20">
        <f>SUMIFS(AN$5:AN154,$F$5:$F154,$F154,$D$5:$D154,$D154)</f>
        <v>9922146.5293550082</v>
      </c>
      <c r="J154" s="73">
        <f t="shared" si="32"/>
        <v>9922146.5293550082</v>
      </c>
      <c r="K154" s="73">
        <f t="shared" si="33"/>
        <v>20266101.549964696</v>
      </c>
      <c r="L154" s="73">
        <f t="shared" si="34"/>
        <v>38221663.769056097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5995677.7793550082</v>
      </c>
      <c r="Q154" s="73">
        <f>P154/SUMIFS(FinParameters!$H$8:$H$39,FinParameters!$B$8:$B$39,Financials!$E154,FinParameters!$C$8:$C$39,Financials!$F154)</f>
        <v>3949538.6642540554</v>
      </c>
      <c r="R154" s="73">
        <f t="shared" si="47"/>
        <v>-36364130.634789146</v>
      </c>
      <c r="S154" s="12">
        <f t="shared" si="36"/>
        <v>-0.85845833577110753</v>
      </c>
      <c r="T154" s="115">
        <f t="shared" si="37"/>
        <v>10343955.02060969</v>
      </c>
      <c r="U154" s="73">
        <f>T154/SUMIFS(FinParameters!$L$8:$L$39,FinParameters!$B$8:$B$39,Financials!$E154,FinParameters!$C$8:$C$39,Financials!$F154)</f>
        <v>9371112.7207010109</v>
      </c>
      <c r="V154" s="73">
        <f t="shared" si="38"/>
        <v>9371112.7207010109</v>
      </c>
      <c r="W154" s="12"/>
      <c r="X154" s="73">
        <f t="shared" si="39"/>
        <v>16339632.799964696</v>
      </c>
      <c r="Y154" s="73">
        <f t="shared" si="40"/>
        <v>13320651.384955067</v>
      </c>
      <c r="Z154" s="73">
        <f t="shared" si="40"/>
        <v>-26993017.914088137</v>
      </c>
      <c r="AA154" s="12">
        <f t="shared" si="41"/>
        <v>-0.63723182244315901</v>
      </c>
      <c r="AB154" s="115">
        <f t="shared" si="42"/>
        <v>17955562.219091401</v>
      </c>
      <c r="AC154" s="73">
        <f>AB154/SUMIFS(FinParameters!$L$8:$L$39,FinParameters!$B$8:$B$39,Financials!$E154,FinParameters!$C$8:$C$39,Financials!$F154)</f>
        <v>16266853.170127975</v>
      </c>
      <c r="AD154" s="73">
        <f t="shared" si="43"/>
        <v>16266853.170127975</v>
      </c>
      <c r="AE154" s="12"/>
      <c r="AF154" s="73">
        <f t="shared" si="44"/>
        <v>34295195.019056097</v>
      </c>
      <c r="AG154" s="73">
        <f t="shared" si="45"/>
        <v>29587504.555083044</v>
      </c>
      <c r="AH154" s="73">
        <f t="shared" si="45"/>
        <v>-10726164.743960163</v>
      </c>
      <c r="AI154" s="12">
        <f t="shared" si="46"/>
        <v>-0.25321561039871565</v>
      </c>
      <c r="AL154" s="73">
        <f>Summary!G154</f>
        <v>-2209087.8546852884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6755643.9382960051</v>
      </c>
      <c r="AN154" s="20">
        <f>Summary!I154</f>
        <v>3733560.4951521391</v>
      </c>
      <c r="AP154" s="12">
        <v>1</v>
      </c>
    </row>
    <row r="155" spans="1:42" x14ac:dyDescent="0.3">
      <c r="A155">
        <v>151</v>
      </c>
      <c r="B155" t="str">
        <f>Summary!B155</f>
        <v>MarinusSnowyYallourn</v>
      </c>
      <c r="C155" t="str">
        <f>Summary!C155</f>
        <v>Wind</v>
      </c>
      <c r="D155" s="90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-6020884.1564858928</v>
      </c>
      <c r="H155" s="73">
        <f>SUMIFS(AM$5:AM155,$F$5:$F155,$F155,$D$5:$D155,$D155)</f>
        <v>40175020.384541623</v>
      </c>
      <c r="I155" s="20">
        <f>SUMIFS(AN$5:AN155,$F$5:$F155,$F155,$D$5:$D155,$D155)</f>
        <v>5396084.8541244427</v>
      </c>
      <c r="J155" s="73">
        <f t="shared" si="32"/>
        <v>5396084.8541244427</v>
      </c>
      <c r="K155" s="73">
        <f t="shared" si="33"/>
        <v>-624799.30236145016</v>
      </c>
      <c r="L155" s="73">
        <f t="shared" si="34"/>
        <v>39550221.082180172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1469616.1041244427</v>
      </c>
      <c r="Q155" s="73">
        <f>P155/SUMIFS(FinParameters!$H$8:$H$39,FinParameters!$B$8:$B$39,Financials!$E155,FinParameters!$C$8:$C$39,Financials!$F155)</f>
        <v>968081.64788907405</v>
      </c>
      <c r="R155" s="73">
        <f t="shared" si="47"/>
        <v>-40890192.310019709</v>
      </c>
      <c r="S155" s="12">
        <f t="shared" si="36"/>
        <v>-0.96530635621020111</v>
      </c>
      <c r="T155" s="115">
        <f t="shared" si="37"/>
        <v>-6020884.1564858928</v>
      </c>
      <c r="U155" s="73">
        <f>T155/SUMIFS(FinParameters!$L$8:$L$39,FinParameters!$B$8:$B$39,Financials!$E155,FinParameters!$C$8:$C$39,Financials!$F155)</f>
        <v>-5454623.8838330237</v>
      </c>
      <c r="V155" s="73">
        <f t="shared" si="38"/>
        <v>-5454623.8838330237</v>
      </c>
      <c r="W155" s="12"/>
      <c r="X155" s="73">
        <f t="shared" si="39"/>
        <v>-4551268.0523614502</v>
      </c>
      <c r="Y155" s="73">
        <f t="shared" si="40"/>
        <v>-4486542.2359439498</v>
      </c>
      <c r="Z155" s="73">
        <f t="shared" si="40"/>
        <v>-46344816.19385273</v>
      </c>
      <c r="AA155" s="12">
        <f t="shared" si="41"/>
        <v>-1.0940752078184084</v>
      </c>
      <c r="AB155" s="115">
        <f t="shared" si="42"/>
        <v>40175020.384541623</v>
      </c>
      <c r="AC155" s="73">
        <f>AB155/SUMIFS(FinParameters!$L$8:$L$39,FinParameters!$B$8:$B$39,Financials!$E155,FinParameters!$C$8:$C$39,Financials!$F155)</f>
        <v>36396585.622218788</v>
      </c>
      <c r="AD155" s="73">
        <f t="shared" si="43"/>
        <v>36396585.622218788</v>
      </c>
      <c r="AE155" s="12"/>
      <c r="AF155" s="73">
        <f t="shared" si="44"/>
        <v>35623752.332180172</v>
      </c>
      <c r="AG155" s="73">
        <f t="shared" si="45"/>
        <v>31910043.386274837</v>
      </c>
      <c r="AH155" s="73">
        <f t="shared" si="45"/>
        <v>-9948230.5716339424</v>
      </c>
      <c r="AI155" s="12">
        <f t="shared" si="46"/>
        <v>-0.23485069796284014</v>
      </c>
      <c r="AL155" s="73">
        <f>Summary!G155</f>
        <v>-6993263.6765145119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14381809.96556133</v>
      </c>
      <c r="AN155" s="20">
        <f>Summary!I155</f>
        <v>2192743.3980308427</v>
      </c>
      <c r="AP155" s="12">
        <v>1</v>
      </c>
    </row>
    <row r="156" spans="1:42" x14ac:dyDescent="0.3">
      <c r="A156">
        <v>152</v>
      </c>
      <c r="B156" t="str">
        <f>Summary!B156</f>
        <v>MarinusSnowyYallourn</v>
      </c>
      <c r="C156" t="str">
        <f>Summary!C156</f>
        <v>Wind</v>
      </c>
      <c r="D156" s="90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33150694.877183214</v>
      </c>
      <c r="H156" s="73">
        <f>SUMIFS(AM$5:AM156,$F$5:$F156,$F156,$D$5:$D156,$D156)</f>
        <v>-553709.62243720936</v>
      </c>
      <c r="I156" s="20">
        <f>SUMIFS(AN$5:AN156,$F$5:$F156,$F156,$D$5:$D156,$D156)</f>
        <v>15017155.683695549</v>
      </c>
      <c r="J156" s="73">
        <f t="shared" si="32"/>
        <v>15017155.683695549</v>
      </c>
      <c r="K156" s="73">
        <f t="shared" si="33"/>
        <v>48167850.560878761</v>
      </c>
      <c r="L156" s="73">
        <f t="shared" si="34"/>
        <v>47614140.938441552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11090686.933695549</v>
      </c>
      <c r="Q156" s="73">
        <f>P156/SUMIFS(FinParameters!$H$8:$H$39,FinParameters!$B$8:$B$39,Financials!$E156,FinParameters!$C$8:$C$39,Financials!$F156)</f>
        <v>7305779.0077704936</v>
      </c>
      <c r="R156" s="73">
        <f t="shared" si="47"/>
        <v>-31269121.480448604</v>
      </c>
      <c r="S156" s="12">
        <f t="shared" si="36"/>
        <v>-0.73817901097984395</v>
      </c>
      <c r="T156" s="115">
        <f t="shared" si="37"/>
        <v>33150694.877183214</v>
      </c>
      <c r="U156" s="73">
        <f>T156/SUMIFS(FinParameters!$L$8:$L$39,FinParameters!$B$8:$B$39,Financials!$E156,FinParameters!$C$8:$C$39,Financials!$F156)</f>
        <v>30032893.399544068</v>
      </c>
      <c r="V156" s="73">
        <f t="shared" si="38"/>
        <v>30032893.399544068</v>
      </c>
      <c r="W156" s="12"/>
      <c r="X156" s="73">
        <f t="shared" si="39"/>
        <v>44241381.810878761</v>
      </c>
      <c r="Y156" s="73">
        <f t="shared" si="40"/>
        <v>37338672.407314561</v>
      </c>
      <c r="Z156" s="73">
        <f t="shared" si="40"/>
        <v>-1236228.0809045359</v>
      </c>
      <c r="AA156" s="12">
        <f t="shared" si="41"/>
        <v>-2.9183986594513333E-2</v>
      </c>
      <c r="AB156" s="115">
        <f t="shared" si="42"/>
        <v>-553709.62243720936</v>
      </c>
      <c r="AC156" s="73">
        <f>AB156/SUMIFS(FinParameters!$L$8:$L$39,FinParameters!$B$8:$B$39,Financials!$E156,FinParameters!$C$8:$C$39,Financials!$F156)</f>
        <v>-501633.5894788187</v>
      </c>
      <c r="AD156" s="73">
        <f t="shared" si="43"/>
        <v>-501633.5894788187</v>
      </c>
      <c r="AE156" s="12"/>
      <c r="AF156" s="73">
        <f t="shared" si="44"/>
        <v>43687672.188441552</v>
      </c>
      <c r="AG156" s="73">
        <f t="shared" si="45"/>
        <v>36837038.817835741</v>
      </c>
      <c r="AH156" s="73">
        <f t="shared" si="45"/>
        <v>-1737861.6703833546</v>
      </c>
      <c r="AI156" s="12">
        <f t="shared" si="46"/>
        <v>-4.1026192880586163E-2</v>
      </c>
      <c r="AL156" s="73">
        <f>Summary!G156</f>
        <v>4220054.735712192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-128717.87681351135</v>
      </c>
      <c r="AN156" s="20">
        <f>Summary!I156</f>
        <v>5593784.7715639081</v>
      </c>
      <c r="AP156" s="12">
        <v>1</v>
      </c>
    </row>
    <row r="157" spans="1:42" x14ac:dyDescent="0.3">
      <c r="A157">
        <v>153</v>
      </c>
      <c r="B157" t="str">
        <f>Summary!B157</f>
        <v>MarinusSnowyYallourn</v>
      </c>
      <c r="C157" t="str">
        <f>Summary!C157</f>
        <v>Wind</v>
      </c>
      <c r="D157" s="90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108535062.17561491</v>
      </c>
      <c r="H157" s="73">
        <f>SUMIFS(AM$5:AM157,$F$5:$F157,$F157,$D$5:$D157,$D157)</f>
        <v>-67288023.870336309</v>
      </c>
      <c r="I157" s="20">
        <f>SUMIFS(AN$5:AN157,$F$5:$F157,$F157,$D$5:$D157,$D157)</f>
        <v>39754470.521383628</v>
      </c>
      <c r="J157" s="73">
        <f t="shared" si="32"/>
        <v>39754470.521383628</v>
      </c>
      <c r="K157" s="73">
        <f t="shared" si="33"/>
        <v>148289532.69699854</v>
      </c>
      <c r="L157" s="73">
        <f t="shared" si="34"/>
        <v>81001508.826662228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34851090.052633628</v>
      </c>
      <c r="Q157" s="73">
        <f>P157/SUMIFS(FinParameters!$H$8:$H$39,FinParameters!$B$8:$B$39,Financials!$E157,FinParameters!$C$8:$C$39,Financials!$F157)</f>
        <v>20682425.676023848</v>
      </c>
      <c r="R157" s="73">
        <f t="shared" si="47"/>
        <v>-13862413.011132844</v>
      </c>
      <c r="S157" s="12">
        <f t="shared" si="36"/>
        <v>-0.28457023493027805</v>
      </c>
      <c r="T157" s="115">
        <f t="shared" si="37"/>
        <v>108535062.17561491</v>
      </c>
      <c r="U157" s="73">
        <f>T157/SUMIFS(FinParameters!$L$8:$L$39,FinParameters!$B$8:$B$39,Financials!$E157,FinParameters!$C$8:$C$39,Financials!$F157)</f>
        <v>95929180.059882775</v>
      </c>
      <c r="V157" s="73">
        <f t="shared" si="38"/>
        <v>95929180.059882775</v>
      </c>
      <c r="W157" s="12"/>
      <c r="X157" s="73">
        <f t="shared" si="39"/>
        <v>143386152.22824854</v>
      </c>
      <c r="Y157" s="73">
        <f t="shared" si="40"/>
        <v>116611605.73590663</v>
      </c>
      <c r="Z157" s="73">
        <f t="shared" si="40"/>
        <v>82066767.048749924</v>
      </c>
      <c r="AA157" s="12">
        <f t="shared" si="41"/>
        <v>1.6846821083945387</v>
      </c>
      <c r="AB157" s="115">
        <f t="shared" si="42"/>
        <v>-67288023.870336309</v>
      </c>
      <c r="AC157" s="73">
        <f>AB157/SUMIFS(FinParameters!$L$8:$L$39,FinParameters!$B$8:$B$39,Financials!$E157,FinParameters!$C$8:$C$39,Financials!$F157)</f>
        <v>-59472808.402568288</v>
      </c>
      <c r="AD157" s="73">
        <f t="shared" si="43"/>
        <v>-59472808.402568288</v>
      </c>
      <c r="AE157" s="12"/>
      <c r="AF157" s="73">
        <f t="shared" si="44"/>
        <v>76098128.357912228</v>
      </c>
      <c r="AG157" s="73">
        <f t="shared" si="45"/>
        <v>57138797.333338343</v>
      </c>
      <c r="AH157" s="73">
        <f t="shared" si="45"/>
        <v>22593958.646181636</v>
      </c>
      <c r="AI157" s="12">
        <f t="shared" si="46"/>
        <v>0.46381305439286336</v>
      </c>
      <c r="AL157" s="73">
        <f>Summary!G157</f>
        <v>17868473.066819534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-19325724.003520742</v>
      </c>
      <c r="AN157" s="20">
        <f>Summary!I157</f>
        <v>10112512.361588769</v>
      </c>
      <c r="AP157" s="12">
        <v>1</v>
      </c>
    </row>
    <row r="158" spans="1:42" x14ac:dyDescent="0.3">
      <c r="A158">
        <v>154</v>
      </c>
      <c r="B158" t="str">
        <f>Summary!B158</f>
        <v>MarinusSnowyYallourn</v>
      </c>
      <c r="C158" t="str">
        <f>Summary!C158</f>
        <v>Wind</v>
      </c>
      <c r="D158" s="90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73046567.876522616</v>
      </c>
      <c r="H158" s="73">
        <f>SUMIFS(AM$5:AM158,$F$5:$F158,$F158,$D$5:$D158,$D158)</f>
        <v>-27861802.364812829</v>
      </c>
      <c r="I158" s="20">
        <f>SUMIFS(AN$5:AN158,$F$5:$F158,$F158,$D$5:$D158,$D158)</f>
        <v>28591412.283274032</v>
      </c>
      <c r="J158" s="73">
        <f t="shared" si="32"/>
        <v>28591412.283274032</v>
      </c>
      <c r="K158" s="73">
        <f t="shared" si="33"/>
        <v>101637980.15979666</v>
      </c>
      <c r="L158" s="73">
        <f t="shared" si="34"/>
        <v>73776177.794983819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23688031.814524032</v>
      </c>
      <c r="Q158" s="73">
        <f>P158/SUMIFS(FinParameters!$H$8:$H$39,FinParameters!$B$8:$B$39,Financials!$E158,FinParameters!$C$8:$C$39,Financials!$F158)</f>
        <v>14057693.939422674</v>
      </c>
      <c r="R158" s="73">
        <f t="shared" si="47"/>
        <v>-25025471.24924244</v>
      </c>
      <c r="S158" s="12">
        <f t="shared" si="36"/>
        <v>-0.51372760477693102</v>
      </c>
      <c r="T158" s="115">
        <f t="shared" si="37"/>
        <v>73046567.876522616</v>
      </c>
      <c r="U158" s="73">
        <f>T158/SUMIFS(FinParameters!$L$8:$L$39,FinParameters!$B$8:$B$39,Financials!$E158,FinParameters!$C$8:$C$39,Financials!$F158)</f>
        <v>64562522.212824136</v>
      </c>
      <c r="V158" s="73">
        <f t="shared" si="38"/>
        <v>64562522.212824136</v>
      </c>
      <c r="W158" s="12"/>
      <c r="X158" s="73">
        <f t="shared" si="39"/>
        <v>96734599.691046655</v>
      </c>
      <c r="Y158" s="73">
        <f t="shared" si="40"/>
        <v>78620216.152246803</v>
      </c>
      <c r="Z158" s="73">
        <f t="shared" si="40"/>
        <v>39537050.963581696</v>
      </c>
      <c r="AA158" s="12">
        <f t="shared" si="41"/>
        <v>0.81162405651318681</v>
      </c>
      <c r="AB158" s="115">
        <f t="shared" si="42"/>
        <v>-27861802.364812829</v>
      </c>
      <c r="AC158" s="73">
        <f>AB158/SUMIFS(FinParameters!$L$8:$L$39,FinParameters!$B$8:$B$39,Financials!$E158,FinParameters!$C$8:$C$39,Financials!$F158)</f>
        <v>-24625773.480668802</v>
      </c>
      <c r="AD158" s="73">
        <f t="shared" si="43"/>
        <v>-24625773.480668802</v>
      </c>
      <c r="AE158" s="12"/>
      <c r="AF158" s="73">
        <f t="shared" si="44"/>
        <v>68872797.326233834</v>
      </c>
      <c r="AG158" s="73">
        <f t="shared" si="45"/>
        <v>53994442.671578005</v>
      </c>
      <c r="AH158" s="73">
        <f t="shared" si="45"/>
        <v>14911277.482912894</v>
      </c>
      <c r="AI158" s="12">
        <f t="shared" si="46"/>
        <v>0.30610152309091548</v>
      </c>
      <c r="AL158" s="73">
        <f>Summary!G158</f>
        <v>9961058.1589274127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-7138066.7502449034</v>
      </c>
      <c r="AN158" s="20">
        <f>Summary!I158</f>
        <v>7582628.637416508</v>
      </c>
      <c r="AP158" s="12">
        <v>1</v>
      </c>
    </row>
    <row r="159" spans="1:42" x14ac:dyDescent="0.3">
      <c r="A159">
        <v>155</v>
      </c>
      <c r="B159" t="str">
        <f>Summary!B159</f>
        <v>MarinusSnowyYallourn</v>
      </c>
      <c r="C159" t="str">
        <f>Summary!C159</f>
        <v>Wind</v>
      </c>
      <c r="D159" s="90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48992276.144187681</v>
      </c>
      <c r="H159" s="73">
        <f>SUMIFS(AM$5:AM159,$F$5:$F159,$F159,$D$5:$D159,$D159)</f>
        <v>-11280210.181281023</v>
      </c>
      <c r="I159" s="20">
        <f>SUMIFS(AN$5:AN159,$F$5:$F159,$F159,$D$5:$D159,$D159)</f>
        <v>23466933.214403413</v>
      </c>
      <c r="J159" s="73">
        <f t="shared" si="32"/>
        <v>23466933.214403413</v>
      </c>
      <c r="K159" s="73">
        <f t="shared" si="33"/>
        <v>72459209.358591095</v>
      </c>
      <c r="L159" s="73">
        <f t="shared" si="34"/>
        <v>61178999.177310072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18563552.745653413</v>
      </c>
      <c r="Q159" s="73">
        <f>P159/SUMIFS(FinParameters!$H$8:$H$39,FinParameters!$B$8:$B$39,Financials!$E159,FinParameters!$C$8:$C$39,Financials!$F159)</f>
        <v>11016565.03039312</v>
      </c>
      <c r="R159" s="73">
        <f t="shared" si="47"/>
        <v>-30149950.318113059</v>
      </c>
      <c r="S159" s="12">
        <f t="shared" si="36"/>
        <v>-0.61892387986646058</v>
      </c>
      <c r="T159" s="115">
        <f t="shared" si="37"/>
        <v>48992276.144187681</v>
      </c>
      <c r="U159" s="73">
        <f>T159/SUMIFS(FinParameters!$L$8:$L$39,FinParameters!$B$8:$B$39,Financials!$E159,FinParameters!$C$8:$C$39,Financials!$F159)</f>
        <v>43302033.329789743</v>
      </c>
      <c r="V159" s="73">
        <f t="shared" si="38"/>
        <v>43302033.329789743</v>
      </c>
      <c r="W159" s="12"/>
      <c r="X159" s="73">
        <f t="shared" si="39"/>
        <v>67555828.889841095</v>
      </c>
      <c r="Y159" s="73">
        <f t="shared" si="40"/>
        <v>54318598.360182866</v>
      </c>
      <c r="Z159" s="73">
        <f t="shared" si="40"/>
        <v>13152083.011676684</v>
      </c>
      <c r="AA159" s="12">
        <f t="shared" si="41"/>
        <v>0.2699884464161913</v>
      </c>
      <c r="AB159" s="115">
        <f t="shared" si="42"/>
        <v>-11280210.181281023</v>
      </c>
      <c r="AC159" s="73">
        <f>AB159/SUMIFS(FinParameters!$L$8:$L$39,FinParameters!$B$8:$B$39,Financials!$E159,FinParameters!$C$8:$C$39,Financials!$F159)</f>
        <v>-9970062.1338617615</v>
      </c>
      <c r="AD159" s="73">
        <f t="shared" si="43"/>
        <v>-9970062.1338617615</v>
      </c>
      <c r="AE159" s="12"/>
      <c r="AF159" s="73">
        <f t="shared" si="44"/>
        <v>56275618.708560072</v>
      </c>
      <c r="AG159" s="73">
        <f t="shared" si="45"/>
        <v>44348536.226321101</v>
      </c>
      <c r="AH159" s="73">
        <f t="shared" si="45"/>
        <v>3182020.8778149225</v>
      </c>
      <c r="AI159" s="12">
        <f t="shared" si="46"/>
        <v>6.5321126129024729E-2</v>
      </c>
      <c r="AL159" s="73">
        <f>Summary!G159</f>
        <v>4539891.0110584283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-2876219.7823106181</v>
      </c>
      <c r="AN159" s="20">
        <f>Summary!I159</f>
        <v>6284817.0020929715</v>
      </c>
      <c r="AP159" s="12">
        <v>1</v>
      </c>
    </row>
    <row r="160" spans="1:42" x14ac:dyDescent="0.3">
      <c r="A160">
        <v>156</v>
      </c>
      <c r="B160" t="str">
        <f>Summary!B160</f>
        <v>MarinusSnowyYallourn</v>
      </c>
      <c r="C160" t="str">
        <f>Summary!C160</f>
        <v>Wind</v>
      </c>
      <c r="D160" s="90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31034666.338769529</v>
      </c>
      <c r="H160" s="73">
        <f>SUMIFS(AM$5:AM160,$F$5:$F160,$F160,$D$5:$D160,$D160)</f>
        <v>132.20129057676928</v>
      </c>
      <c r="I160" s="20">
        <f>SUMIFS(AN$5:AN160,$F$5:$F160,$F160,$D$5:$D160,$D160)</f>
        <v>20186938.42533445</v>
      </c>
      <c r="J160" s="73">
        <f t="shared" si="32"/>
        <v>20186938.42533445</v>
      </c>
      <c r="K160" s="73">
        <f t="shared" si="33"/>
        <v>51221604.764103979</v>
      </c>
      <c r="L160" s="73">
        <f t="shared" si="34"/>
        <v>51221736.965394557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15283557.95658445</v>
      </c>
      <c r="Q160" s="73">
        <f>P160/SUMIFS(FinParameters!$H$8:$H$39,FinParameters!$B$8:$B$39,Financials!$E160,FinParameters!$C$8:$C$39,Financials!$F160)</f>
        <v>9070047.7667949926</v>
      </c>
      <c r="R160" s="73">
        <f t="shared" si="47"/>
        <v>-33429945.107182018</v>
      </c>
      <c r="S160" s="12">
        <f t="shared" si="36"/>
        <v>-0.68625623296731253</v>
      </c>
      <c r="T160" s="115">
        <f t="shared" si="37"/>
        <v>31034666.338769529</v>
      </c>
      <c r="U160" s="73">
        <f>T160/SUMIFS(FinParameters!$L$8:$L$39,FinParameters!$B$8:$B$39,Financials!$E160,FinParameters!$C$8:$C$39,Financials!$F160)</f>
        <v>27430122.908052206</v>
      </c>
      <c r="V160" s="73">
        <f t="shared" si="38"/>
        <v>27430122.908052206</v>
      </c>
      <c r="W160" s="12"/>
      <c r="X160" s="73">
        <f t="shared" si="39"/>
        <v>46318224.295353979</v>
      </c>
      <c r="Y160" s="73">
        <f t="shared" si="40"/>
        <v>36500170.674847201</v>
      </c>
      <c r="Z160" s="73">
        <f t="shared" si="40"/>
        <v>-5999822.1991298124</v>
      </c>
      <c r="AA160" s="12">
        <f t="shared" si="41"/>
        <v>-0.12316548434786108</v>
      </c>
      <c r="AB160" s="115">
        <f t="shared" si="42"/>
        <v>132.20129057676928</v>
      </c>
      <c r="AC160" s="73">
        <f>AB160/SUMIFS(FinParameters!$L$8:$L$39,FinParameters!$B$8:$B$39,Financials!$E160,FinParameters!$C$8:$C$39,Financials!$F160)</f>
        <v>116.84667750378919</v>
      </c>
      <c r="AD160" s="73">
        <f t="shared" si="43"/>
        <v>116.84667750378919</v>
      </c>
      <c r="AE160" s="12"/>
      <c r="AF160" s="73">
        <f t="shared" si="44"/>
        <v>46318356.496644557</v>
      </c>
      <c r="AG160" s="73">
        <f t="shared" si="45"/>
        <v>36500287.521524705</v>
      </c>
      <c r="AH160" s="73">
        <f t="shared" si="45"/>
        <v>-5999705.3524523089</v>
      </c>
      <c r="AI160" s="12">
        <f t="shared" si="46"/>
        <v>-0.12316308569717586</v>
      </c>
      <c r="AL160" s="73">
        <f>Summary!G160</f>
        <v>1430178.1618219099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-3.1121771826292388E-9</v>
      </c>
      <c r="AN160" s="20">
        <f>Summary!I160</f>
        <v>5419108.4553625397</v>
      </c>
      <c r="AP160" s="12">
        <v>1</v>
      </c>
    </row>
    <row r="161" spans="1:42" x14ac:dyDescent="0.3">
      <c r="A161">
        <v>157</v>
      </c>
      <c r="B161" t="str">
        <f>Summary!B161</f>
        <v>MarinusSnowyYallourn</v>
      </c>
      <c r="C161" t="str">
        <f>Summary!C161</f>
        <v>Wind</v>
      </c>
      <c r="D161" s="90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20060551.789210334</v>
      </c>
      <c r="H161" s="73">
        <f>SUMIFS(AM$5:AM161,$F$5:$F161,$F161,$D$5:$D161,$D161)</f>
        <v>10511694.275857693</v>
      </c>
      <c r="I161" s="20">
        <f>SUMIFS(AN$5:AN161,$F$5:$F161,$F161,$D$5:$D161,$D161)</f>
        <v>17181797.605454739</v>
      </c>
      <c r="J161" s="73">
        <f t="shared" si="32"/>
        <v>17181797.605454739</v>
      </c>
      <c r="K161" s="73">
        <f t="shared" si="33"/>
        <v>37242349.394665077</v>
      </c>
      <c r="L161" s="73">
        <f t="shared" si="34"/>
        <v>47754043.670522764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12278417.136704739</v>
      </c>
      <c r="Q161" s="73">
        <f>P161/SUMIFS(FinParameters!$H$8:$H$39,FinParameters!$B$8:$B$39,Financials!$E161,FinParameters!$C$8:$C$39,Financials!$F161)</f>
        <v>7286642.9562343927</v>
      </c>
      <c r="R161" s="73">
        <f t="shared" si="47"/>
        <v>-36435085.927061729</v>
      </c>
      <c r="S161" s="12">
        <f t="shared" si="36"/>
        <v>-0.74794633182852466</v>
      </c>
      <c r="T161" s="115">
        <f t="shared" si="37"/>
        <v>20060551.789210334</v>
      </c>
      <c r="U161" s="73">
        <f>T161/SUMIFS(FinParameters!$L$8:$L$39,FinParameters!$B$8:$B$39,Financials!$E161,FinParameters!$C$8:$C$39,Financials!$F161)</f>
        <v>17730604.710706327</v>
      </c>
      <c r="V161" s="73">
        <f t="shared" si="38"/>
        <v>17730604.710706327</v>
      </c>
      <c r="W161" s="12"/>
      <c r="X161" s="73">
        <f t="shared" si="39"/>
        <v>32338968.925915077</v>
      </c>
      <c r="Y161" s="73">
        <f t="shared" si="40"/>
        <v>25017247.666940719</v>
      </c>
      <c r="Z161" s="73">
        <f t="shared" si="40"/>
        <v>-18704481.216355402</v>
      </c>
      <c r="AA161" s="12">
        <f t="shared" si="41"/>
        <v>-0.38396912642211434</v>
      </c>
      <c r="AB161" s="115">
        <f t="shared" si="42"/>
        <v>10511694.275857693</v>
      </c>
      <c r="AC161" s="73">
        <f>AB161/SUMIFS(FinParameters!$L$8:$L$39,FinParameters!$B$8:$B$39,Financials!$E161,FinParameters!$C$8:$C$39,Financials!$F161)</f>
        <v>9290806.0557572395</v>
      </c>
      <c r="AD161" s="73">
        <f t="shared" si="43"/>
        <v>9290806.0557572395</v>
      </c>
      <c r="AE161" s="12"/>
      <c r="AF161" s="73">
        <f t="shared" si="44"/>
        <v>42850663.201772772</v>
      </c>
      <c r="AG161" s="73">
        <f t="shared" si="45"/>
        <v>34308053.722697958</v>
      </c>
      <c r="AH161" s="73">
        <f t="shared" si="45"/>
        <v>-9413675.1605981626</v>
      </c>
      <c r="AI161" s="12">
        <f t="shared" si="46"/>
        <v>-0.19324570331711857</v>
      </c>
      <c r="AL161" s="73">
        <f>Summary!G161</f>
        <v>-843059.41301123507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2810417.7180092465</v>
      </c>
      <c r="AN161" s="20">
        <f>Summary!I161</f>
        <v>4639143.5103227599</v>
      </c>
      <c r="AP161" s="12">
        <v>1</v>
      </c>
    </row>
    <row r="162" spans="1:42" x14ac:dyDescent="0.3">
      <c r="A162">
        <v>158</v>
      </c>
      <c r="B162" t="str">
        <f>Summary!B162</f>
        <v>MarinusSnowyYallourn</v>
      </c>
      <c r="C162" t="str">
        <f>Summary!C162</f>
        <v>Wind</v>
      </c>
      <c r="D162" s="90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6039995.1753607225</v>
      </c>
      <c r="H162" s="73">
        <f>SUMIFS(AM$5:AM162,$F$5:$F162,$F162,$D$5:$D162,$D162)</f>
        <v>24833186.971813269</v>
      </c>
      <c r="I162" s="20">
        <f>SUMIFS(AN$5:AN162,$F$5:$F162,$F162,$D$5:$D162,$D162)</f>
        <v>13573346.670064256</v>
      </c>
      <c r="J162" s="73">
        <f t="shared" si="32"/>
        <v>13573346.670064256</v>
      </c>
      <c r="K162" s="73">
        <f t="shared" si="33"/>
        <v>19613341.84542498</v>
      </c>
      <c r="L162" s="73">
        <f t="shared" si="34"/>
        <v>44446528.817238249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8669966.2013142556</v>
      </c>
      <c r="Q162" s="73">
        <f>P162/SUMIFS(FinParameters!$H$8:$H$39,FinParameters!$B$8:$B$39,Financials!$E162,FinParameters!$C$8:$C$39,Financials!$F162)</f>
        <v>5145202.9563927613</v>
      </c>
      <c r="R162" s="73">
        <f t="shared" si="47"/>
        <v>-40043536.862452216</v>
      </c>
      <c r="S162" s="12">
        <f t="shared" si="36"/>
        <v>-0.82202129479448072</v>
      </c>
      <c r="T162" s="115">
        <f t="shared" si="37"/>
        <v>6039995.1753607225</v>
      </c>
      <c r="U162" s="73">
        <f>T162/SUMIFS(FinParameters!$L$8:$L$39,FinParameters!$B$8:$B$39,Financials!$E162,FinParameters!$C$8:$C$39,Financials!$F162)</f>
        <v>5338475.6328833718</v>
      </c>
      <c r="V162" s="73">
        <f t="shared" si="38"/>
        <v>5338475.6328833718</v>
      </c>
      <c r="W162" s="12"/>
      <c r="X162" s="73">
        <f t="shared" si="39"/>
        <v>14709961.37667498</v>
      </c>
      <c r="Y162" s="73">
        <f t="shared" si="40"/>
        <v>10483678.589276133</v>
      </c>
      <c r="Z162" s="73">
        <f t="shared" si="40"/>
        <v>-34705061.229568847</v>
      </c>
      <c r="AA162" s="12">
        <f t="shared" si="41"/>
        <v>-0.71243205778364094</v>
      </c>
      <c r="AB162" s="115">
        <f t="shared" si="42"/>
        <v>24833186.971813269</v>
      </c>
      <c r="AC162" s="73">
        <f>AB162/SUMIFS(FinParameters!$L$8:$L$39,FinParameters!$B$8:$B$39,Financials!$E162,FinParameters!$C$8:$C$39,Financials!$F162)</f>
        <v>21948918.78004596</v>
      </c>
      <c r="AD162" s="73">
        <f t="shared" si="43"/>
        <v>21948918.78004596</v>
      </c>
      <c r="AE162" s="12"/>
      <c r="AF162" s="73">
        <f t="shared" si="44"/>
        <v>39543148.348488249</v>
      </c>
      <c r="AG162" s="73">
        <f t="shared" si="45"/>
        <v>32432597.369322091</v>
      </c>
      <c r="AH162" s="73">
        <f t="shared" si="45"/>
        <v>-12756142.449522886</v>
      </c>
      <c r="AI162" s="12">
        <f t="shared" si="46"/>
        <v>-0.26186050370520397</v>
      </c>
      <c r="AL162" s="73">
        <f>Summary!G162</f>
        <v>-4303959.8452489674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6877624.7527218703</v>
      </c>
      <c r="AN162" s="20">
        <f>Summary!I162</f>
        <v>3651200.1407092484</v>
      </c>
      <c r="AP162" s="12">
        <v>1</v>
      </c>
    </row>
    <row r="163" spans="1:42" x14ac:dyDescent="0.3">
      <c r="A163">
        <v>159</v>
      </c>
      <c r="B163" t="str">
        <f>Summary!B163</f>
        <v>MarinusSnowyYallourn</v>
      </c>
      <c r="C163" t="str">
        <f>Summary!C163</f>
        <v>Wind</v>
      </c>
      <c r="D163" s="90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-13162386.437169567</v>
      </c>
      <c r="H163" s="73">
        <f>SUMIFS(AM$5:AM163,$F$5:$F163,$F163,$D$5:$D163,$D163)</f>
        <v>54722905.38256523</v>
      </c>
      <c r="I163" s="20">
        <f>SUMIFS(AN$5:AN163,$F$5:$F163,$F163,$D$5:$D163,$D163)</f>
        <v>7556002.9918413199</v>
      </c>
      <c r="J163" s="73">
        <f t="shared" si="32"/>
        <v>7556002.9918413199</v>
      </c>
      <c r="K163" s="73">
        <f t="shared" si="33"/>
        <v>-5606383.4453282468</v>
      </c>
      <c r="L163" s="73">
        <f t="shared" si="34"/>
        <v>49116521.93723698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2652622.5230913199</v>
      </c>
      <c r="Q163" s="73">
        <f>P163/SUMIFS(FinParameters!$H$8:$H$39,FinParameters!$B$8:$B$39,Financials!$E163,FinParameters!$C$8:$C$39,Financials!$F163)</f>
        <v>1574202.3591665884</v>
      </c>
      <c r="R163" s="73">
        <f t="shared" si="47"/>
        <v>-46060880.540675156</v>
      </c>
      <c r="S163" s="12">
        <f t="shared" si="36"/>
        <v>-0.94554646337753612</v>
      </c>
      <c r="T163" s="115">
        <f t="shared" si="37"/>
        <v>-13162386.437169567</v>
      </c>
      <c r="U163" s="73">
        <f>T163/SUMIFS(FinParameters!$L$8:$L$39,FinParameters!$B$8:$B$39,Financials!$E163,FinParameters!$C$8:$C$39,Financials!$F163)</f>
        <v>-11633631.687665679</v>
      </c>
      <c r="V163" s="73">
        <f t="shared" si="38"/>
        <v>-11633631.687665679</v>
      </c>
      <c r="W163" s="12"/>
      <c r="X163" s="73">
        <f t="shared" si="39"/>
        <v>-10509763.914078247</v>
      </c>
      <c r="Y163" s="73">
        <f t="shared" si="40"/>
        <v>-10059429.32849909</v>
      </c>
      <c r="Z163" s="73">
        <f t="shared" si="40"/>
        <v>-57694512.228340834</v>
      </c>
      <c r="AA163" s="12">
        <f t="shared" si="41"/>
        <v>-1.1843638539568409</v>
      </c>
      <c r="AB163" s="115">
        <f t="shared" si="42"/>
        <v>54722905.38256523</v>
      </c>
      <c r="AC163" s="73">
        <f>AB163/SUMIFS(FinParameters!$L$8:$L$39,FinParameters!$B$8:$B$39,Financials!$E163,FinParameters!$C$8:$C$39,Financials!$F163)</f>
        <v>48367074.552830204</v>
      </c>
      <c r="AD163" s="73">
        <f t="shared" si="43"/>
        <v>48367074.552830204</v>
      </c>
      <c r="AE163" s="12"/>
      <c r="AF163" s="73">
        <f t="shared" si="44"/>
        <v>44213141.46848698</v>
      </c>
      <c r="AG163" s="73">
        <f t="shared" si="45"/>
        <v>38307645.224331111</v>
      </c>
      <c r="AH163" s="73">
        <f t="shared" si="45"/>
        <v>-9327437.67551063</v>
      </c>
      <c r="AI163" s="12">
        <f t="shared" si="46"/>
        <v>-0.19147540392036513</v>
      </c>
      <c r="AL163" s="73">
        <f>Summary!G163</f>
        <v>-7141502.280683673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14547884.998023611</v>
      </c>
      <c r="AN163" s="20">
        <f>Summary!I163</f>
        <v>2159918.1377168777</v>
      </c>
      <c r="AP163" s="12">
        <v>1</v>
      </c>
    </row>
    <row r="164" spans="1:42" x14ac:dyDescent="0.3">
      <c r="A164">
        <v>160</v>
      </c>
      <c r="B164" t="str">
        <f>Summary!B164</f>
        <v>MarinusSnowyYallourn</v>
      </c>
      <c r="C164" t="str">
        <f>Summary!C164</f>
        <v>Wind</v>
      </c>
      <c r="D164" s="90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35155850.684817642</v>
      </c>
      <c r="H164" s="73">
        <f>SUMIFS(AM$5:AM164,$F$5:$F164,$F164,$D$5:$D164,$D164)</f>
        <v>-612119.83102260262</v>
      </c>
      <c r="I164" s="20">
        <f>SUMIFS(AN$5:AN164,$F$5:$F164,$F164,$D$5:$D164,$D164)</f>
        <v>20516713.069699027</v>
      </c>
      <c r="J164" s="73">
        <f t="shared" si="32"/>
        <v>20516713.069699027</v>
      </c>
      <c r="K164" s="73">
        <f t="shared" si="33"/>
        <v>55672563.754516669</v>
      </c>
      <c r="L164" s="73">
        <f t="shared" si="34"/>
        <v>55060443.923494063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15613332.600949027</v>
      </c>
      <c r="Q164" s="73">
        <f>P164/SUMIFS(FinParameters!$H$8:$H$39,FinParameters!$B$8:$B$39,Financials!$E164,FinParameters!$C$8:$C$39,Financials!$F164)</f>
        <v>9265752.9674531892</v>
      </c>
      <c r="R164" s="73">
        <f t="shared" si="47"/>
        <v>-33100170.462817445</v>
      </c>
      <c r="S164" s="12">
        <f t="shared" si="36"/>
        <v>-0.6794865567251237</v>
      </c>
      <c r="T164" s="115">
        <f t="shared" si="37"/>
        <v>35155850.684817642</v>
      </c>
      <c r="U164" s="73">
        <f>T164/SUMIFS(FinParameters!$L$8:$L$39,FinParameters!$B$8:$B$39,Financials!$E164,FinParameters!$C$8:$C$39,Financials!$F164)</f>
        <v>31072649.362336054</v>
      </c>
      <c r="V164" s="73">
        <f t="shared" si="38"/>
        <v>31072649.362336054</v>
      </c>
      <c r="W164" s="12"/>
      <c r="X164" s="73">
        <f t="shared" si="39"/>
        <v>50769183.285766669</v>
      </c>
      <c r="Y164" s="73">
        <f t="shared" si="40"/>
        <v>40338402.329789244</v>
      </c>
      <c r="Z164" s="73">
        <f t="shared" si="40"/>
        <v>-2027521.100481391</v>
      </c>
      <c r="AA164" s="12">
        <f t="shared" si="41"/>
        <v>-4.1621336446022887E-2</v>
      </c>
      <c r="AB164" s="115">
        <f t="shared" si="42"/>
        <v>-612119.83102260262</v>
      </c>
      <c r="AC164" s="73">
        <f>AB164/SUMIFS(FinParameters!$L$8:$L$39,FinParameters!$B$8:$B$39,Financials!$E164,FinParameters!$C$8:$C$39,Financials!$F164)</f>
        <v>-541024.73718014045</v>
      </c>
      <c r="AD164" s="73">
        <f t="shared" si="43"/>
        <v>-541024.73718014045</v>
      </c>
      <c r="AE164" s="12"/>
      <c r="AF164" s="73">
        <f t="shared" si="44"/>
        <v>50157063.454744063</v>
      </c>
      <c r="AG164" s="73">
        <f t="shared" si="45"/>
        <v>39797377.5926091</v>
      </c>
      <c r="AH164" s="73">
        <f t="shared" si="45"/>
        <v>-2568545.8376615313</v>
      </c>
      <c r="AI164" s="12">
        <f t="shared" si="46"/>
        <v>-5.2727594529575886E-2</v>
      </c>
      <c r="AL164" s="73">
        <f>Summary!G164</f>
        <v>2005155.8076344277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-58410.208585393229</v>
      </c>
      <c r="AN164" s="20">
        <f>Summary!I164</f>
        <v>5499557.3860034766</v>
      </c>
      <c r="AP164" s="12">
        <v>1</v>
      </c>
    </row>
    <row r="165" spans="1:42" x14ac:dyDescent="0.3">
      <c r="A165">
        <v>161</v>
      </c>
      <c r="B165" t="str">
        <f>Summary!B165</f>
        <v>MarinusSnowyYallourn</v>
      </c>
      <c r="C165" t="str">
        <f>Summary!C165</f>
        <v>Wind</v>
      </c>
      <c r="D165" s="90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128733983.03996497</v>
      </c>
      <c r="H165" s="73">
        <f>SUMIFS(AM$5:AM165,$F$5:$F165,$F165,$D$5:$D165,$D165)</f>
        <v>-88159559.597980976</v>
      </c>
      <c r="I165" s="20">
        <f>SUMIFS(AN$5:AN165,$F$5:$F165,$F165,$D$5:$D165,$D165)</f>
        <v>51499353.009283461</v>
      </c>
      <c r="J165" s="73">
        <f t="shared" si="32"/>
        <v>51499353.009283461</v>
      </c>
      <c r="K165" s="73">
        <f t="shared" si="33"/>
        <v>180233336.04924843</v>
      </c>
      <c r="L165" s="73">
        <f t="shared" si="34"/>
        <v>92073776.451267451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45609638.028814711</v>
      </c>
      <c r="Q165" s="73">
        <f>P165/SUMIFS(FinParameters!$H$8:$H$39,FinParameters!$B$8:$B$39,Financials!$E165,FinParameters!$C$8:$C$39,Financials!$F165)</f>
        <v>24384775.00943264</v>
      </c>
      <c r="R165" s="73">
        <f t="shared" si="47"/>
        <v>-7976613.1955824792</v>
      </c>
      <c r="S165" s="12">
        <f t="shared" si="36"/>
        <v>-0.14885559286802322</v>
      </c>
      <c r="T165" s="115">
        <f t="shared" si="37"/>
        <v>128733983.03996497</v>
      </c>
      <c r="U165" s="73">
        <f>T165/SUMIFS(FinParameters!$L$8:$L$39,FinParameters!$B$8:$B$39,Financials!$E165,FinParameters!$C$8:$C$39,Financials!$F165)</f>
        <v>111006910.11797455</v>
      </c>
      <c r="V165" s="73">
        <f t="shared" si="38"/>
        <v>111006910.11797455</v>
      </c>
      <c r="W165" s="12"/>
      <c r="X165" s="73">
        <f t="shared" si="39"/>
        <v>174343621.06877968</v>
      </c>
      <c r="Y165" s="73">
        <f t="shared" si="40"/>
        <v>135391685.12740719</v>
      </c>
      <c r="Z165" s="73">
        <f t="shared" si="40"/>
        <v>103030296.92239207</v>
      </c>
      <c r="AA165" s="12">
        <f t="shared" si="41"/>
        <v>1.9227002182135031</v>
      </c>
      <c r="AB165" s="115">
        <f t="shared" si="42"/>
        <v>-88159559.597980976</v>
      </c>
      <c r="AC165" s="73">
        <f>AB165/SUMIFS(FinParameters!$L$8:$L$39,FinParameters!$B$8:$B$39,Financials!$E165,FinParameters!$C$8:$C$39,Financials!$F165)</f>
        <v>-76019711.945797324</v>
      </c>
      <c r="AD165" s="73">
        <f t="shared" si="43"/>
        <v>-76019711.945797324</v>
      </c>
      <c r="AE165" s="12"/>
      <c r="AF165" s="73">
        <f t="shared" si="44"/>
        <v>86184061.470798701</v>
      </c>
      <c r="AG165" s="73">
        <f t="shared" si="45"/>
        <v>59371973.181609869</v>
      </c>
      <c r="AH165" s="73">
        <f t="shared" si="45"/>
        <v>27010584.976594746</v>
      </c>
      <c r="AI165" s="12">
        <f t="shared" si="46"/>
        <v>0.50405811862982397</v>
      </c>
      <c r="AL165" s="73">
        <f>Summary!G165</f>
        <v>20198920.864350058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-20871535.727644667</v>
      </c>
      <c r="AN165" s="20">
        <f>Summary!I165</f>
        <v>11744882.487899832</v>
      </c>
      <c r="AP165" s="12">
        <v>1</v>
      </c>
    </row>
    <row r="166" spans="1:42" x14ac:dyDescent="0.3">
      <c r="A166">
        <v>162</v>
      </c>
      <c r="B166" t="str">
        <f>Summary!B166</f>
        <v>MarinusSnowyYallourn</v>
      </c>
      <c r="C166" t="str">
        <f>Summary!C166</f>
        <v>Wind</v>
      </c>
      <c r="D166" s="90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84579477.814597532</v>
      </c>
      <c r="H166" s="73">
        <f>SUMIFS(AM$5:AM166,$F$5:$F166,$F166,$D$5:$D166,$D166)</f>
        <v>-37000611.799627692</v>
      </c>
      <c r="I166" s="20">
        <f>SUMIFS(AN$5:AN166,$F$5:$F166,$F166,$D$5:$D166,$D166)</f>
        <v>37463239.326190412</v>
      </c>
      <c r="J166" s="73">
        <f t="shared" si="32"/>
        <v>37463239.326190412</v>
      </c>
      <c r="K166" s="73">
        <f t="shared" si="33"/>
        <v>122042717.14078794</v>
      </c>
      <c r="L166" s="73">
        <f t="shared" si="34"/>
        <v>85042105.341160253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31573524.345721662</v>
      </c>
      <c r="Q166" s="73">
        <f>P166/SUMIFS(FinParameters!$H$8:$H$39,FinParameters!$B$8:$B$39,Financials!$E166,FinParameters!$C$8:$C$39,Financials!$F166)</f>
        <v>16880495.454466444</v>
      </c>
      <c r="R166" s="73">
        <f t="shared" si="47"/>
        <v>-22012726.878675528</v>
      </c>
      <c r="S166" s="12">
        <f t="shared" si="36"/>
        <v>-0.41079057362111931</v>
      </c>
      <c r="T166" s="115">
        <f t="shared" si="37"/>
        <v>84579477.814597532</v>
      </c>
      <c r="U166" s="73">
        <f>T166/SUMIFS(FinParameters!$L$8:$L$39,FinParameters!$B$8:$B$39,Financials!$E166,FinParameters!$C$8:$C$39,Financials!$F166)</f>
        <v>72932618.644103482</v>
      </c>
      <c r="V166" s="73">
        <f t="shared" si="38"/>
        <v>72932618.644103482</v>
      </c>
      <c r="W166" s="12"/>
      <c r="X166" s="73">
        <f t="shared" si="39"/>
        <v>116153002.16031919</v>
      </c>
      <c r="Y166" s="73">
        <f t="shared" si="40"/>
        <v>89813114.09856993</v>
      </c>
      <c r="Z166" s="73">
        <f t="shared" si="40"/>
        <v>50919891.765427954</v>
      </c>
      <c r="AA166" s="12">
        <f t="shared" si="41"/>
        <v>0.95024172435941412</v>
      </c>
      <c r="AB166" s="115">
        <f t="shared" si="42"/>
        <v>-37000611.799627692</v>
      </c>
      <c r="AC166" s="73">
        <f>AB166/SUMIFS(FinParameters!$L$8:$L$39,FinParameters!$B$8:$B$39,Financials!$E166,FinParameters!$C$8:$C$39,Financials!$F166)</f>
        <v>-31905511.593440227</v>
      </c>
      <c r="AD166" s="73">
        <f t="shared" si="43"/>
        <v>-31905511.593440227</v>
      </c>
      <c r="AE166" s="12"/>
      <c r="AF166" s="73">
        <f t="shared" si="44"/>
        <v>79152390.360691503</v>
      </c>
      <c r="AG166" s="73">
        <f t="shared" si="45"/>
        <v>57907602.505129702</v>
      </c>
      <c r="AH166" s="73">
        <f t="shared" si="45"/>
        <v>19014380.171987727</v>
      </c>
      <c r="AI166" s="12">
        <f t="shared" si="46"/>
        <v>0.35483691688682084</v>
      </c>
      <c r="AL166" s="73">
        <f>Summary!G166</f>
        <v>11532909.938074911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-9138809.434814861</v>
      </c>
      <c r="AN166" s="20">
        <f>Summary!I166</f>
        <v>8871827.042916378</v>
      </c>
      <c r="AP166" s="12">
        <v>1</v>
      </c>
    </row>
    <row r="167" spans="1:42" x14ac:dyDescent="0.3">
      <c r="A167">
        <v>163</v>
      </c>
      <c r="B167" t="str">
        <f>Summary!B167</f>
        <v>MarinusSnowyYallourn</v>
      </c>
      <c r="C167" t="str">
        <f>Summary!C167</f>
        <v>Wind</v>
      </c>
      <c r="D167" s="90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55318554.967590794</v>
      </c>
      <c r="H167" s="73">
        <f>SUMIFS(AM$5:AM167,$F$5:$F167,$F167,$D$5:$D167,$D167)</f>
        <v>-14957506.308934074</v>
      </c>
      <c r="I167" s="20">
        <f>SUMIFS(AN$5:AN167,$F$5:$F167,$F167,$D$5:$D167,$D167)</f>
        <v>30802882.700179443</v>
      </c>
      <c r="J167" s="73">
        <f t="shared" si="32"/>
        <v>30802882.700179443</v>
      </c>
      <c r="K167" s="73">
        <f t="shared" si="33"/>
        <v>86121437.667770237</v>
      </c>
      <c r="L167" s="73">
        <f t="shared" si="34"/>
        <v>71163931.358836159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24913167.719710693</v>
      </c>
      <c r="Q167" s="73">
        <f>P167/SUMIFS(FinParameters!$H$8:$H$39,FinParameters!$B$8:$B$39,Financials!$E167,FinParameters!$C$8:$C$39,Financials!$F167)</f>
        <v>13319596.819286417</v>
      </c>
      <c r="R167" s="73">
        <f t="shared" si="47"/>
        <v>-28673083.504686497</v>
      </c>
      <c r="S167" s="12">
        <f t="shared" si="36"/>
        <v>-0.53508284027213271</v>
      </c>
      <c r="T167" s="115">
        <f t="shared" si="37"/>
        <v>55318554.967590794</v>
      </c>
      <c r="U167" s="73">
        <f>T167/SUMIFS(FinParameters!$L$8:$L$39,FinParameters!$B$8:$B$39,Financials!$E167,FinParameters!$C$8:$C$39,Financials!$F167)</f>
        <v>47701016.578017443</v>
      </c>
      <c r="V167" s="73">
        <f t="shared" si="38"/>
        <v>47701016.578017443</v>
      </c>
      <c r="W167" s="12"/>
      <c r="X167" s="73">
        <f t="shared" si="39"/>
        <v>80231722.687301487</v>
      </c>
      <c r="Y167" s="73">
        <f t="shared" si="40"/>
        <v>61020613.397303864</v>
      </c>
      <c r="Z167" s="73">
        <f t="shared" si="40"/>
        <v>19027933.073330946</v>
      </c>
      <c r="AA167" s="12">
        <f t="shared" si="41"/>
        <v>0.35508983439893538</v>
      </c>
      <c r="AB167" s="115">
        <f t="shared" si="42"/>
        <v>-14957506.308934074</v>
      </c>
      <c r="AC167" s="73">
        <f>AB167/SUMIFS(FinParameters!$L$8:$L$39,FinParameters!$B$8:$B$39,Financials!$E167,FinParameters!$C$8:$C$39,Financials!$F167)</f>
        <v>-12897810.812778328</v>
      </c>
      <c r="AD167" s="73">
        <f t="shared" si="43"/>
        <v>-12897810.812778328</v>
      </c>
      <c r="AE167" s="12"/>
      <c r="AF167" s="73">
        <f t="shared" si="44"/>
        <v>65274216.378367409</v>
      </c>
      <c r="AG167" s="73">
        <f t="shared" si="45"/>
        <v>48122802.58452554</v>
      </c>
      <c r="AH167" s="73">
        <f t="shared" si="45"/>
        <v>6130122.2605526187</v>
      </c>
      <c r="AI167" s="12">
        <f t="shared" si="46"/>
        <v>0.11439729633039988</v>
      </c>
      <c r="AL167" s="73">
        <f>Summary!G167</f>
        <v>6326278.8234031145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-3677296.1276530507</v>
      </c>
      <c r="AN167" s="20">
        <f>Summary!I167</f>
        <v>7335949.4857760295</v>
      </c>
      <c r="AP167" s="12">
        <v>1</v>
      </c>
    </row>
    <row r="168" spans="1:42" x14ac:dyDescent="0.3">
      <c r="A168">
        <v>164</v>
      </c>
      <c r="B168" t="str">
        <f>Summary!B168</f>
        <v>MarinusSnowyYallourn</v>
      </c>
      <c r="C168" t="str">
        <f>Summary!C168</f>
        <v>Wind</v>
      </c>
      <c r="D168" s="90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33767003.564890906</v>
      </c>
      <c r="H168" s="73">
        <f>SUMIFS(AM$5:AM168,$F$5:$F168,$F168,$D$5:$D168,$D168)</f>
        <v>27215.517710943059</v>
      </c>
      <c r="I168" s="20">
        <f>SUMIFS(AN$5:AN168,$F$5:$F168,$F168,$D$5:$D168,$D168)</f>
        <v>26433011.838272039</v>
      </c>
      <c r="J168" s="73">
        <f t="shared" si="32"/>
        <v>26433011.838272039</v>
      </c>
      <c r="K168" s="73">
        <f t="shared" si="33"/>
        <v>60200015.403162941</v>
      </c>
      <c r="L168" s="73">
        <f t="shared" si="34"/>
        <v>60227230.920873895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20543296.857803289</v>
      </c>
      <c r="Q168" s="73">
        <f>P168/SUMIFS(FinParameters!$H$8:$H$39,FinParameters!$B$8:$B$39,Financials!$E168,FinParameters!$C$8:$C$39,Financials!$F168)</f>
        <v>10983285.408076195</v>
      </c>
      <c r="R168" s="73">
        <f t="shared" si="47"/>
        <v>-33042954.366593905</v>
      </c>
      <c r="S168" s="12">
        <f t="shared" si="36"/>
        <v>-0.61663119945120992</v>
      </c>
      <c r="T168" s="115">
        <f t="shared" si="37"/>
        <v>33767003.564890906</v>
      </c>
      <c r="U168" s="73">
        <f>T168/SUMIFS(FinParameters!$L$8:$L$39,FinParameters!$B$8:$B$39,Financials!$E168,FinParameters!$C$8:$C$39,Financials!$F168)</f>
        <v>29117181.346882615</v>
      </c>
      <c r="V168" s="73">
        <f t="shared" si="38"/>
        <v>29117181.346882615</v>
      </c>
      <c r="W168" s="12"/>
      <c r="X168" s="73">
        <f t="shared" si="39"/>
        <v>54310300.422694191</v>
      </c>
      <c r="Y168" s="73">
        <f t="shared" si="40"/>
        <v>40100466.754958808</v>
      </c>
      <c r="Z168" s="73">
        <f t="shared" si="40"/>
        <v>-3925773.0197112896</v>
      </c>
      <c r="AA168" s="12">
        <f t="shared" si="41"/>
        <v>-7.3260825865048215E-2</v>
      </c>
      <c r="AB168" s="115">
        <f t="shared" si="42"/>
        <v>27215.517710943059</v>
      </c>
      <c r="AC168" s="73">
        <f>AB168/SUMIFS(FinParameters!$L$8:$L$39,FinParameters!$B$8:$B$39,Financials!$E168,FinParameters!$C$8:$C$39,Financials!$F168)</f>
        <v>23467.855627638808</v>
      </c>
      <c r="AD168" s="73">
        <f t="shared" si="43"/>
        <v>23467.855627638808</v>
      </c>
      <c r="AE168" s="12"/>
      <c r="AF168" s="73">
        <f t="shared" si="44"/>
        <v>54337515.940405138</v>
      </c>
      <c r="AG168" s="73">
        <f t="shared" si="45"/>
        <v>40123934.61058645</v>
      </c>
      <c r="AH168" s="73">
        <f t="shared" si="45"/>
        <v>-3902305.1640836508</v>
      </c>
      <c r="AI168" s="12">
        <f t="shared" si="46"/>
        <v>-7.2822880401586618E-2</v>
      </c>
      <c r="AL168" s="73">
        <f>Summary!G168</f>
        <v>2732337.2261213772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27083.316420366289</v>
      </c>
      <c r="AN168" s="20">
        <f>Summary!I168</f>
        <v>6246073.412937589</v>
      </c>
      <c r="AP168" s="12">
        <v>1</v>
      </c>
    </row>
    <row r="169" spans="1:42" x14ac:dyDescent="0.3">
      <c r="A169">
        <v>165</v>
      </c>
      <c r="B169" t="str">
        <f>Summary!B169</f>
        <v>MarinusSnowyYallourn</v>
      </c>
      <c r="C169" t="str">
        <f>Summary!C169</f>
        <v>Wind</v>
      </c>
      <c r="D169" s="90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19852361.787283432</v>
      </c>
      <c r="H169" s="73">
        <f>SUMIFS(AM$5:AM169,$F$5:$F169,$F169,$D$5:$D169,$D169)</f>
        <v>14015778.45760658</v>
      </c>
      <c r="I169" s="20">
        <f>SUMIFS(AN$5:AN169,$F$5:$F169,$F169,$D$5:$D169,$D169)</f>
        <v>22400735.25160107</v>
      </c>
      <c r="J169" s="73">
        <f t="shared" si="32"/>
        <v>22400735.25160107</v>
      </c>
      <c r="K169" s="73">
        <f t="shared" si="33"/>
        <v>42253097.038884506</v>
      </c>
      <c r="L169" s="73">
        <f t="shared" si="34"/>
        <v>56268875.496491082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16511020.27113232</v>
      </c>
      <c r="Q169" s="73">
        <f>P169/SUMIFS(FinParameters!$H$8:$H$39,FinParameters!$B$8:$B$39,Financials!$E169,FinParameters!$C$8:$C$39,Financials!$F169)</f>
        <v>8827465.6824371684</v>
      </c>
      <c r="R169" s="73">
        <f t="shared" si="47"/>
        <v>-37075230.95326487</v>
      </c>
      <c r="S169" s="12">
        <f t="shared" si="36"/>
        <v>-0.6918795419744711</v>
      </c>
      <c r="T169" s="115">
        <f t="shared" si="37"/>
        <v>19852361.787283432</v>
      </c>
      <c r="U169" s="73">
        <f>T169/SUMIFS(FinParameters!$L$8:$L$39,FinParameters!$B$8:$B$39,Financials!$E169,FinParameters!$C$8:$C$39,Financials!$F169)</f>
        <v>17118629.351088587</v>
      </c>
      <c r="V169" s="73">
        <f t="shared" si="38"/>
        <v>17118629.351088587</v>
      </c>
      <c r="W169" s="12"/>
      <c r="X169" s="73">
        <f t="shared" si="39"/>
        <v>36363382.058415756</v>
      </c>
      <c r="Y169" s="73">
        <f t="shared" si="40"/>
        <v>25946095.033525757</v>
      </c>
      <c r="Z169" s="73">
        <f t="shared" si="40"/>
        <v>-19956601.602176283</v>
      </c>
      <c r="AA169" s="12">
        <f t="shared" si="41"/>
        <v>-0.37242018514424979</v>
      </c>
      <c r="AB169" s="115">
        <f t="shared" si="42"/>
        <v>14015778.45760658</v>
      </c>
      <c r="AC169" s="73">
        <f>AB169/SUMIFS(FinParameters!$L$8:$L$39,FinParameters!$B$8:$B$39,Financials!$E169,FinParameters!$C$8:$C$39,Financials!$F169)</f>
        <v>12085761.83799091</v>
      </c>
      <c r="AD169" s="73">
        <f t="shared" si="43"/>
        <v>12085761.83799091</v>
      </c>
      <c r="AE169" s="12"/>
      <c r="AF169" s="73">
        <f t="shared" si="44"/>
        <v>50379160.516022339</v>
      </c>
      <c r="AG169" s="73">
        <f t="shared" si="45"/>
        <v>38031856.871516667</v>
      </c>
      <c r="AH169" s="73">
        <f t="shared" si="45"/>
        <v>-7870839.7641853727</v>
      </c>
      <c r="AI169" s="12">
        <f t="shared" si="46"/>
        <v>-0.14688170163696526</v>
      </c>
      <c r="AL169" s="73">
        <f>Summary!G169</f>
        <v>-208190.00192690329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3504084.1817488866</v>
      </c>
      <c r="AN169" s="20">
        <f>Summary!I169</f>
        <v>5218937.646146331</v>
      </c>
      <c r="AP169" s="12">
        <v>1</v>
      </c>
    </row>
    <row r="170" spans="1:42" x14ac:dyDescent="0.3">
      <c r="A170">
        <v>166</v>
      </c>
      <c r="B170" t="str">
        <f>Summary!B170</f>
        <v>MarinusSnowyYallourn</v>
      </c>
      <c r="C170" t="str">
        <f>Summary!C170</f>
        <v>Wind</v>
      </c>
      <c r="D170" s="90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3832299.2635316974</v>
      </c>
      <c r="H170" s="73">
        <f>SUMIFS(AM$5:AM170,$F$5:$F170,$F170,$D$5:$D170,$D170)</f>
        <v>33003791.461073563</v>
      </c>
      <c r="I170" s="20">
        <f>SUMIFS(AN$5:AN170,$F$5:$F170,$F170,$D$5:$D170,$D170)</f>
        <v>17624963.721161593</v>
      </c>
      <c r="J170" s="73">
        <f t="shared" si="32"/>
        <v>17624963.721161593</v>
      </c>
      <c r="K170" s="73">
        <f t="shared" si="33"/>
        <v>21457262.984693289</v>
      </c>
      <c r="L170" s="73">
        <f t="shared" si="34"/>
        <v>54461054.445766851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11735248.740692843</v>
      </c>
      <c r="Q170" s="73">
        <f>P170/SUMIFS(FinParameters!$H$8:$H$39,FinParameters!$B$8:$B$39,Financials!$E170,FinParameters!$C$8:$C$39,Financials!$F170)</f>
        <v>6274143.1984339589</v>
      </c>
      <c r="R170" s="73">
        <f t="shared" si="47"/>
        <v>-41851002.483704351</v>
      </c>
      <c r="S170" s="12">
        <f t="shared" si="36"/>
        <v>-0.78100261778808822</v>
      </c>
      <c r="T170" s="115">
        <f t="shared" si="37"/>
        <v>3832299.2635316974</v>
      </c>
      <c r="U170" s="73">
        <f>T170/SUMIFS(FinParameters!$L$8:$L$39,FinParameters!$B$8:$B$39,Financials!$E170,FinParameters!$C$8:$C$39,Financials!$F170)</f>
        <v>3304579.6443661326</v>
      </c>
      <c r="V170" s="73">
        <f t="shared" si="38"/>
        <v>3304579.6443661326</v>
      </c>
      <c r="W170" s="12"/>
      <c r="X170" s="73">
        <f t="shared" si="39"/>
        <v>15567548.004224539</v>
      </c>
      <c r="Y170" s="73">
        <f t="shared" si="40"/>
        <v>9578722.842800092</v>
      </c>
      <c r="Z170" s="73">
        <f t="shared" si="40"/>
        <v>-38546422.839338221</v>
      </c>
      <c r="AA170" s="12">
        <f t="shared" si="41"/>
        <v>-0.71933419409993149</v>
      </c>
      <c r="AB170" s="115">
        <f t="shared" si="42"/>
        <v>33003791.461073563</v>
      </c>
      <c r="AC170" s="73">
        <f>AB170/SUMIFS(FinParameters!$L$8:$L$39,FinParameters!$B$8:$B$39,Financials!$E170,FinParameters!$C$8:$C$39,Financials!$F170)</f>
        <v>28459065.941697799</v>
      </c>
      <c r="AD170" s="73">
        <f t="shared" si="43"/>
        <v>28459065.941697799</v>
      </c>
      <c r="AE170" s="12"/>
      <c r="AF170" s="73">
        <f t="shared" si="44"/>
        <v>48571339.465298101</v>
      </c>
      <c r="AG170" s="73">
        <f t="shared" si="45"/>
        <v>38037788.784497887</v>
      </c>
      <c r="AH170" s="73">
        <f t="shared" si="45"/>
        <v>-10087356.897640422</v>
      </c>
      <c r="AI170" s="12">
        <f t="shared" si="46"/>
        <v>-0.1882452432695603</v>
      </c>
      <c r="AL170" s="73">
        <f>Summary!G170</f>
        <v>-2207695.911829025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8170604.4892602935</v>
      </c>
      <c r="AN170" s="20">
        <f>Summary!I170</f>
        <v>4051617.0510973381</v>
      </c>
      <c r="AP170" s="12">
        <v>1</v>
      </c>
    </row>
    <row r="171" spans="1:42" x14ac:dyDescent="0.3">
      <c r="A171">
        <v>167</v>
      </c>
      <c r="B171" t="str">
        <f>Summary!B171</f>
        <v>MarinusSnowyYallourn</v>
      </c>
      <c r="C171" t="str">
        <f>Summary!C171</f>
        <v>Wind</v>
      </c>
      <c r="D171" s="90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-19510740.699053388</v>
      </c>
      <c r="H171" s="73">
        <f>SUMIFS(AM$5:AM171,$F$5:$F171,$F171,$D$5:$D171,$D171)</f>
        <v>71881227.146155909</v>
      </c>
      <c r="I171" s="20">
        <f>SUMIFS(AN$5:AN171,$F$5:$F171,$F171,$D$5:$D171,$D171)</f>
        <v>9603529.0458290353</v>
      </c>
      <c r="J171" s="73">
        <f t="shared" si="32"/>
        <v>9603529.0458290353</v>
      </c>
      <c r="K171" s="73">
        <f t="shared" si="33"/>
        <v>-9907211.6532243527</v>
      </c>
      <c r="L171" s="73">
        <f t="shared" si="34"/>
        <v>61974015.492931552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3713814.0653602853</v>
      </c>
      <c r="Q171" s="73">
        <f>P171/SUMIFS(FinParameters!$H$8:$H$39,FinParameters!$B$8:$B$39,Financials!$E171,FinParameters!$C$8:$C$39,Financials!$F171)</f>
        <v>1985556.6569825369</v>
      </c>
      <c r="R171" s="73">
        <f t="shared" si="47"/>
        <v>-49872437.159036912</v>
      </c>
      <c r="S171" s="12">
        <f t="shared" si="36"/>
        <v>-0.9306946468449836</v>
      </c>
      <c r="T171" s="115">
        <f t="shared" si="37"/>
        <v>-19510740.699053388</v>
      </c>
      <c r="U171" s="73">
        <f>T171/SUMIFS(FinParameters!$L$8:$L$39,FinParameters!$B$8:$B$39,Financials!$E171,FinParameters!$C$8:$C$39,Financials!$F171)</f>
        <v>-16824050.5573618</v>
      </c>
      <c r="V171" s="73">
        <f t="shared" si="38"/>
        <v>-16824050.5573618</v>
      </c>
      <c r="W171" s="12"/>
      <c r="X171" s="73">
        <f t="shared" si="39"/>
        <v>-15796926.633693103</v>
      </c>
      <c r="Y171" s="73">
        <f t="shared" si="40"/>
        <v>-14838493.900379263</v>
      </c>
      <c r="Z171" s="73">
        <f t="shared" si="40"/>
        <v>-66696487.716398716</v>
      </c>
      <c r="AA171" s="12">
        <f t="shared" si="41"/>
        <v>-1.2446567205662744</v>
      </c>
      <c r="AB171" s="115">
        <f t="shared" si="42"/>
        <v>71881227.146155909</v>
      </c>
      <c r="AC171" s="73">
        <f>AB171/SUMIFS(FinParameters!$L$8:$L$39,FinParameters!$B$8:$B$39,Financials!$E171,FinParameters!$C$8:$C$39,Financials!$F171)</f>
        <v>61982956.889525391</v>
      </c>
      <c r="AD171" s="73">
        <f t="shared" si="43"/>
        <v>61982956.889525391</v>
      </c>
      <c r="AE171" s="12"/>
      <c r="AF171" s="73">
        <f t="shared" si="44"/>
        <v>56084300.51246281</v>
      </c>
      <c r="AG171" s="73">
        <f t="shared" si="45"/>
        <v>47144462.989146128</v>
      </c>
      <c r="AH171" s="73">
        <f t="shared" si="45"/>
        <v>-4713530.8268733248</v>
      </c>
      <c r="AI171" s="12">
        <f t="shared" si="46"/>
        <v>-8.7961570723337143E-2</v>
      </c>
      <c r="AL171" s="73">
        <f>Summary!G171</f>
        <v>-6348354.2618838204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17158321.763590675</v>
      </c>
      <c r="AN171" s="20">
        <f>Summary!I171</f>
        <v>2047526.0539877163</v>
      </c>
      <c r="AP171" s="12">
        <v>1</v>
      </c>
    </row>
    <row r="172" spans="1:42" x14ac:dyDescent="0.3">
      <c r="A172">
        <v>168</v>
      </c>
      <c r="B172" t="str">
        <f>Summary!B172</f>
        <v>MarinusSnowyYallourn</v>
      </c>
      <c r="C172" t="str">
        <f>Summary!C172</f>
        <v>Wind</v>
      </c>
      <c r="D172" s="90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38499297.446773052</v>
      </c>
      <c r="H172" s="73">
        <f>SUMIFS(AM$5:AM172,$F$5:$F172,$F172,$D$5:$D172,$D172)</f>
        <v>-784421.04440779565</v>
      </c>
      <c r="I172" s="20">
        <f>SUMIFS(AN$5:AN172,$F$5:$F172,$F172,$D$5:$D172,$D172)</f>
        <v>26842032.571188938</v>
      </c>
      <c r="J172" s="73">
        <f t="shared" si="32"/>
        <v>26842032.571188938</v>
      </c>
      <c r="K172" s="73">
        <f t="shared" si="33"/>
        <v>65341330.017961994</v>
      </c>
      <c r="L172" s="73">
        <f t="shared" si="34"/>
        <v>64556908.973554194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20952317.590720188</v>
      </c>
      <c r="Q172" s="73">
        <f>P172/SUMIFS(FinParameters!$H$8:$H$39,FinParameters!$B$8:$B$39,Financials!$E172,FinParameters!$C$8:$C$39,Financials!$F172)</f>
        <v>11201964.594700536</v>
      </c>
      <c r="R172" s="73">
        <f t="shared" si="47"/>
        <v>-32633933.633676998</v>
      </c>
      <c r="S172" s="12">
        <f t="shared" si="36"/>
        <v>-0.60899825772509264</v>
      </c>
      <c r="T172" s="115">
        <f t="shared" si="37"/>
        <v>38499297.446773052</v>
      </c>
      <c r="U172" s="73">
        <f>T172/SUMIFS(FinParameters!$L$8:$L$39,FinParameters!$B$8:$B$39,Financials!$E172,FinParameters!$C$8:$C$39,Financials!$F172)</f>
        <v>33197823.530033659</v>
      </c>
      <c r="V172" s="73">
        <f t="shared" si="38"/>
        <v>33197823.530033659</v>
      </c>
      <c r="W172" s="12"/>
      <c r="X172" s="73">
        <f t="shared" si="39"/>
        <v>59451615.037493244</v>
      </c>
      <c r="Y172" s="73">
        <f t="shared" si="40"/>
        <v>44399788.124734193</v>
      </c>
      <c r="Z172" s="73">
        <f t="shared" si="40"/>
        <v>563889.89635666087</v>
      </c>
      <c r="AA172" s="12">
        <f t="shared" si="41"/>
        <v>1.0523033118986469E-2</v>
      </c>
      <c r="AB172" s="115">
        <f t="shared" si="42"/>
        <v>-784421.04440779565</v>
      </c>
      <c r="AC172" s="73">
        <f>AB172/SUMIFS(FinParameters!$L$8:$L$39,FinParameters!$B$8:$B$39,Financials!$E172,FinParameters!$C$8:$C$39,Financials!$F172)</f>
        <v>-676403.80818630802</v>
      </c>
      <c r="AD172" s="73">
        <f t="shared" si="43"/>
        <v>-676403.80818630802</v>
      </c>
      <c r="AE172" s="12"/>
      <c r="AF172" s="73">
        <f t="shared" si="44"/>
        <v>58667193.993085451</v>
      </c>
      <c r="AG172" s="73">
        <f t="shared" si="45"/>
        <v>43723384.316547886</v>
      </c>
      <c r="AH172" s="73">
        <f t="shared" si="45"/>
        <v>-112513.91182964714</v>
      </c>
      <c r="AI172" s="12">
        <f t="shared" si="46"/>
        <v>-2.0996787283828668E-3</v>
      </c>
      <c r="AL172" s="73">
        <f>Summary!G172</f>
        <v>3343446.761955407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-172301.21338519297</v>
      </c>
      <c r="AN172" s="20">
        <f>Summary!I172</f>
        <v>6325319.5014899122</v>
      </c>
      <c r="AP172" s="12">
        <v>1</v>
      </c>
    </row>
    <row r="173" spans="1:42" x14ac:dyDescent="0.3">
      <c r="A173">
        <v>169</v>
      </c>
      <c r="B173" t="str">
        <f>Summary!B173</f>
        <v>MarinusSnowyYallourn</v>
      </c>
      <c r="C173" t="str">
        <f>Summary!C173</f>
        <v>Wind</v>
      </c>
      <c r="D173" s="90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148670160.57590249</v>
      </c>
      <c r="H173" s="73">
        <f>SUMIFS(AM$5:AM173,$F$5:$F173,$F173,$D$5:$D173,$D173)</f>
        <v>-111646978.55844225</v>
      </c>
      <c r="I173" s="20">
        <f>SUMIFS(AN$5:AN173,$F$5:$F173,$F173,$D$5:$D173,$D173)</f>
        <v>64297991.653687023</v>
      </c>
      <c r="J173" s="73">
        <f t="shared" si="32"/>
        <v>64297991.653687023</v>
      </c>
      <c r="K173" s="73">
        <f t="shared" si="33"/>
        <v>212968152.22958952</v>
      </c>
      <c r="L173" s="73">
        <f t="shared" si="34"/>
        <v>101321173.67114726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57412283.798706554</v>
      </c>
      <c r="Q173" s="73">
        <f>P173/SUMIFS(FinParameters!$H$8:$H$39,FinParameters!$B$8:$B$39,Financials!$E173,FinParameters!$C$8:$C$39,Financials!$F173)</f>
        <v>27653109.380096804</v>
      </c>
      <c r="R173" s="73">
        <f t="shared" si="47"/>
        <v>38248.428087666631</v>
      </c>
      <c r="S173" s="12">
        <f t="shared" si="36"/>
        <v>6.6665047770465109E-4</v>
      </c>
      <c r="T173" s="115">
        <f t="shared" si="37"/>
        <v>148670160.57590249</v>
      </c>
      <c r="U173" s="73">
        <f>T173/SUMIFS(FinParameters!$L$8:$L$39,FinParameters!$B$8:$B$39,Financials!$E173,FinParameters!$C$8:$C$39,Financials!$F173)</f>
        <v>125071037.5867763</v>
      </c>
      <c r="V173" s="73">
        <f t="shared" si="38"/>
        <v>125071037.5867763</v>
      </c>
      <c r="W173" s="12"/>
      <c r="X173" s="73">
        <f t="shared" si="39"/>
        <v>206082444.37460905</v>
      </c>
      <c r="Y173" s="73">
        <f t="shared" si="40"/>
        <v>152724146.96687311</v>
      </c>
      <c r="Z173" s="73">
        <f t="shared" si="40"/>
        <v>125109286.01486397</v>
      </c>
      <c r="AA173" s="12">
        <f t="shared" si="41"/>
        <v>2.1805906662603718</v>
      </c>
      <c r="AB173" s="115">
        <f t="shared" si="42"/>
        <v>-111646978.55844225</v>
      </c>
      <c r="AC173" s="73">
        <f>AB173/SUMIFS(FinParameters!$L$8:$L$39,FinParameters!$B$8:$B$39,Financials!$E173,FinParameters!$C$8:$C$39,Financials!$F173)</f>
        <v>-93924721.663321391</v>
      </c>
      <c r="AD173" s="73">
        <f t="shared" si="43"/>
        <v>-93924721.663321391</v>
      </c>
      <c r="AE173" s="12"/>
      <c r="AF173" s="73">
        <f t="shared" si="44"/>
        <v>94435465.816166803</v>
      </c>
      <c r="AG173" s="73">
        <f t="shared" si="45"/>
        <v>58799425.303551719</v>
      </c>
      <c r="AH173" s="73">
        <f t="shared" si="45"/>
        <v>31184564.351542577</v>
      </c>
      <c r="AI173" s="12">
        <f t="shared" si="46"/>
        <v>0.54353095699299758</v>
      </c>
      <c r="AL173" s="73">
        <f>Summary!G173</f>
        <v>19936177.535937529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-23487418.960461278</v>
      </c>
      <c r="AN173" s="20">
        <f>Summary!I173</f>
        <v>12798638.644403562</v>
      </c>
      <c r="AP173" s="12">
        <v>1</v>
      </c>
    </row>
    <row r="174" spans="1:42" x14ac:dyDescent="0.3">
      <c r="A174">
        <v>170</v>
      </c>
      <c r="B174" t="str">
        <f>Summary!B174</f>
        <v>MarinusSnowyYallourn</v>
      </c>
      <c r="C174" t="str">
        <f>Summary!C174</f>
        <v>Wind</v>
      </c>
      <c r="D174" s="90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95337598.474898815</v>
      </c>
      <c r="H174" s="73">
        <f>SUMIFS(AM$5:AM174,$F$5:$F174,$F174,$D$5:$D174,$D174)</f>
        <v>-46166717.462137423</v>
      </c>
      <c r="I174" s="20">
        <f>SUMIFS(AN$5:AN174,$F$5:$F174,$F174,$D$5:$D174,$D174)</f>
        <v>46699049.671500728</v>
      </c>
      <c r="J174" s="73">
        <f t="shared" si="32"/>
        <v>46699049.671500728</v>
      </c>
      <c r="K174" s="73">
        <f t="shared" si="33"/>
        <v>142036648.14639956</v>
      </c>
      <c r="L174" s="73">
        <f t="shared" si="34"/>
        <v>95869930.684262127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39813341.816520259</v>
      </c>
      <c r="Q174" s="73">
        <f>P174/SUMIFS(FinParameters!$H$8:$H$39,FinParameters!$B$8:$B$39,Financials!$E174,FinParameters!$C$8:$C$39,Financials!$F174)</f>
        <v>19176430.951597512</v>
      </c>
      <c r="R174" s="73">
        <f t="shared" si="47"/>
        <v>-17560693.554098628</v>
      </c>
      <c r="S174" s="12">
        <f t="shared" si="36"/>
        <v>-0.3060738789011766</v>
      </c>
      <c r="T174" s="115">
        <f t="shared" si="37"/>
        <v>95337598.474898815</v>
      </c>
      <c r="U174" s="73">
        <f>T174/SUMIFS(FinParameters!$L$8:$L$39,FinParameters!$B$8:$B$39,Financials!$E174,FinParameters!$C$8:$C$39,Financials!$F174)</f>
        <v>80204207.193274379</v>
      </c>
      <c r="V174" s="73">
        <f t="shared" si="38"/>
        <v>80204207.193274379</v>
      </c>
      <c r="W174" s="12"/>
      <c r="X174" s="73">
        <f t="shared" si="39"/>
        <v>135150940.29141909</v>
      </c>
      <c r="Y174" s="73">
        <f t="shared" si="40"/>
        <v>99380638.144871891</v>
      </c>
      <c r="Z174" s="73">
        <f t="shared" si="40"/>
        <v>62643513.63917575</v>
      </c>
      <c r="AA174" s="12">
        <f t="shared" si="41"/>
        <v>1.0918443026452231</v>
      </c>
      <c r="AB174" s="115">
        <f t="shared" si="42"/>
        <v>-46166717.462137423</v>
      </c>
      <c r="AC174" s="73">
        <f>AB174/SUMIFS(FinParameters!$L$8:$L$39,FinParameters!$B$8:$B$39,Financials!$E174,FinParameters!$C$8:$C$39,Financials!$F174)</f>
        <v>-38838454.418814838</v>
      </c>
      <c r="AD174" s="73">
        <f t="shared" si="43"/>
        <v>-38838454.418814838</v>
      </c>
      <c r="AE174" s="12"/>
      <c r="AF174" s="73">
        <f t="shared" si="44"/>
        <v>88984222.829281658</v>
      </c>
      <c r="AG174" s="73">
        <f t="shared" si="45"/>
        <v>60542183.726057053</v>
      </c>
      <c r="AH174" s="73">
        <f t="shared" si="45"/>
        <v>23805059.220360912</v>
      </c>
      <c r="AI174" s="12">
        <f t="shared" si="46"/>
        <v>0.41490996870949448</v>
      </c>
      <c r="AL174" s="73">
        <f>Summary!G174</f>
        <v>10758120.660301276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-9166105.6625097319</v>
      </c>
      <c r="AN174" s="20">
        <f>Summary!I174</f>
        <v>9235810.3453103136</v>
      </c>
      <c r="AP174" s="12">
        <v>1</v>
      </c>
    </row>
    <row r="175" spans="1:42" x14ac:dyDescent="0.3">
      <c r="A175">
        <v>171</v>
      </c>
      <c r="B175" t="str">
        <f>Summary!B175</f>
        <v>MarinusSnowyYallourn</v>
      </c>
      <c r="C175" t="str">
        <f>Summary!C175</f>
        <v>Wind</v>
      </c>
      <c r="D175" s="90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61072714.737942427</v>
      </c>
      <c r="H175" s="73">
        <f>SUMIFS(AM$5:AM175,$F$5:$F175,$F175,$D$5:$D175,$D175)</f>
        <v>-18663118.73949898</v>
      </c>
      <c r="I175" s="20">
        <f>SUMIFS(AN$5:AN175,$F$5:$F175,$F175,$D$5:$D175,$D175)</f>
        <v>38545448.82514818</v>
      </c>
      <c r="J175" s="73">
        <f t="shared" si="32"/>
        <v>38545448.82514818</v>
      </c>
      <c r="K175" s="73">
        <f t="shared" si="33"/>
        <v>99618163.563090608</v>
      </c>
      <c r="L175" s="73">
        <f t="shared" si="34"/>
        <v>80955044.82359162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31659740.970167711</v>
      </c>
      <c r="Q175" s="73">
        <f>P175/SUMIFS(FinParameters!$H$8:$H$39,FinParameters!$B$8:$B$39,Financials!$E175,FinParameters!$C$8:$C$39,Financials!$F175)</f>
        <v>15249180.524905436</v>
      </c>
      <c r="R175" s="73">
        <f t="shared" si="47"/>
        <v>-25714294.400451176</v>
      </c>
      <c r="S175" s="12">
        <f t="shared" si="36"/>
        <v>-0.44818695834003353</v>
      </c>
      <c r="T175" s="115">
        <f t="shared" si="37"/>
        <v>61072714.737942427</v>
      </c>
      <c r="U175" s="73">
        <f>T175/SUMIFS(FinParameters!$L$8:$L$39,FinParameters!$B$8:$B$39,Financials!$E175,FinParameters!$C$8:$C$39,Financials!$F175)</f>
        <v>51378351.721197739</v>
      </c>
      <c r="V175" s="73">
        <f t="shared" si="38"/>
        <v>51378351.721197739</v>
      </c>
      <c r="W175" s="12"/>
      <c r="X175" s="73">
        <f t="shared" si="39"/>
        <v>92732455.708110139</v>
      </c>
      <c r="Y175" s="73">
        <f t="shared" si="40"/>
        <v>66627532.246103175</v>
      </c>
      <c r="Z175" s="73">
        <f t="shared" si="40"/>
        <v>25664057.320746563</v>
      </c>
      <c r="AA175" s="12">
        <f t="shared" si="41"/>
        <v>0.44731135181558224</v>
      </c>
      <c r="AB175" s="115">
        <f t="shared" si="42"/>
        <v>-18663118.73949898</v>
      </c>
      <c r="AC175" s="73">
        <f>AB175/SUMIFS(FinParameters!$L$8:$L$39,FinParameters!$B$8:$B$39,Financials!$E175,FinParameters!$C$8:$C$39,Financials!$F175)</f>
        <v>-15700632.973774377</v>
      </c>
      <c r="AD175" s="73">
        <f t="shared" si="43"/>
        <v>-15700632.973774377</v>
      </c>
      <c r="AE175" s="12"/>
      <c r="AF175" s="73">
        <f t="shared" si="44"/>
        <v>74069336.968611151</v>
      </c>
      <c r="AG175" s="73">
        <f t="shared" si="45"/>
        <v>50926899.272328794</v>
      </c>
      <c r="AH175" s="73">
        <f t="shared" si="45"/>
        <v>9963424.3469721861</v>
      </c>
      <c r="AI175" s="12">
        <f t="shared" si="46"/>
        <v>0.17365737450070373</v>
      </c>
      <c r="AL175" s="73">
        <f>Summary!G175</f>
        <v>5754159.7703516325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-3705612.4305649069</v>
      </c>
      <c r="AN175" s="20">
        <f>Summary!I175</f>
        <v>7742566.1249687411</v>
      </c>
      <c r="AP175" s="12">
        <v>1</v>
      </c>
    </row>
    <row r="176" spans="1:42" x14ac:dyDescent="0.3">
      <c r="A176">
        <v>172</v>
      </c>
      <c r="B176" t="str">
        <f>Summary!B176</f>
        <v>MarinusSnowyYallourn</v>
      </c>
      <c r="C176" t="str">
        <f>Summary!C176</f>
        <v>Wind</v>
      </c>
      <c r="D176" s="90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36127275.084720947</v>
      </c>
      <c r="H176" s="73">
        <f>SUMIFS(AM$5:AM176,$F$5:$F176,$F176,$D$5:$D176,$D176)</f>
        <v>38757.200787659509</v>
      </c>
      <c r="I176" s="20">
        <f>SUMIFS(AN$5:AN176,$F$5:$F176,$F176,$D$5:$D176,$D176)</f>
        <v>33079752.650591329</v>
      </c>
      <c r="J176" s="73">
        <f t="shared" si="32"/>
        <v>33079752.650591329</v>
      </c>
      <c r="K176" s="73">
        <f t="shared" si="33"/>
        <v>69207027.735312283</v>
      </c>
      <c r="L176" s="73">
        <f t="shared" si="34"/>
        <v>69245784.936099932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26194044.79561086</v>
      </c>
      <c r="Q176" s="73">
        <f>P176/SUMIFS(FinParameters!$H$8:$H$39,FinParameters!$B$8:$B$39,Financials!$E176,FinParameters!$C$8:$C$39,Financials!$F176)</f>
        <v>12616581.99105644</v>
      </c>
      <c r="R176" s="73">
        <f t="shared" si="47"/>
        <v>-31179990.575008027</v>
      </c>
      <c r="S176" s="12">
        <f t="shared" si="36"/>
        <v>-0.54345123841463716</v>
      </c>
      <c r="T176" s="115">
        <f t="shared" si="37"/>
        <v>36127275.084720947</v>
      </c>
      <c r="U176" s="73">
        <f>T176/SUMIFS(FinParameters!$L$8:$L$39,FinParameters!$B$8:$B$39,Financials!$E176,FinParameters!$C$8:$C$39,Financials!$F176)</f>
        <v>30392620.567071121</v>
      </c>
      <c r="V176" s="73">
        <f t="shared" si="38"/>
        <v>30392620.567071121</v>
      </c>
      <c r="W176" s="12"/>
      <c r="X176" s="73">
        <f t="shared" si="39"/>
        <v>62321319.880331814</v>
      </c>
      <c r="Y176" s="73">
        <f t="shared" si="40"/>
        <v>43009202.55812756</v>
      </c>
      <c r="Z176" s="73">
        <f t="shared" si="40"/>
        <v>-787370.00793690607</v>
      </c>
      <c r="AA176" s="12">
        <f t="shared" si="41"/>
        <v>-1.3723455267713599E-2</v>
      </c>
      <c r="AB176" s="115">
        <f t="shared" si="42"/>
        <v>38757.200787659509</v>
      </c>
      <c r="AC176" s="73">
        <f>AB176/SUMIFS(FinParameters!$L$8:$L$39,FinParameters!$B$8:$B$39,Financials!$E176,FinParameters!$C$8:$C$39,Financials!$F176)</f>
        <v>32605.085631805658</v>
      </c>
      <c r="AD176" s="73">
        <f t="shared" si="43"/>
        <v>32605.085631805658</v>
      </c>
      <c r="AE176" s="12"/>
      <c r="AF176" s="73">
        <f t="shared" si="44"/>
        <v>62360077.08111947</v>
      </c>
      <c r="AG176" s="73">
        <f t="shared" si="45"/>
        <v>43041807.643759362</v>
      </c>
      <c r="AH176" s="73">
        <f t="shared" si="45"/>
        <v>-754764.92230510036</v>
      </c>
      <c r="AI176" s="12">
        <f t="shared" si="46"/>
        <v>-1.31551653536229E-2</v>
      </c>
      <c r="AL176" s="73">
        <f>Summary!G176</f>
        <v>2360271.5198300397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11541.683076716452</v>
      </c>
      <c r="AN176" s="20">
        <f>Summary!I176</f>
        <v>6646740.812319288</v>
      </c>
      <c r="AP176" s="12">
        <v>1</v>
      </c>
    </row>
    <row r="177" spans="1:42" x14ac:dyDescent="0.3">
      <c r="A177">
        <v>173</v>
      </c>
      <c r="B177" t="str">
        <f>Summary!B177</f>
        <v>MarinusSnowyYallourn</v>
      </c>
      <c r="C177" t="str">
        <f>Summary!C177</f>
        <v>Wind</v>
      </c>
      <c r="D177" s="90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19675760.33677334</v>
      </c>
      <c r="H177" s="73">
        <f>SUMIFS(AM$5:AM177,$F$5:$F177,$F177,$D$5:$D177,$D177)</f>
        <v>17577366.138694234</v>
      </c>
      <c r="I177" s="20">
        <f>SUMIFS(AN$5:AN177,$F$5:$F177,$F177,$D$5:$D177,$D177)</f>
        <v>27961943.10511281</v>
      </c>
      <c r="J177" s="73">
        <f t="shared" si="32"/>
        <v>27961943.10511281</v>
      </c>
      <c r="K177" s="73">
        <f t="shared" si="33"/>
        <v>47637703.441886149</v>
      </c>
      <c r="L177" s="73">
        <f t="shared" si="34"/>
        <v>65215069.580580384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21076235.250132341</v>
      </c>
      <c r="Q177" s="73">
        <f>P177/SUMIFS(FinParameters!$H$8:$H$39,FinParameters!$B$8:$B$39,Financials!$E177,FinParameters!$C$8:$C$39,Financials!$F177)</f>
        <v>10151545.978139473</v>
      </c>
      <c r="R177" s="73">
        <f t="shared" si="47"/>
        <v>-36297800.12048655</v>
      </c>
      <c r="S177" s="12">
        <f t="shared" si="36"/>
        <v>-0.63265203303225503</v>
      </c>
      <c r="T177" s="115">
        <f t="shared" si="37"/>
        <v>19675760.33677334</v>
      </c>
      <c r="U177" s="73">
        <f>T177/SUMIFS(FinParameters!$L$8:$L$39,FinParameters!$B$8:$B$39,Financials!$E177,FinParameters!$C$8:$C$39,Financials!$F177)</f>
        <v>16552533.14516064</v>
      </c>
      <c r="V177" s="73">
        <f t="shared" si="38"/>
        <v>16552533.14516064</v>
      </c>
      <c r="W177" s="12"/>
      <c r="X177" s="73">
        <f t="shared" si="39"/>
        <v>40751995.586905681</v>
      </c>
      <c r="Y177" s="73">
        <f t="shared" si="40"/>
        <v>26704079.123300113</v>
      </c>
      <c r="Z177" s="73">
        <f t="shared" si="40"/>
        <v>-19745266.975325912</v>
      </c>
      <c r="AA177" s="12">
        <f t="shared" si="41"/>
        <v>-0.34414987280879705</v>
      </c>
      <c r="AB177" s="115">
        <f t="shared" si="42"/>
        <v>17577366.138694234</v>
      </c>
      <c r="AC177" s="73">
        <f>AB177/SUMIFS(FinParameters!$L$8:$L$39,FinParameters!$B$8:$B$39,Financials!$E177,FinParameters!$C$8:$C$39,Financials!$F177)</f>
        <v>14787227.056815939</v>
      </c>
      <c r="AD177" s="73">
        <f t="shared" si="43"/>
        <v>14787227.056815939</v>
      </c>
      <c r="AE177" s="12"/>
      <c r="AF177" s="73">
        <f t="shared" si="44"/>
        <v>58329361.725599915</v>
      </c>
      <c r="AG177" s="73">
        <f t="shared" si="45"/>
        <v>41491306.18011605</v>
      </c>
      <c r="AH177" s="73">
        <f t="shared" si="45"/>
        <v>-4958039.9185099732</v>
      </c>
      <c r="AI177" s="12">
        <f t="shared" si="46"/>
        <v>-8.6416091991482508E-2</v>
      </c>
      <c r="AL177" s="73">
        <f>Summary!G177</f>
        <v>-176601.45051009255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3561587.6810876536</v>
      </c>
      <c r="AN177" s="20">
        <f>Summary!I177</f>
        <v>5561207.8535117395</v>
      </c>
      <c r="AP177" s="12">
        <v>1</v>
      </c>
    </row>
    <row r="178" spans="1:42" x14ac:dyDescent="0.3">
      <c r="A178">
        <v>174</v>
      </c>
      <c r="B178" t="str">
        <f>Summary!B178</f>
        <v>MarinusSnowyYallourn</v>
      </c>
      <c r="C178" t="str">
        <f>Summary!C178</f>
        <v>Wind</v>
      </c>
      <c r="D178" s="90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1037861.1694860626</v>
      </c>
      <c r="H178" s="73">
        <f>SUMIFS(AM$5:AM178,$F$5:$F178,$F178,$D$5:$D178,$D178)</f>
        <v>41112968.683042601</v>
      </c>
      <c r="I178" s="20">
        <f>SUMIFS(AN$5:AN178,$F$5:$F178,$F178,$D$5:$D178,$D178)</f>
        <v>21910286.973830327</v>
      </c>
      <c r="J178" s="73">
        <f t="shared" si="32"/>
        <v>21910286.973830327</v>
      </c>
      <c r="K178" s="73">
        <f t="shared" si="33"/>
        <v>22948148.143316388</v>
      </c>
      <c r="L178" s="73">
        <f t="shared" si="34"/>
        <v>64061116.826358989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15024579.118849859</v>
      </c>
      <c r="Q178" s="73">
        <f>P178/SUMIFS(FinParameters!$H$8:$H$39,FinParameters!$B$8:$B$39,Financials!$E178,FinParameters!$C$8:$C$39,Financials!$F178)</f>
        <v>7236714.9026883664</v>
      </c>
      <c r="R178" s="73">
        <f t="shared" si="47"/>
        <v>-42349456.251769029</v>
      </c>
      <c r="S178" s="12">
        <f t="shared" si="36"/>
        <v>-0.73812929451805809</v>
      </c>
      <c r="T178" s="115">
        <f t="shared" si="37"/>
        <v>1037861.1694860626</v>
      </c>
      <c r="U178" s="73">
        <f>T178/SUMIFS(FinParameters!$L$8:$L$39,FinParameters!$B$8:$B$39,Financials!$E178,FinParameters!$C$8:$C$39,Financials!$F178)</f>
        <v>873116.52073164494</v>
      </c>
      <c r="V178" s="73">
        <f t="shared" si="38"/>
        <v>873116.52073164494</v>
      </c>
      <c r="W178" s="12"/>
      <c r="X178" s="73">
        <f t="shared" si="39"/>
        <v>16062440.288335919</v>
      </c>
      <c r="Y178" s="73">
        <f t="shared" si="40"/>
        <v>8109831.4234200111</v>
      </c>
      <c r="Z178" s="73">
        <f t="shared" si="40"/>
        <v>-41476339.731037386</v>
      </c>
      <c r="AA178" s="12">
        <f t="shared" si="41"/>
        <v>-0.72291132152571802</v>
      </c>
      <c r="AB178" s="115">
        <f t="shared" si="42"/>
        <v>41112968.683042601</v>
      </c>
      <c r="AC178" s="73">
        <f>AB178/SUMIFS(FinParameters!$L$8:$L$39,FinParameters!$B$8:$B$39,Financials!$E178,FinParameters!$C$8:$C$39,Financials!$F178)</f>
        <v>34586911.264117084</v>
      </c>
      <c r="AD178" s="73">
        <f t="shared" si="43"/>
        <v>34586911.264117084</v>
      </c>
      <c r="AE178" s="12"/>
      <c r="AF178" s="73">
        <f t="shared" si="44"/>
        <v>57175408.97137852</v>
      </c>
      <c r="AG178" s="73">
        <f t="shared" si="45"/>
        <v>42696742.687537096</v>
      </c>
      <c r="AH178" s="73">
        <f t="shared" si="45"/>
        <v>-6889428.4669203013</v>
      </c>
      <c r="AI178" s="12">
        <f t="shared" si="46"/>
        <v>-0.12007920346576079</v>
      </c>
      <c r="AL178" s="73">
        <f>Summary!G178</f>
        <v>-2794438.0940456348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8109177.2219690382</v>
      </c>
      <c r="AN178" s="20">
        <f>Summary!I178</f>
        <v>4285323.2526687356</v>
      </c>
      <c r="AP178" s="12">
        <v>1</v>
      </c>
    </row>
    <row r="179" spans="1:42" x14ac:dyDescent="0.3">
      <c r="A179">
        <v>175</v>
      </c>
      <c r="B179" t="str">
        <f>Summary!B179</f>
        <v>MarinusSnowyYallourn</v>
      </c>
      <c r="C179" t="str">
        <f>Summary!C179</f>
        <v>Wind</v>
      </c>
      <c r="D179" s="90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-26725288.031562041</v>
      </c>
      <c r="H179" s="73">
        <f>SUMIFS(AM$5:AM179,$F$5:$F179,$F179,$D$5:$D179,$D179)</f>
        <v>91251593.527464062</v>
      </c>
      <c r="I179" s="20">
        <f>SUMIFS(AN$5:AN179,$F$5:$F179,$F179,$D$5:$D179,$D179)</f>
        <v>12152637.53584699</v>
      </c>
      <c r="J179" s="73">
        <f t="shared" si="32"/>
        <v>12152637.53584699</v>
      </c>
      <c r="K179" s="73">
        <f t="shared" si="33"/>
        <v>-14572650.495715052</v>
      </c>
      <c r="L179" s="73">
        <f t="shared" si="34"/>
        <v>76678943.03174901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5266929.6808665209</v>
      </c>
      <c r="Q179" s="73">
        <f>P179/SUMIFS(FinParameters!$H$8:$H$39,FinParameters!$B$8:$B$39,Financials!$E179,FinParameters!$C$8:$C$39,Financials!$F179)</f>
        <v>2536860.9803597736</v>
      </c>
      <c r="R179" s="73">
        <f t="shared" si="47"/>
        <v>-52107105.689752363</v>
      </c>
      <c r="S179" s="12">
        <f t="shared" si="36"/>
        <v>-0.90820011793063271</v>
      </c>
      <c r="T179" s="115">
        <f t="shared" si="37"/>
        <v>-26725288.031562041</v>
      </c>
      <c r="U179" s="73">
        <f>T179/SUMIFS(FinParameters!$L$8:$L$39,FinParameters!$B$8:$B$39,Financials!$E179,FinParameters!$C$8:$C$39,Financials!$F179)</f>
        <v>-22483055.718544133</v>
      </c>
      <c r="V179" s="73">
        <f t="shared" si="38"/>
        <v>-22483055.718544133</v>
      </c>
      <c r="W179" s="12"/>
      <c r="X179" s="73">
        <f t="shared" si="39"/>
        <v>-21458358.350695521</v>
      </c>
      <c r="Y179" s="73">
        <f t="shared" si="40"/>
        <v>-19946194.738184359</v>
      </c>
      <c r="Z179" s="73">
        <f t="shared" si="40"/>
        <v>-74590161.408296496</v>
      </c>
      <c r="AA179" s="12">
        <f t="shared" si="41"/>
        <v>-1.3000682438748929</v>
      </c>
      <c r="AB179" s="115">
        <f t="shared" si="42"/>
        <v>91251593.527464062</v>
      </c>
      <c r="AC179" s="73">
        <f>AB179/SUMIFS(FinParameters!$L$8:$L$39,FinParameters!$B$8:$B$39,Financials!$E179,FinParameters!$C$8:$C$39,Financials!$F179)</f>
        <v>76766793.280618668</v>
      </c>
      <c r="AD179" s="73">
        <f t="shared" si="43"/>
        <v>76766793.280618668</v>
      </c>
      <c r="AE179" s="12"/>
      <c r="AF179" s="73">
        <f t="shared" si="44"/>
        <v>69793235.176768541</v>
      </c>
      <c r="AG179" s="73">
        <f t="shared" si="45"/>
        <v>56820598.542434305</v>
      </c>
      <c r="AH179" s="73">
        <f t="shared" si="45"/>
        <v>2176631.8723221719</v>
      </c>
      <c r="AI179" s="12">
        <f t="shared" si="46"/>
        <v>3.7937576784721337E-2</v>
      </c>
      <c r="AL179" s="73">
        <f>Summary!G179</f>
        <v>-7214547.3325086534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19370366.381308161</v>
      </c>
      <c r="AN179" s="20">
        <f>Summary!I179</f>
        <v>2549108.4900179543</v>
      </c>
      <c r="AP179" s="12">
        <v>1</v>
      </c>
    </row>
    <row r="180" spans="1:42" x14ac:dyDescent="0.3">
      <c r="A180">
        <v>176</v>
      </c>
      <c r="B180" t="str">
        <f>Summary!B180</f>
        <v>MarinusSnowyYallourn</v>
      </c>
      <c r="C180" t="str">
        <f>Summary!C180</f>
        <v>Wind</v>
      </c>
      <c r="D180" s="90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41491293.190224186</v>
      </c>
      <c r="H180" s="73">
        <f>SUMIFS(AM$5:AM180,$F$5:$F180,$F180,$D$5:$D180,$D180)</f>
        <v>-978407.07472242299</v>
      </c>
      <c r="I180" s="20">
        <f>SUMIFS(AN$5:AN180,$F$5:$F180,$F180,$D$5:$D180,$D180)</f>
        <v>33530782.409307674</v>
      </c>
      <c r="J180" s="73">
        <f t="shared" si="32"/>
        <v>33530782.409307674</v>
      </c>
      <c r="K180" s="73">
        <f t="shared" si="33"/>
        <v>75022075.599531859</v>
      </c>
      <c r="L180" s="73">
        <f t="shared" si="34"/>
        <v>74043668.524809435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26645074.554327205</v>
      </c>
      <c r="Q180" s="73">
        <f>P180/SUMIFS(FinParameters!$H$8:$H$39,FinParameters!$B$8:$B$39,Financials!$E180,FinParameters!$C$8:$C$39,Financials!$F180)</f>
        <v>12833824.267904216</v>
      </c>
      <c r="R180" s="73">
        <f t="shared" si="47"/>
        <v>-30728960.816291682</v>
      </c>
      <c r="S180" s="12">
        <f t="shared" si="36"/>
        <v>-0.5355900211270116</v>
      </c>
      <c r="T180" s="115">
        <f t="shared" si="37"/>
        <v>41491293.190224186</v>
      </c>
      <c r="U180" s="73">
        <f>T180/SUMIFS(FinParameters!$L$8:$L$39,FinParameters!$B$8:$B$39,Financials!$E180,FinParameters!$C$8:$C$39,Financials!$F180)</f>
        <v>34905182.519589022</v>
      </c>
      <c r="V180" s="73">
        <f t="shared" si="38"/>
        <v>34905182.519589022</v>
      </c>
      <c r="W180" s="12"/>
      <c r="X180" s="73">
        <f t="shared" si="39"/>
        <v>68136367.74455139</v>
      </c>
      <c r="Y180" s="73">
        <f t="shared" si="40"/>
        <v>47739006.787493236</v>
      </c>
      <c r="Z180" s="73">
        <f t="shared" si="40"/>
        <v>4176221.7032973394</v>
      </c>
      <c r="AA180" s="12">
        <f t="shared" si="41"/>
        <v>7.2789401622532085E-2</v>
      </c>
      <c r="AB180" s="115">
        <f t="shared" si="42"/>
        <v>-978407.07472242299</v>
      </c>
      <c r="AC180" s="73">
        <f>AB180/SUMIFS(FinParameters!$L$8:$L$39,FinParameters!$B$8:$B$39,Financials!$E180,FinParameters!$C$8:$C$39,Financials!$F180)</f>
        <v>-823099.8577236397</v>
      </c>
      <c r="AD180" s="73">
        <f t="shared" si="43"/>
        <v>-823099.8577236397</v>
      </c>
      <c r="AE180" s="12"/>
      <c r="AF180" s="73">
        <f t="shared" si="44"/>
        <v>67157960.669828966</v>
      </c>
      <c r="AG180" s="73">
        <f t="shared" si="45"/>
        <v>46915906.929769598</v>
      </c>
      <c r="AH180" s="73">
        <f t="shared" si="45"/>
        <v>3353121.8455736996</v>
      </c>
      <c r="AI180" s="12">
        <f t="shared" si="46"/>
        <v>5.8443193404709083E-2</v>
      </c>
      <c r="AL180" s="73">
        <f>Summary!G180</f>
        <v>2991995.7434511348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-193986.03031462731</v>
      </c>
      <c r="AN180" s="20">
        <f>Summary!I180</f>
        <v>6688749.8381187338</v>
      </c>
      <c r="AP180" s="12">
        <v>1</v>
      </c>
    </row>
    <row r="181" spans="1:42" x14ac:dyDescent="0.3">
      <c r="A181">
        <v>177</v>
      </c>
      <c r="B181" t="str">
        <f>Summary!B181</f>
        <v>MarinusSnowyYallourn</v>
      </c>
      <c r="C181" t="str">
        <f>Summary!C181</f>
        <v>Wind</v>
      </c>
      <c r="D181" s="90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164007596.85375571</v>
      </c>
      <c r="H181" s="73">
        <f>SUMIFS(AM$5:AM181,$F$5:$F181,$F181,$D$5:$D181,$D181)</f>
        <v>-130097219.49428298</v>
      </c>
      <c r="I181" s="20">
        <f>SUMIFS(AN$5:AN181,$F$5:$F181,$F181,$D$5:$D181,$D181)</f>
        <v>76231691.359739244</v>
      </c>
      <c r="J181" s="73">
        <f t="shared" si="32"/>
        <v>76231691.359739244</v>
      </c>
      <c r="K181" s="73">
        <f t="shared" si="33"/>
        <v>240239288.21349496</v>
      </c>
      <c r="L181" s="73">
        <f t="shared" si="34"/>
        <v>110142068.71921198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68340090.808384269</v>
      </c>
      <c r="Q181" s="73">
        <f>P181/SUMIFS(FinParameters!$H$8:$H$39,FinParameters!$B$8:$B$39,Financials!$E181,FinParameters!$C$8:$C$39,Financials!$F181)</f>
        <v>29654576.161170766</v>
      </c>
      <c r="R181" s="73">
        <f t="shared" si="47"/>
        <v>7985063.0855305642</v>
      </c>
      <c r="S181" s="12">
        <f t="shared" si="36"/>
        <v>0.13230153952040991</v>
      </c>
      <c r="T181" s="115">
        <f t="shared" si="37"/>
        <v>164007596.85375571</v>
      </c>
      <c r="U181" s="73">
        <f>T181/SUMIFS(FinParameters!$L$8:$L$39,FinParameters!$B$8:$B$39,Financials!$E181,FinParameters!$C$8:$C$39,Financials!$F181)</f>
        <v>134608672.70501608</v>
      </c>
      <c r="V181" s="73">
        <f t="shared" si="38"/>
        <v>134608672.70501608</v>
      </c>
      <c r="W181" s="12"/>
      <c r="X181" s="73">
        <f t="shared" si="39"/>
        <v>232347687.66213998</v>
      </c>
      <c r="Y181" s="73">
        <f t="shared" si="40"/>
        <v>164263248.86618686</v>
      </c>
      <c r="Z181" s="73">
        <f t="shared" si="40"/>
        <v>142593735.79054666</v>
      </c>
      <c r="AA181" s="12">
        <f t="shared" si="41"/>
        <v>2.3625825580816175</v>
      </c>
      <c r="AB181" s="115">
        <f t="shared" si="42"/>
        <v>-130097219.49428298</v>
      </c>
      <c r="AC181" s="73">
        <f>AB181/SUMIFS(FinParameters!$L$8:$L$39,FinParameters!$B$8:$B$39,Financials!$E181,FinParameters!$C$8:$C$39,Financials!$F181)</f>
        <v>-106776846.77225091</v>
      </c>
      <c r="AD181" s="73">
        <f t="shared" si="43"/>
        <v>-106776846.77225091</v>
      </c>
      <c r="AE181" s="12"/>
      <c r="AF181" s="73">
        <f t="shared" si="44"/>
        <v>102250468.16785701</v>
      </c>
      <c r="AG181" s="73">
        <f t="shared" si="45"/>
        <v>57486402.093935952</v>
      </c>
      <c r="AH181" s="73">
        <f t="shared" si="45"/>
        <v>35816889.01829575</v>
      </c>
      <c r="AI181" s="12">
        <f t="shared" si="46"/>
        <v>0.59343670891453382</v>
      </c>
      <c r="AL181" s="73">
        <f>Summary!G181</f>
        <v>15337436.277853223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-18450240.935840726</v>
      </c>
      <c r="AN181" s="20">
        <f>Summary!I181</f>
        <v>11933699.706052229</v>
      </c>
      <c r="AP181" s="12">
        <v>1</v>
      </c>
    </row>
    <row r="182" spans="1:42" x14ac:dyDescent="0.3">
      <c r="A182">
        <v>178</v>
      </c>
      <c r="B182" t="str">
        <f>Summary!B182</f>
        <v>MarinusSnowyYallourn</v>
      </c>
      <c r="C182" t="str">
        <f>Summary!C182</f>
        <v>Wind</v>
      </c>
      <c r="D182" s="90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103394773.81024171</v>
      </c>
      <c r="H182" s="73">
        <f>SUMIFS(AM$5:AM182,$F$5:$F182,$F182,$D$5:$D182,$D182)</f>
        <v>-54509955.802946307</v>
      </c>
      <c r="I182" s="20">
        <f>SUMIFS(AN$5:AN182,$F$5:$F182,$F182,$D$5:$D182,$D182)</f>
        <v>55625769.64118854</v>
      </c>
      <c r="J182" s="73">
        <f t="shared" si="32"/>
        <v>55625769.64118854</v>
      </c>
      <c r="K182" s="73">
        <f t="shared" si="33"/>
        <v>159020543.45143026</v>
      </c>
      <c r="L182" s="73">
        <f t="shared" si="34"/>
        <v>104510587.64848395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47734169.089833558</v>
      </c>
      <c r="Q182" s="73">
        <f>P182/SUMIFS(FinParameters!$H$8:$H$39,FinParameters!$B$8:$B$39,Financials!$E182,FinParameters!$C$8:$C$39,Financials!$F182)</f>
        <v>20713120.746848762</v>
      </c>
      <c r="R182" s="73">
        <f t="shared" si="47"/>
        <v>-12620858.633020148</v>
      </c>
      <c r="S182" s="12">
        <f t="shared" si="36"/>
        <v>-0.2091103112564921</v>
      </c>
      <c r="T182" s="115">
        <f t="shared" si="37"/>
        <v>103394773.81024171</v>
      </c>
      <c r="U182" s="73">
        <f>T182/SUMIFS(FinParameters!$L$8:$L$39,FinParameters!$B$8:$B$39,Financials!$E182,FinParameters!$C$8:$C$39,Financials!$F182)</f>
        <v>84860906.044751182</v>
      </c>
      <c r="V182" s="73">
        <f t="shared" si="38"/>
        <v>84860906.044751182</v>
      </c>
      <c r="W182" s="12"/>
      <c r="X182" s="73">
        <f t="shared" si="39"/>
        <v>151128942.90007529</v>
      </c>
      <c r="Y182" s="73">
        <f t="shared" si="40"/>
        <v>105574026.79159994</v>
      </c>
      <c r="Z182" s="73">
        <f t="shared" si="40"/>
        <v>72240047.411731035</v>
      </c>
      <c r="AA182" s="12">
        <f t="shared" si="41"/>
        <v>1.1969184695507482</v>
      </c>
      <c r="AB182" s="115">
        <f t="shared" si="42"/>
        <v>-54509955.802946307</v>
      </c>
      <c r="AC182" s="73">
        <f>AB182/SUMIFS(FinParameters!$L$8:$L$39,FinParameters!$B$8:$B$39,Financials!$E182,FinParameters!$C$8:$C$39,Financials!$F182)</f>
        <v>-44738859.300441384</v>
      </c>
      <c r="AD182" s="73">
        <f t="shared" si="43"/>
        <v>-44738859.300441384</v>
      </c>
      <c r="AE182" s="12"/>
      <c r="AF182" s="73">
        <f t="shared" si="44"/>
        <v>96618987.097128987</v>
      </c>
      <c r="AG182" s="73">
        <f t="shared" si="45"/>
        <v>60835167.49115856</v>
      </c>
      <c r="AH182" s="73">
        <f t="shared" si="45"/>
        <v>27501188.11128965</v>
      </c>
      <c r="AI182" s="12">
        <f t="shared" si="46"/>
        <v>0.45565695433979897</v>
      </c>
      <c r="AL182" s="73">
        <f>Summary!G182</f>
        <v>8057175.3353429055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-8343238.3408088852</v>
      </c>
      <c r="AN182" s="20">
        <f>Summary!I182</f>
        <v>8926719.969687812</v>
      </c>
      <c r="AP182" s="12">
        <v>1</v>
      </c>
    </row>
    <row r="183" spans="1:42" x14ac:dyDescent="0.3">
      <c r="A183">
        <v>179</v>
      </c>
      <c r="B183" t="str">
        <f>Summary!B183</f>
        <v>MarinusSnowyYallourn</v>
      </c>
      <c r="C183" t="str">
        <f>Summary!C183</f>
        <v>Wind</v>
      </c>
      <c r="D183" s="90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64517797.7913322</v>
      </c>
      <c r="H183" s="73">
        <f>SUMIFS(AM$5:AM183,$F$5:$F183,$F183,$D$5:$D183,$D183)</f>
        <v>-22058099.232638687</v>
      </c>
      <c r="I183" s="20">
        <f>SUMIFS(AN$5:AN183,$F$5:$F183,$F183,$D$5:$D183,$D183)</f>
        <v>46123410.171351522</v>
      </c>
      <c r="J183" s="73">
        <f t="shared" si="32"/>
        <v>46123410.171351522</v>
      </c>
      <c r="K183" s="73">
        <f t="shared" si="33"/>
        <v>110641207.96268372</v>
      </c>
      <c r="L183" s="73">
        <f t="shared" si="34"/>
        <v>88583108.730045035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38231809.61999654</v>
      </c>
      <c r="Q183" s="73">
        <f>P183/SUMIFS(FinParameters!$H$8:$H$39,FinParameters!$B$8:$B$39,Financials!$E183,FinParameters!$C$8:$C$39,Financials!$F183)</f>
        <v>16589795.195538068</v>
      </c>
      <c r="R183" s="73">
        <f t="shared" si="47"/>
        <v>-22123218.102857165</v>
      </c>
      <c r="S183" s="12">
        <f t="shared" si="36"/>
        <v>-0.36655137007716271</v>
      </c>
      <c r="T183" s="115">
        <f t="shared" si="37"/>
        <v>64517797.7913322</v>
      </c>
      <c r="U183" s="73">
        <f>T183/SUMIFS(FinParameters!$L$8:$L$39,FinParameters!$B$8:$B$39,Financials!$E183,FinParameters!$C$8:$C$39,Financials!$F183)</f>
        <v>52952761.293648385</v>
      </c>
      <c r="V183" s="73">
        <f t="shared" si="38"/>
        <v>52952761.293648385</v>
      </c>
      <c r="W183" s="12"/>
      <c r="X183" s="73">
        <f t="shared" si="39"/>
        <v>102749607.41132875</v>
      </c>
      <c r="Y183" s="73">
        <f t="shared" si="40"/>
        <v>69542556.489186451</v>
      </c>
      <c r="Z183" s="73">
        <f t="shared" si="40"/>
        <v>30829543.190791219</v>
      </c>
      <c r="AA183" s="12">
        <f t="shared" si="41"/>
        <v>0.51080323137880812</v>
      </c>
      <c r="AB183" s="115">
        <f t="shared" si="42"/>
        <v>-22058099.232638687</v>
      </c>
      <c r="AC183" s="73">
        <f>AB183/SUMIFS(FinParameters!$L$8:$L$39,FinParameters!$B$8:$B$39,Financials!$E183,FinParameters!$C$8:$C$39,Financials!$F183)</f>
        <v>-18104109.3038431</v>
      </c>
      <c r="AD183" s="73">
        <f t="shared" si="43"/>
        <v>-18104109.3038431</v>
      </c>
      <c r="AE183" s="12"/>
      <c r="AF183" s="73">
        <f t="shared" si="44"/>
        <v>80691508.178690061</v>
      </c>
      <c r="AG183" s="73">
        <f t="shared" si="45"/>
        <v>51438447.185343355</v>
      </c>
      <c r="AH183" s="73">
        <f t="shared" si="45"/>
        <v>12725433.88694812</v>
      </c>
      <c r="AI183" s="12">
        <f t="shared" si="46"/>
        <v>0.21084297973289765</v>
      </c>
      <c r="AL183" s="73">
        <f>Summary!G183</f>
        <v>3445083.0533897723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-3394980.4931397047</v>
      </c>
      <c r="AN183" s="20">
        <f>Summary!I183</f>
        <v>7577961.3462033384</v>
      </c>
      <c r="AP183" s="12">
        <v>1</v>
      </c>
    </row>
    <row r="184" spans="1:42" x14ac:dyDescent="0.3">
      <c r="A184">
        <v>180</v>
      </c>
      <c r="B184" t="str">
        <f>Summary!B184</f>
        <v>MarinusSnowyYallourn</v>
      </c>
      <c r="C184" t="str">
        <f>Summary!C184</f>
        <v>Wind</v>
      </c>
      <c r="D184" s="90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36577387.834470935</v>
      </c>
      <c r="H184" s="73">
        <f>SUMIFS(AM$5:AM184,$F$5:$F184,$F184,$D$5:$D184,$D184)</f>
        <v>10984.201712171256</v>
      </c>
      <c r="I184" s="20">
        <f>SUMIFS(AN$5:AN184,$F$5:$F184,$F184,$D$5:$D184,$D184)</f>
        <v>39695949.072900437</v>
      </c>
      <c r="J184" s="73">
        <f t="shared" si="32"/>
        <v>39695949.072900437</v>
      </c>
      <c r="K184" s="73">
        <f t="shared" si="33"/>
        <v>76273336.907371372</v>
      </c>
      <c r="L184" s="73">
        <f t="shared" si="34"/>
        <v>76284321.109083533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31804348.521545455</v>
      </c>
      <c r="Q184" s="73">
        <f>P184/SUMIFS(FinParameters!$H$8:$H$39,FinParameters!$B$8:$B$39,Financials!$E184,FinParameters!$C$8:$C$39,Financials!$F184)</f>
        <v>13800749.52099536</v>
      </c>
      <c r="R184" s="73">
        <f t="shared" si="47"/>
        <v>-28550679.20130825</v>
      </c>
      <c r="S184" s="12">
        <f t="shared" si="36"/>
        <v>-0.47304558176016553</v>
      </c>
      <c r="T184" s="115">
        <f t="shared" si="37"/>
        <v>36577387.834470935</v>
      </c>
      <c r="U184" s="73">
        <f>T184/SUMIFS(FinParameters!$L$8:$L$39,FinParameters!$B$8:$B$39,Financials!$E184,FinParameters!$C$8:$C$39,Financials!$F184)</f>
        <v>30020765.634442531</v>
      </c>
      <c r="V184" s="73">
        <f t="shared" si="38"/>
        <v>30020765.634442531</v>
      </c>
      <c r="W184" s="12"/>
      <c r="X184" s="73">
        <f t="shared" si="39"/>
        <v>68381736.356016397</v>
      </c>
      <c r="Y184" s="73">
        <f t="shared" si="40"/>
        <v>43821515.155437887</v>
      </c>
      <c r="Z184" s="73">
        <f t="shared" si="40"/>
        <v>1470086.4331342801</v>
      </c>
      <c r="AA184" s="12">
        <f t="shared" si="41"/>
        <v>2.4357315183166178E-2</v>
      </c>
      <c r="AB184" s="115">
        <f t="shared" si="42"/>
        <v>10984.201712171256</v>
      </c>
      <c r="AC184" s="73">
        <f>AB184/SUMIFS(FinParameters!$L$8:$L$39,FinParameters!$B$8:$B$39,Financials!$E184,FinParameters!$C$8:$C$39,Financials!$F184)</f>
        <v>9015.2458883838517</v>
      </c>
      <c r="AD184" s="73">
        <f t="shared" si="43"/>
        <v>9015.2458883838517</v>
      </c>
      <c r="AE184" s="12"/>
      <c r="AF184" s="73">
        <f t="shared" si="44"/>
        <v>68392720.557728574</v>
      </c>
      <c r="AG184" s="73">
        <f t="shared" si="45"/>
        <v>43830530.401326269</v>
      </c>
      <c r="AH184" s="73">
        <f t="shared" si="45"/>
        <v>1479101.679022664</v>
      </c>
      <c r="AI184" s="12">
        <f t="shared" si="46"/>
        <v>2.4506685438280322E-2</v>
      </c>
      <c r="AL184" s="73">
        <f>Summary!G184</f>
        <v>450112.74974998517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-27772.999075488253</v>
      </c>
      <c r="AN184" s="20">
        <f>Summary!I184</f>
        <v>6616196.422309109</v>
      </c>
      <c r="AP184" s="12">
        <v>1</v>
      </c>
    </row>
    <row r="185" spans="1:42" x14ac:dyDescent="0.3">
      <c r="A185">
        <v>181</v>
      </c>
      <c r="B185" t="str">
        <f>Summary!B185</f>
        <v>MarinusSnowyYallourn</v>
      </c>
      <c r="C185" t="str">
        <f>Summary!C185</f>
        <v>Wind</v>
      </c>
      <c r="D185" s="90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17496060.69380448</v>
      </c>
      <c r="H185" s="73">
        <f>SUMIFS(AM$5:AM185,$F$5:$F185,$F185,$D$5:$D185,$D185)</f>
        <v>20854232.846517816</v>
      </c>
      <c r="I185" s="20">
        <f>SUMIFS(AN$5:AN185,$F$5:$F185,$F185,$D$5:$D185,$D185)</f>
        <v>33546615.783558976</v>
      </c>
      <c r="J185" s="73">
        <f t="shared" si="32"/>
        <v>33546615.783558976</v>
      </c>
      <c r="K185" s="73">
        <f t="shared" si="33"/>
        <v>51042676.477363452</v>
      </c>
      <c r="L185" s="73">
        <f t="shared" si="34"/>
        <v>71896909.323881269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25655015.232203998</v>
      </c>
      <c r="Q185" s="73">
        <f>P185/SUMIFS(FinParameters!$H$8:$H$39,FinParameters!$B$8:$B$39,Financials!$E185,FinParameters!$C$8:$C$39,Financials!$F185)</f>
        <v>11132390.872182637</v>
      </c>
      <c r="R185" s="73">
        <f t="shared" si="47"/>
        <v>-34700012.490649708</v>
      </c>
      <c r="S185" s="12">
        <f t="shared" si="36"/>
        <v>-0.57493159724803489</v>
      </c>
      <c r="T185" s="115">
        <f t="shared" si="37"/>
        <v>17496060.69380448</v>
      </c>
      <c r="U185" s="73">
        <f>T185/SUMIFS(FinParameters!$L$8:$L$39,FinParameters!$B$8:$B$39,Financials!$E185,FinParameters!$C$8:$C$39,Financials!$F185)</f>
        <v>14359831.817177756</v>
      </c>
      <c r="V185" s="73">
        <f t="shared" si="38"/>
        <v>14359831.817177756</v>
      </c>
      <c r="W185" s="12"/>
      <c r="X185" s="73">
        <f t="shared" si="39"/>
        <v>43151075.92600847</v>
      </c>
      <c r="Y185" s="73">
        <f t="shared" si="40"/>
        <v>25492222.689360395</v>
      </c>
      <c r="Z185" s="73">
        <f t="shared" si="40"/>
        <v>-20340180.67347195</v>
      </c>
      <c r="AA185" s="12">
        <f t="shared" si="41"/>
        <v>-0.33700888626665393</v>
      </c>
      <c r="AB185" s="115">
        <f t="shared" si="42"/>
        <v>20854232.846517816</v>
      </c>
      <c r="AC185" s="73">
        <f>AB185/SUMIFS(FinParameters!$L$8:$L$39,FinParameters!$B$8:$B$39,Financials!$E185,FinParameters!$C$8:$C$39,Financials!$F185)</f>
        <v>17116040.095717244</v>
      </c>
      <c r="AD185" s="73">
        <f t="shared" si="43"/>
        <v>17116040.095717244</v>
      </c>
      <c r="AE185" s="12"/>
      <c r="AF185" s="73">
        <f t="shared" si="44"/>
        <v>64005308.772526287</v>
      </c>
      <c r="AG185" s="73">
        <f t="shared" si="45"/>
        <v>42608262.785077639</v>
      </c>
      <c r="AH185" s="73">
        <f t="shared" si="45"/>
        <v>-3224140.5777547061</v>
      </c>
      <c r="AI185" s="12">
        <f t="shared" si="46"/>
        <v>-5.3419585731279029E-2</v>
      </c>
      <c r="AL185" s="73">
        <f>Summary!G185</f>
        <v>-2179699.6429688591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3276866.7078235806</v>
      </c>
      <c r="AN185" s="20">
        <f>Summary!I185</f>
        <v>5584672.6784461662</v>
      </c>
      <c r="AP185" s="12">
        <v>1</v>
      </c>
    </row>
    <row r="186" spans="1:42" x14ac:dyDescent="0.3">
      <c r="A186">
        <v>182</v>
      </c>
      <c r="B186" t="str">
        <f>Summary!B186</f>
        <v>MarinusSnowyYallourn</v>
      </c>
      <c r="C186" t="str">
        <f>Summary!C186</f>
        <v>Wind</v>
      </c>
      <c r="D186" s="90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-4094434.9763134932</v>
      </c>
      <c r="H186" s="73">
        <f>SUMIFS(AM$5:AM186,$F$5:$F186,$F186,$D$5:$D186,$D186)</f>
        <v>48705345.02886501</v>
      </c>
      <c r="I186" s="20">
        <f>SUMIFS(AN$5:AN186,$F$5:$F186,$F186,$D$5:$D186,$D186)</f>
        <v>26207669.266631458</v>
      </c>
      <c r="J186" s="73">
        <f t="shared" si="32"/>
        <v>26207669.266631458</v>
      </c>
      <c r="K186" s="73">
        <f t="shared" si="33"/>
        <v>22113234.290317964</v>
      </c>
      <c r="L186" s="73">
        <f t="shared" si="34"/>
        <v>70818579.319182977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18316068.71527648</v>
      </c>
      <c r="Q186" s="73">
        <f>P186/SUMIFS(FinParameters!$H$8:$H$39,FinParameters!$B$8:$B$39,Financials!$E186,FinParameters!$C$8:$C$39,Financials!$F186)</f>
        <v>7947827.5235737152</v>
      </c>
      <c r="R186" s="73">
        <f t="shared" si="47"/>
        <v>-42038959.007577226</v>
      </c>
      <c r="S186" s="12">
        <f t="shared" si="36"/>
        <v>-0.69652787172292163</v>
      </c>
      <c r="T186" s="115">
        <f t="shared" si="37"/>
        <v>-4094434.9763134932</v>
      </c>
      <c r="U186" s="73">
        <f>T186/SUMIFS(FinParameters!$L$8:$L$39,FinParameters!$B$8:$B$39,Financials!$E186,FinParameters!$C$8:$C$39,Financials!$F186)</f>
        <v>-3360493.4662264832</v>
      </c>
      <c r="V186" s="73">
        <f t="shared" si="38"/>
        <v>-3360493.4662264832</v>
      </c>
      <c r="W186" s="12"/>
      <c r="X186" s="73">
        <f t="shared" si="39"/>
        <v>14221633.738962984</v>
      </c>
      <c r="Y186" s="73">
        <f t="shared" si="40"/>
        <v>4587334.0573472325</v>
      </c>
      <c r="Z186" s="73">
        <f t="shared" si="40"/>
        <v>-45399452.473803706</v>
      </c>
      <c r="AA186" s="12">
        <f t="shared" si="41"/>
        <v>-0.7522066377348875</v>
      </c>
      <c r="AB186" s="115">
        <f t="shared" si="42"/>
        <v>48705345.02886501</v>
      </c>
      <c r="AC186" s="73">
        <f>AB186/SUMIFS(FinParameters!$L$8:$L$39,FinParameters!$B$8:$B$39,Financials!$E186,FinParameters!$C$8:$C$39,Financials!$F186)</f>
        <v>39974744.912709437</v>
      </c>
      <c r="AD186" s="73">
        <f t="shared" si="43"/>
        <v>39974744.912709437</v>
      </c>
      <c r="AE186" s="12"/>
      <c r="AF186" s="73">
        <f t="shared" si="44"/>
        <v>62926978.767827995</v>
      </c>
      <c r="AG186" s="73">
        <f t="shared" si="45"/>
        <v>44562078.970056668</v>
      </c>
      <c r="AH186" s="73">
        <f t="shared" si="45"/>
        <v>-5424707.5610942692</v>
      </c>
      <c r="AI186" s="12">
        <f t="shared" si="46"/>
        <v>-8.9879961384562154E-2</v>
      </c>
      <c r="AL186" s="73">
        <f>Summary!G186</f>
        <v>-5132296.1457995558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7592376.3458224116</v>
      </c>
      <c r="AN186" s="20">
        <f>Summary!I186</f>
        <v>4297382.2928011306</v>
      </c>
      <c r="AP186" s="12">
        <v>1</v>
      </c>
    </row>
    <row r="187" spans="1:42" x14ac:dyDescent="0.3">
      <c r="A187">
        <v>183</v>
      </c>
      <c r="B187" t="str">
        <f>Summary!B187</f>
        <v>MarinusSnowyYallourn</v>
      </c>
      <c r="C187" t="str">
        <f>Summary!C187</f>
        <v>Wind</v>
      </c>
      <c r="D187" s="90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-34903864.449345231</v>
      </c>
      <c r="H187" s="73">
        <f>SUMIFS(AM$5:AM187,$F$5:$F187,$F187,$D$5:$D187,$D187)</f>
        <v>105472629.0895077</v>
      </c>
      <c r="I187" s="20">
        <f>SUMIFS(AN$5:AN187,$F$5:$F187,$F187,$D$5:$D187,$D187)</f>
        <v>14740079.341380902</v>
      </c>
      <c r="J187" s="73">
        <f t="shared" si="32"/>
        <v>14740079.341380902</v>
      </c>
      <c r="K187" s="73">
        <f t="shared" si="33"/>
        <v>-20163785.107964329</v>
      </c>
      <c r="L187" s="73">
        <f t="shared" si="34"/>
        <v>85308843.981543362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6848478.7900259215</v>
      </c>
      <c r="Q187" s="73">
        <f>P187/SUMIFS(FinParameters!$H$8:$H$39,FinParameters!$B$8:$B$39,Financials!$E187,FinParameters!$C$8:$C$39,Financials!$F187)</f>
        <v>2971736.4063272574</v>
      </c>
      <c r="R187" s="73">
        <f t="shared" si="47"/>
        <v>-53506548.932827786</v>
      </c>
      <c r="S187" s="12">
        <f t="shared" si="36"/>
        <v>-0.88653010281970734</v>
      </c>
      <c r="T187" s="115">
        <f t="shared" si="37"/>
        <v>-34903864.449345231</v>
      </c>
      <c r="U187" s="73">
        <f>T187/SUMIFS(FinParameters!$L$8:$L$39,FinParameters!$B$8:$B$39,Financials!$E187,FinParameters!$C$8:$C$39,Financials!$F187)</f>
        <v>-28647227.054925092</v>
      </c>
      <c r="V187" s="73">
        <f t="shared" si="38"/>
        <v>-28647227.054925092</v>
      </c>
      <c r="W187" s="12"/>
      <c r="X187" s="73">
        <f t="shared" si="39"/>
        <v>-28055385.659319311</v>
      </c>
      <c r="Y187" s="73">
        <f t="shared" si="40"/>
        <v>-25675490.648597833</v>
      </c>
      <c r="Z187" s="73">
        <f t="shared" si="40"/>
        <v>-82153775.987752885</v>
      </c>
      <c r="AA187" s="12">
        <f t="shared" si="41"/>
        <v>-1.3611753500470183</v>
      </c>
      <c r="AB187" s="115">
        <f t="shared" si="42"/>
        <v>105472629.0895077</v>
      </c>
      <c r="AC187" s="73">
        <f>AB187/SUMIFS(FinParameters!$L$8:$L$39,FinParameters!$B$8:$B$39,Financials!$E187,FinParameters!$C$8:$C$39,Financials!$F187)</f>
        <v>86566298.639854625</v>
      </c>
      <c r="AD187" s="73">
        <f t="shared" si="43"/>
        <v>86566298.639854625</v>
      </c>
      <c r="AE187" s="12"/>
      <c r="AF187" s="73">
        <f t="shared" si="44"/>
        <v>77417243.430188388</v>
      </c>
      <c r="AG187" s="73">
        <f t="shared" si="45"/>
        <v>60890807.991256788</v>
      </c>
      <c r="AH187" s="73">
        <f t="shared" si="45"/>
        <v>4412522.6521017402</v>
      </c>
      <c r="AI187" s="12">
        <f t="shared" si="46"/>
        <v>7.310944619831429E-2</v>
      </c>
      <c r="AL187" s="73">
        <f>Summary!G187</f>
        <v>-8178576.4177831905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14221035.56204363</v>
      </c>
      <c r="AN187" s="20">
        <f>Summary!I187</f>
        <v>2587441.805533912</v>
      </c>
      <c r="AP187" s="12">
        <v>1</v>
      </c>
    </row>
    <row r="188" spans="1:42" x14ac:dyDescent="0.3">
      <c r="A188">
        <v>184</v>
      </c>
      <c r="B188" t="str">
        <f>Summary!B188</f>
        <v>MarinusSnowyYallourn</v>
      </c>
      <c r="C188" t="str">
        <f>Summary!C188</f>
        <v>Wind</v>
      </c>
      <c r="D188" s="90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42275516.516101323</v>
      </c>
      <c r="H188" s="73">
        <f>SUMIFS(AM$5:AM188,$F$5:$F188,$F188,$D$5:$D188,$D188)</f>
        <v>-1125615.5076844362</v>
      </c>
      <c r="I188" s="20">
        <f>SUMIFS(AN$5:AN188,$F$5:$F188,$F188,$D$5:$D188,$D188)</f>
        <v>40128639.701773152</v>
      </c>
      <c r="J188" s="73">
        <f t="shared" si="32"/>
        <v>40128639.701773152</v>
      </c>
      <c r="K188" s="73">
        <f t="shared" si="33"/>
        <v>82404156.217874467</v>
      </c>
      <c r="L188" s="73">
        <f t="shared" si="34"/>
        <v>81278540.710190028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32237039.15041817</v>
      </c>
      <c r="Q188" s="73">
        <f>P188/SUMIFS(FinParameters!$H$8:$H$39,FinParameters!$B$8:$B$39,Financials!$E188,FinParameters!$C$8:$C$39,Financials!$F188)</f>
        <v>13988505.449563084</v>
      </c>
      <c r="R188" s="73">
        <f t="shared" si="47"/>
        <v>-28117988.572435535</v>
      </c>
      <c r="S188" s="12">
        <f t="shared" si="36"/>
        <v>-0.46587649170755879</v>
      </c>
      <c r="T188" s="115">
        <f t="shared" si="37"/>
        <v>42275516.516101323</v>
      </c>
      <c r="U188" s="73">
        <f>T188/SUMIFS(FinParameters!$L$8:$L$39,FinParameters!$B$8:$B$39,Financials!$E188,FinParameters!$C$8:$C$39,Financials!$F188)</f>
        <v>34697485.209942393</v>
      </c>
      <c r="V188" s="73">
        <f t="shared" si="38"/>
        <v>34697485.209942393</v>
      </c>
      <c r="W188" s="12"/>
      <c r="X188" s="73">
        <f t="shared" si="39"/>
        <v>74512555.666519493</v>
      </c>
      <c r="Y188" s="73">
        <f t="shared" si="40"/>
        <v>48685990.659505479</v>
      </c>
      <c r="Z188" s="73">
        <f t="shared" si="40"/>
        <v>6579496.6375068575</v>
      </c>
      <c r="AA188" s="12">
        <f t="shared" si="41"/>
        <v>0.10901323196668007</v>
      </c>
      <c r="AB188" s="115">
        <f t="shared" si="42"/>
        <v>-1125615.5076844362</v>
      </c>
      <c r="AC188" s="73">
        <f>AB188/SUMIFS(FinParameters!$L$8:$L$39,FinParameters!$B$8:$B$39,Financials!$E188,FinParameters!$C$8:$C$39,Financials!$F188)</f>
        <v>-923845.06798603863</v>
      </c>
      <c r="AD188" s="73">
        <f t="shared" si="43"/>
        <v>-923845.06798603863</v>
      </c>
      <c r="AE188" s="12"/>
      <c r="AF188" s="73">
        <f t="shared" si="44"/>
        <v>73386940.158835053</v>
      </c>
      <c r="AG188" s="73">
        <f t="shared" si="45"/>
        <v>47762145.591519438</v>
      </c>
      <c r="AH188" s="73">
        <f t="shared" si="45"/>
        <v>5655651.569520819</v>
      </c>
      <c r="AI188" s="12">
        <f t="shared" si="46"/>
        <v>9.3706386740325873E-2</v>
      </c>
      <c r="AL188" s="73">
        <f>Summary!G188</f>
        <v>784223.32587714051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-147208.43296201312</v>
      </c>
      <c r="AN188" s="20">
        <f>Summary!I188</f>
        <v>6597857.2924654782</v>
      </c>
      <c r="AP188" s="12">
        <v>1</v>
      </c>
    </row>
    <row r="189" spans="1:42" x14ac:dyDescent="0.3">
      <c r="A189">
        <v>185</v>
      </c>
      <c r="B189" t="str">
        <f>Summary!B189</f>
        <v>MarinusSnowyYallourn</v>
      </c>
      <c r="C189" t="str">
        <f>Summary!C189</f>
        <v>Wind</v>
      </c>
      <c r="D189" s="90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183489589.8030073</v>
      </c>
      <c r="H189" s="73">
        <f>SUMIFS(AM$5:AM189,$F$5:$F189,$F189,$D$5:$D189,$D189)</f>
        <v>-153910296.88277522</v>
      </c>
      <c r="I189" s="20">
        <f>SUMIFS(AN$5:AN189,$F$5:$F189,$F189,$D$5:$D189,$D189)</f>
        <v>87275688.703495771</v>
      </c>
      <c r="J189" s="73">
        <f t="shared" si="32"/>
        <v>87275688.703495771</v>
      </c>
      <c r="K189" s="73">
        <f t="shared" si="33"/>
        <v>270765278.50650311</v>
      </c>
      <c r="L189" s="73">
        <f t="shared" si="34"/>
        <v>116854981.62372786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78368048.138356924</v>
      </c>
      <c r="Q189" s="73">
        <f>P189/SUMIFS(FinParameters!$H$8:$H$39,FinParameters!$B$8:$B$39,Financials!$E189,FinParameters!$C$8:$C$39,Financials!$F189)</f>
        <v>30636011.306659326</v>
      </c>
      <c r="R189" s="73">
        <f t="shared" si="47"/>
        <v>15640965.063609244</v>
      </c>
      <c r="S189" s="12">
        <f t="shared" si="36"/>
        <v>0.24934947230004223</v>
      </c>
      <c r="T189" s="115">
        <f t="shared" si="37"/>
        <v>183489589.8030073</v>
      </c>
      <c r="U189" s="73">
        <f>T189/SUMIFS(FinParameters!$L$8:$L$39,FinParameters!$B$8:$B$39,Financials!$E189,FinParameters!$C$8:$C$39,Financials!$F189)</f>
        <v>146925318.64460406</v>
      </c>
      <c r="V189" s="73">
        <f t="shared" si="38"/>
        <v>146925318.64460406</v>
      </c>
      <c r="W189" s="12"/>
      <c r="X189" s="73">
        <f t="shared" si="39"/>
        <v>261857637.94136426</v>
      </c>
      <c r="Y189" s="73">
        <f t="shared" si="40"/>
        <v>177561329.95126337</v>
      </c>
      <c r="Z189" s="73">
        <f t="shared" si="40"/>
        <v>162566283.7082133</v>
      </c>
      <c r="AA189" s="12">
        <f t="shared" si="41"/>
        <v>2.5916442426390831</v>
      </c>
      <c r="AB189" s="115">
        <f t="shared" si="42"/>
        <v>-153910296.88277522</v>
      </c>
      <c r="AC189" s="73">
        <f>AB189/SUMIFS(FinParameters!$L$8:$L$39,FinParameters!$B$8:$B$39,Financials!$E189,FinParameters!$C$8:$C$39,Financials!$F189)</f>
        <v>-123240339.88230509</v>
      </c>
      <c r="AD189" s="73">
        <f t="shared" si="43"/>
        <v>-123240339.88230509</v>
      </c>
      <c r="AE189" s="12"/>
      <c r="AF189" s="73">
        <f t="shared" si="44"/>
        <v>107947341.05858904</v>
      </c>
      <c r="AG189" s="73">
        <f t="shared" si="45"/>
        <v>54320990.068958282</v>
      </c>
      <c r="AH189" s="73">
        <f t="shared" si="45"/>
        <v>39325943.825908214</v>
      </c>
      <c r="AI189" s="12">
        <f t="shared" si="46"/>
        <v>0.62693723186595662</v>
      </c>
      <c r="AL189" s="73">
        <f>Summary!G189</f>
        <v>19481992.949251581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-23813077.388492238</v>
      </c>
      <c r="AN189" s="20">
        <f>Summary!I189</f>
        <v>11043997.343756523</v>
      </c>
      <c r="AP189" s="12">
        <v>1</v>
      </c>
    </row>
    <row r="190" spans="1:42" x14ac:dyDescent="0.3">
      <c r="A190">
        <v>186</v>
      </c>
      <c r="B190" t="str">
        <f>Summary!B190</f>
        <v>MarinusSnowyYallourn</v>
      </c>
      <c r="C190" t="str">
        <f>Summary!C190</f>
        <v>Wind</v>
      </c>
      <c r="D190" s="90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112818579.25574782</v>
      </c>
      <c r="H190" s="73">
        <f>SUMIFS(AM$5:AM190,$F$5:$F190,$F190,$D$5:$D190,$D190)</f>
        <v>-64035815.223359428</v>
      </c>
      <c r="I190" s="20">
        <f>SUMIFS(AN$5:AN190,$F$5:$F190,$F190,$D$5:$D190,$D190)</f>
        <v>62965822.749690473</v>
      </c>
      <c r="J190" s="73">
        <f t="shared" si="32"/>
        <v>62965822.749690473</v>
      </c>
      <c r="K190" s="73">
        <f t="shared" si="33"/>
        <v>175784402.0054383</v>
      </c>
      <c r="L190" s="73">
        <f t="shared" si="34"/>
        <v>111748586.78207886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54058182.184551619</v>
      </c>
      <c r="Q190" s="73">
        <f>P190/SUMIFS(FinParameters!$H$8:$H$39,FinParameters!$B$8:$B$39,Financials!$E190,FinParameters!$C$8:$C$39,Financials!$F190)</f>
        <v>21132682.514939256</v>
      </c>
      <c r="R190" s="73">
        <f t="shared" si="47"/>
        <v>-8668900.8901960608</v>
      </c>
      <c r="S190" s="12">
        <f t="shared" si="36"/>
        <v>-0.13820028710510754</v>
      </c>
      <c r="T190" s="115">
        <f t="shared" si="37"/>
        <v>112818579.25574782</v>
      </c>
      <c r="U190" s="73">
        <f>T190/SUMIFS(FinParameters!$L$8:$L$39,FinParameters!$B$8:$B$39,Financials!$E190,FinParameters!$C$8:$C$39,Financials!$F190)</f>
        <v>90337036.144546419</v>
      </c>
      <c r="V190" s="73">
        <f t="shared" si="38"/>
        <v>90337036.144546419</v>
      </c>
      <c r="W190" s="12"/>
      <c r="X190" s="73">
        <f t="shared" si="39"/>
        <v>166876761.44029945</v>
      </c>
      <c r="Y190" s="73">
        <f t="shared" si="40"/>
        <v>111469718.65948567</v>
      </c>
      <c r="Z190" s="73">
        <f t="shared" si="40"/>
        <v>81668135.254350364</v>
      </c>
      <c r="AA190" s="12">
        <f t="shared" si="41"/>
        <v>1.3019597158221416</v>
      </c>
      <c r="AB190" s="115">
        <f t="shared" si="42"/>
        <v>-64035815.223359428</v>
      </c>
      <c r="AC190" s="73">
        <f>AB190/SUMIFS(FinParameters!$L$8:$L$39,FinParameters!$B$8:$B$39,Financials!$E190,FinParameters!$C$8:$C$39,Financials!$F190)</f>
        <v>-51275293.418334685</v>
      </c>
      <c r="AD190" s="73">
        <f t="shared" si="43"/>
        <v>-51275293.418334685</v>
      </c>
      <c r="AE190" s="12"/>
      <c r="AF190" s="73">
        <f t="shared" si="44"/>
        <v>102840946.21694002</v>
      </c>
      <c r="AG190" s="73">
        <f t="shared" si="45"/>
        <v>60194425.241150983</v>
      </c>
      <c r="AH190" s="73">
        <f t="shared" si="45"/>
        <v>30392841.836015679</v>
      </c>
      <c r="AI190" s="12">
        <f t="shared" si="46"/>
        <v>0.48452503043698936</v>
      </c>
      <c r="AL190" s="73">
        <f>Summary!G190</f>
        <v>9423805.4455061052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-9525859.4204131216</v>
      </c>
      <c r="AN190" s="20">
        <f>Summary!I190</f>
        <v>7340053.1085019363</v>
      </c>
      <c r="AP190" s="12">
        <v>1</v>
      </c>
    </row>
    <row r="191" spans="1:42" x14ac:dyDescent="0.3">
      <c r="A191">
        <v>187</v>
      </c>
      <c r="B191" t="str">
        <f>Summary!B191</f>
        <v>MarinusSnowyYallourn</v>
      </c>
      <c r="C191" t="str">
        <f>Summary!C191</f>
        <v>Wind</v>
      </c>
      <c r="D191" s="90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68611608.093127087</v>
      </c>
      <c r="H191" s="73">
        <f>SUMIFS(AM$5:AM191,$F$5:$F191,$F191,$D$5:$D191,$D191)</f>
        <v>-26031779.990611631</v>
      </c>
      <c r="I191" s="20">
        <f>SUMIFS(AN$5:AN191,$F$5:$F191,$F191,$D$5:$D191,$D191)</f>
        <v>52333558.028551251</v>
      </c>
      <c r="J191" s="73">
        <f t="shared" si="32"/>
        <v>52333558.028551251</v>
      </c>
      <c r="K191" s="73">
        <f t="shared" si="33"/>
        <v>120945166.12167834</v>
      </c>
      <c r="L191" s="73">
        <f t="shared" si="34"/>
        <v>94913386.13106671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43425917.463412397</v>
      </c>
      <c r="Q191" s="73">
        <f>P191/SUMIFS(FinParameters!$H$8:$H$39,FinParameters!$B$8:$B$39,Financials!$E191,FinParameters!$C$8:$C$39,Financials!$F191)</f>
        <v>16976266.858941961</v>
      </c>
      <c r="R191" s="73">
        <f t="shared" si="47"/>
        <v>-19301165.611335285</v>
      </c>
      <c r="S191" s="12">
        <f t="shared" si="36"/>
        <v>-0.30770067194636441</v>
      </c>
      <c r="T191" s="115">
        <f t="shared" si="37"/>
        <v>68611608.093127087</v>
      </c>
      <c r="U191" s="73">
        <f>T191/SUMIFS(FinParameters!$L$8:$L$39,FinParameters!$B$8:$B$39,Financials!$E191,FinParameters!$C$8:$C$39,Financials!$F191)</f>
        <v>54939260.546737425</v>
      </c>
      <c r="V191" s="73">
        <f t="shared" si="38"/>
        <v>54939260.546737425</v>
      </c>
      <c r="W191" s="12"/>
      <c r="X191" s="73">
        <f t="shared" si="39"/>
        <v>112037525.55653948</v>
      </c>
      <c r="Y191" s="73">
        <f t="shared" si="40"/>
        <v>71915527.40567939</v>
      </c>
      <c r="Z191" s="73">
        <f t="shared" si="40"/>
        <v>35638094.93540214</v>
      </c>
      <c r="AA191" s="12">
        <f t="shared" si="41"/>
        <v>0.56814526020498357</v>
      </c>
      <c r="AB191" s="115">
        <f t="shared" si="42"/>
        <v>-26031779.990611631</v>
      </c>
      <c r="AC191" s="73">
        <f>AB191/SUMIFS(FinParameters!$L$8:$L$39,FinParameters!$B$8:$B$39,Financials!$E191,FinParameters!$C$8:$C$39,Financials!$F191)</f>
        <v>-20844384.545810111</v>
      </c>
      <c r="AD191" s="73">
        <f t="shared" si="43"/>
        <v>-20844384.545810111</v>
      </c>
      <c r="AE191" s="12"/>
      <c r="AF191" s="73">
        <f t="shared" si="44"/>
        <v>86005745.565927848</v>
      </c>
      <c r="AG191" s="73">
        <f t="shared" si="45"/>
        <v>51071142.859869279</v>
      </c>
      <c r="AH191" s="73">
        <f t="shared" si="45"/>
        <v>14793710.389592029</v>
      </c>
      <c r="AI191" s="12">
        <f t="shared" si="46"/>
        <v>0.23584247289106924</v>
      </c>
      <c r="AL191" s="73">
        <f>Summary!G191</f>
        <v>4093810.301794888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-3973680.7579729455</v>
      </c>
      <c r="AN191" s="20">
        <f>Summary!I191</f>
        <v>6210147.8571997257</v>
      </c>
      <c r="AP191" s="12">
        <v>1</v>
      </c>
    </row>
    <row r="192" spans="1:42" x14ac:dyDescent="0.3">
      <c r="A192">
        <v>188</v>
      </c>
      <c r="B192" t="str">
        <f>Summary!B192</f>
        <v>MarinusSnowyYallourn</v>
      </c>
      <c r="C192" t="str">
        <f>Summary!C192</f>
        <v>Wind</v>
      </c>
      <c r="D192" s="90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37710634.587629817</v>
      </c>
      <c r="H192" s="73">
        <f>SUMIFS(AM$5:AM192,$F$5:$F192,$F192,$D$5:$D192,$D192)</f>
        <v>-59850.613200515072</v>
      </c>
      <c r="I192" s="20">
        <f>SUMIFS(AN$5:AN192,$F$5:$F192,$F192,$D$5:$D192,$D192)</f>
        <v>45131877.49327521</v>
      </c>
      <c r="J192" s="73">
        <f t="shared" si="32"/>
        <v>45131877.49327521</v>
      </c>
      <c r="K192" s="73">
        <f t="shared" si="33"/>
        <v>82842512.08090502</v>
      </c>
      <c r="L192" s="73">
        <f t="shared" si="34"/>
        <v>82782661.467704505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36224236.928136356</v>
      </c>
      <c r="Q192" s="73">
        <f>P192/SUMIFS(FinParameters!$H$8:$H$39,FinParameters!$B$8:$B$39,Financials!$E192,FinParameters!$C$8:$C$39,Financials!$F192)</f>
        <v>14160951.541707737</v>
      </c>
      <c r="R192" s="73">
        <f t="shared" si="47"/>
        <v>-26502846.146611325</v>
      </c>
      <c r="S192" s="12">
        <f t="shared" si="36"/>
        <v>-0.42251041890517455</v>
      </c>
      <c r="T192" s="115">
        <f t="shared" si="37"/>
        <v>37710634.587629817</v>
      </c>
      <c r="U192" s="73">
        <f>T192/SUMIFS(FinParameters!$L$8:$L$39,FinParameters!$B$8:$B$39,Financials!$E192,FinParameters!$C$8:$C$39,Financials!$F192)</f>
        <v>30195974.654617324</v>
      </c>
      <c r="V192" s="73">
        <f t="shared" si="38"/>
        <v>30195974.654617324</v>
      </c>
      <c r="W192" s="12"/>
      <c r="X192" s="73">
        <f t="shared" si="39"/>
        <v>73934871.515766174</v>
      </c>
      <c r="Y192" s="73">
        <f t="shared" si="40"/>
        <v>44356926.196325064</v>
      </c>
      <c r="Z192" s="73">
        <f t="shared" si="40"/>
        <v>3693128.508005999</v>
      </c>
      <c r="AA192" s="12">
        <f t="shared" si="41"/>
        <v>5.8876139730666958E-2</v>
      </c>
      <c r="AB192" s="115">
        <f t="shared" si="42"/>
        <v>-59850.613200515072</v>
      </c>
      <c r="AC192" s="73">
        <f>AB192/SUMIFS(FinParameters!$L$8:$L$39,FinParameters!$B$8:$B$39,Financials!$E192,FinParameters!$C$8:$C$39,Financials!$F192)</f>
        <v>-47924.083458910762</v>
      </c>
      <c r="AD192" s="73">
        <f t="shared" si="43"/>
        <v>-47924.083458910762</v>
      </c>
      <c r="AE192" s="12"/>
      <c r="AF192" s="73">
        <f t="shared" si="44"/>
        <v>73875020.902565658</v>
      </c>
      <c r="AG192" s="73">
        <f t="shared" si="45"/>
        <v>44309002.112866156</v>
      </c>
      <c r="AH192" s="73">
        <f t="shared" si="45"/>
        <v>3645204.4245470883</v>
      </c>
      <c r="AI192" s="12">
        <f t="shared" si="46"/>
        <v>5.8112130293119818E-2</v>
      </c>
      <c r="AL192" s="73">
        <f>Summary!G192</f>
        <v>1133246.753158882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-70834.814912686328</v>
      </c>
      <c r="AN192" s="20">
        <f>Summary!I192</f>
        <v>5435928.4203747734</v>
      </c>
      <c r="AP192" s="12">
        <v>1</v>
      </c>
    </row>
    <row r="193" spans="1:42" x14ac:dyDescent="0.3">
      <c r="A193">
        <v>189</v>
      </c>
      <c r="B193" t="str">
        <f>Summary!B193</f>
        <v>MarinusSnowyYallourn</v>
      </c>
      <c r="C193" t="str">
        <f>Summary!C193</f>
        <v>Wind</v>
      </c>
      <c r="D193" s="90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15910622.34332297</v>
      </c>
      <c r="H193" s="73">
        <f>SUMIFS(AM$5:AM193,$F$5:$F193,$F193,$D$5:$D193,$D193)</f>
        <v>24390097.109671149</v>
      </c>
      <c r="I193" s="20">
        <f>SUMIFS(AN$5:AN193,$F$5:$F193,$F193,$D$5:$D193,$D193)</f>
        <v>38209727.657356694</v>
      </c>
      <c r="J193" s="73">
        <f t="shared" si="32"/>
        <v>38209727.657356694</v>
      </c>
      <c r="K193" s="73">
        <f t="shared" si="33"/>
        <v>54120350.000679664</v>
      </c>
      <c r="L193" s="73">
        <f t="shared" si="34"/>
        <v>78510447.110350817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29302087.09221784</v>
      </c>
      <c r="Q193" s="73">
        <f>P193/SUMIFS(FinParameters!$H$8:$H$39,FinParameters!$B$8:$B$39,Financials!$E193,FinParameters!$C$8:$C$39,Financials!$F193)</f>
        <v>11454911.699230224</v>
      </c>
      <c r="R193" s="73">
        <f t="shared" si="47"/>
        <v>-33424995.982529841</v>
      </c>
      <c r="S193" s="12">
        <f t="shared" si="36"/>
        <v>-0.53286386587910528</v>
      </c>
      <c r="T193" s="115">
        <f t="shared" si="37"/>
        <v>15910622.34332297</v>
      </c>
      <c r="U193" s="73">
        <f>T193/SUMIFS(FinParameters!$L$8:$L$39,FinParameters!$B$8:$B$39,Financials!$E193,FinParameters!$C$8:$C$39,Financials!$F193)</f>
        <v>12740086.563692188</v>
      </c>
      <c r="V193" s="73">
        <f t="shared" si="38"/>
        <v>12740086.563692188</v>
      </c>
      <c r="W193" s="12"/>
      <c r="X193" s="73">
        <f t="shared" si="39"/>
        <v>45212709.43554081</v>
      </c>
      <c r="Y193" s="73">
        <f t="shared" si="40"/>
        <v>24194998.262922414</v>
      </c>
      <c r="Z193" s="73">
        <f t="shared" si="40"/>
        <v>-20684909.418837652</v>
      </c>
      <c r="AA193" s="12">
        <f t="shared" si="41"/>
        <v>-0.3297604225305491</v>
      </c>
      <c r="AB193" s="115">
        <f t="shared" si="42"/>
        <v>24390097.109671149</v>
      </c>
      <c r="AC193" s="73">
        <f>AB193/SUMIFS(FinParameters!$L$8:$L$39,FinParameters!$B$8:$B$39,Financials!$E193,FinParameters!$C$8:$C$39,Financials!$F193)</f>
        <v>19529842.50201064</v>
      </c>
      <c r="AD193" s="73">
        <f t="shared" si="43"/>
        <v>19529842.50201064</v>
      </c>
      <c r="AE193" s="12"/>
      <c r="AF193" s="73">
        <f t="shared" si="44"/>
        <v>69602806.545211956</v>
      </c>
      <c r="AG193" s="73">
        <f t="shared" si="45"/>
        <v>43724840.76493305</v>
      </c>
      <c r="AH193" s="73">
        <f t="shared" si="45"/>
        <v>-1155066.9168270119</v>
      </c>
      <c r="AI193" s="12">
        <f t="shared" si="46"/>
        <v>-1.841416594249402E-2</v>
      </c>
      <c r="AL193" s="73">
        <f>Summary!G193</f>
        <v>-1585438.3504815095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3535864.2631533323</v>
      </c>
      <c r="AN193" s="20">
        <f>Summary!I193</f>
        <v>4663111.8737977147</v>
      </c>
      <c r="AP193" s="12">
        <v>1</v>
      </c>
    </row>
    <row r="194" spans="1:42" x14ac:dyDescent="0.3">
      <c r="A194">
        <v>190</v>
      </c>
      <c r="B194" t="str">
        <f>Summary!B194</f>
        <v>MarinusSnowyYallourn</v>
      </c>
      <c r="C194" t="str">
        <f>Summary!C194</f>
        <v>Wind</v>
      </c>
      <c r="D194" s="90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-8600121.4584097117</v>
      </c>
      <c r="H194" s="73">
        <f>SUMIFS(AM$5:AM194,$F$5:$F194,$F194,$D$5:$D194,$D194)</f>
        <v>57298879.213863678</v>
      </c>
      <c r="I194" s="20">
        <f>SUMIFS(AN$5:AN194,$F$5:$F194,$F194,$D$5:$D194,$D194)</f>
        <v>29802626.065200336</v>
      </c>
      <c r="J194" s="73">
        <f t="shared" si="32"/>
        <v>29802626.065200336</v>
      </c>
      <c r="K194" s="73">
        <f t="shared" si="33"/>
        <v>21202504.606790625</v>
      </c>
      <c r="L194" s="73">
        <f t="shared" si="34"/>
        <v>78501383.820654303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20894985.500061482</v>
      </c>
      <c r="Q194" s="73">
        <f>P194/SUMIFS(FinParameters!$H$8:$H$39,FinParameters!$B$8:$B$39,Financials!$E194,FinParameters!$C$8:$C$39,Financials!$F194)</f>
        <v>8168367.4308465114</v>
      </c>
      <c r="R194" s="73">
        <f t="shared" si="47"/>
        <v>-41832097.574686199</v>
      </c>
      <c r="S194" s="12">
        <f t="shared" si="36"/>
        <v>-0.66689052836774954</v>
      </c>
      <c r="T194" s="115">
        <f t="shared" si="37"/>
        <v>-8600121.4584097117</v>
      </c>
      <c r="U194" s="73">
        <f>T194/SUMIFS(FinParameters!$L$8:$L$39,FinParameters!$B$8:$B$39,Financials!$E194,FinParameters!$C$8:$C$39,Financials!$F194)</f>
        <v>-6886361.1664057169</v>
      </c>
      <c r="V194" s="73">
        <f t="shared" si="38"/>
        <v>-6886361.1664057169</v>
      </c>
      <c r="W194" s="12"/>
      <c r="X194" s="73">
        <f t="shared" si="39"/>
        <v>12294864.04165177</v>
      </c>
      <c r="Y194" s="73">
        <f t="shared" si="40"/>
        <v>1282006.2644407945</v>
      </c>
      <c r="Z194" s="73">
        <f t="shared" si="40"/>
        <v>-48718458.741091914</v>
      </c>
      <c r="AA194" s="12">
        <f t="shared" si="41"/>
        <v>-0.77667342960994024</v>
      </c>
      <c r="AB194" s="115">
        <f t="shared" si="42"/>
        <v>57298879.213863678</v>
      </c>
      <c r="AC194" s="73">
        <f>AB194/SUMIFS(FinParameters!$L$8:$L$39,FinParameters!$B$8:$B$39,Financials!$E194,FinParameters!$C$8:$C$39,Financials!$F194)</f>
        <v>45880837.684109442</v>
      </c>
      <c r="AD194" s="73">
        <f t="shared" si="43"/>
        <v>45880837.684109442</v>
      </c>
      <c r="AE194" s="12"/>
      <c r="AF194" s="73">
        <f t="shared" si="44"/>
        <v>69593743.255515456</v>
      </c>
      <c r="AG194" s="73">
        <f t="shared" si="45"/>
        <v>47162843.948550239</v>
      </c>
      <c r="AH194" s="73">
        <f t="shared" si="45"/>
        <v>-2837621.0569824725</v>
      </c>
      <c r="AI194" s="12">
        <f t="shared" si="46"/>
        <v>-4.5237573913664515E-2</v>
      </c>
      <c r="AL194" s="73">
        <f>Summary!G194</f>
        <v>-4505686.4820962176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8593534.1849986706</v>
      </c>
      <c r="AN194" s="20">
        <f>Summary!I194</f>
        <v>3594956.7985688788</v>
      </c>
      <c r="AP194" s="12">
        <v>1</v>
      </c>
    </row>
    <row r="195" spans="1:42" x14ac:dyDescent="0.3">
      <c r="A195">
        <v>191</v>
      </c>
      <c r="B195" t="str">
        <f>Summary!B195</f>
        <v>MarinusSnowyYallourn</v>
      </c>
      <c r="C195" t="str">
        <f>Summary!C195</f>
        <v>Wind</v>
      </c>
      <c r="D195" s="90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-43905361.552246772</v>
      </c>
      <c r="H195" s="73">
        <f>SUMIFS(AM$5:AM195,$F$5:$F195,$F195,$D$5:$D195,$D195)</f>
        <v>123351859.25061378</v>
      </c>
      <c r="I195" s="20">
        <f>SUMIFS(AN$5:AN195,$F$5:$F195,$F195,$D$5:$D195,$D195)</f>
        <v>16669608.548787167</v>
      </c>
      <c r="J195" s="73">
        <f t="shared" si="32"/>
        <v>16669608.548787167</v>
      </c>
      <c r="K195" s="73">
        <f t="shared" si="33"/>
        <v>-27235753.003459603</v>
      </c>
      <c r="L195" s="73">
        <f t="shared" si="34"/>
        <v>96116106.247154161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7761967.9836483132</v>
      </c>
      <c r="Q195" s="73">
        <f>P195/SUMIFS(FinParameters!$H$8:$H$39,FinParameters!$B$8:$B$39,Financials!$E195,FinParameters!$C$8:$C$39,Financials!$F195)</f>
        <v>3034345.5599296628</v>
      </c>
      <c r="R195" s="73">
        <f t="shared" si="47"/>
        <v>-54965115.091099367</v>
      </c>
      <c r="S195" s="12">
        <f t="shared" si="36"/>
        <v>-0.87625810729316245</v>
      </c>
      <c r="T195" s="115">
        <f t="shared" si="37"/>
        <v>-43905361.552246772</v>
      </c>
      <c r="U195" s="73">
        <f>T195/SUMIFS(FinParameters!$L$8:$L$39,FinParameters!$B$8:$B$39,Financials!$E195,FinParameters!$C$8:$C$39,Financials!$F195)</f>
        <v>-35156268.228600509</v>
      </c>
      <c r="V195" s="73">
        <f t="shared" si="38"/>
        <v>-35156268.228600509</v>
      </c>
      <c r="W195" s="12"/>
      <c r="X195" s="73">
        <f t="shared" si="39"/>
        <v>-36143393.568598457</v>
      </c>
      <c r="Y195" s="73">
        <f t="shared" si="40"/>
        <v>-32121922.668670848</v>
      </c>
      <c r="Z195" s="73">
        <f t="shared" si="40"/>
        <v>-90121383.319699883</v>
      </c>
      <c r="AA195" s="12">
        <f t="shared" si="41"/>
        <v>-1.4367220489482708</v>
      </c>
      <c r="AB195" s="115">
        <f t="shared" si="42"/>
        <v>123351859.25061378</v>
      </c>
      <c r="AC195" s="73">
        <f>AB195/SUMIFS(FinParameters!$L$8:$L$39,FinParameters!$B$8:$B$39,Financials!$E195,FinParameters!$C$8:$C$39,Financials!$F195)</f>
        <v>98771332.178888246</v>
      </c>
      <c r="AD195" s="73">
        <f t="shared" si="43"/>
        <v>98771332.178888246</v>
      </c>
      <c r="AE195" s="12"/>
      <c r="AF195" s="73">
        <f t="shared" si="44"/>
        <v>87208465.68201533</v>
      </c>
      <c r="AG195" s="73">
        <f t="shared" si="45"/>
        <v>66649409.510217398</v>
      </c>
      <c r="AH195" s="73">
        <f t="shared" si="45"/>
        <v>8649948.859188363</v>
      </c>
      <c r="AI195" s="12">
        <f t="shared" si="46"/>
        <v>0.1378981523639605</v>
      </c>
      <c r="AL195" s="73">
        <f>Summary!G195</f>
        <v>-9001497.1029015407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17879230.161106072</v>
      </c>
      <c r="AN195" s="20">
        <f>Summary!I195</f>
        <v>1929529.2074062664</v>
      </c>
      <c r="AP195" s="12">
        <v>1</v>
      </c>
    </row>
    <row r="196" spans="1:42" x14ac:dyDescent="0.3">
      <c r="A196">
        <v>192</v>
      </c>
      <c r="B196" t="str">
        <f>Summary!B196</f>
        <v>MarinusSnowyYallourn</v>
      </c>
      <c r="C196" t="str">
        <f>Summary!C196</f>
        <v>Wind</v>
      </c>
      <c r="D196" s="90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43774057.539036639</v>
      </c>
      <c r="H196" s="73">
        <f>SUMIFS(AM$5:AM196,$F$5:$F196,$F196,$D$5:$D196,$D196)</f>
        <v>-1368372.400976737</v>
      </c>
      <c r="I196" s="20">
        <f>SUMIFS(AN$5:AN196,$F$5:$F196,$F196,$D$5:$D196,$D196)</f>
        <v>45573038.649456553</v>
      </c>
      <c r="J196" s="73">
        <f t="shared" si="32"/>
        <v>45573038.649456553</v>
      </c>
      <c r="K196" s="73">
        <f t="shared" si="33"/>
        <v>89347096.188493192</v>
      </c>
      <c r="L196" s="73">
        <f t="shared" si="34"/>
        <v>87978723.787516445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36665398.084317699</v>
      </c>
      <c r="Q196" s="73">
        <f>P196/SUMIFS(FinParameters!$H$8:$H$39,FinParameters!$B$8:$B$39,Financials!$E196,FinParameters!$C$8:$C$39,Financials!$F196)</f>
        <v>14333412.365855984</v>
      </c>
      <c r="R196" s="73">
        <f t="shared" si="47"/>
        <v>-26061684.990429983</v>
      </c>
      <c r="S196" s="12">
        <f t="shared" si="36"/>
        <v>-0.41547739370207937</v>
      </c>
      <c r="T196" s="115">
        <f t="shared" si="37"/>
        <v>43774057.539036639</v>
      </c>
      <c r="U196" s="73">
        <f>T196/SUMIFS(FinParameters!$L$8:$L$39,FinParameters!$B$8:$B$39,Financials!$E196,FinParameters!$C$8:$C$39,Financials!$F196)</f>
        <v>35051129.381209075</v>
      </c>
      <c r="V196" s="73">
        <f t="shared" si="38"/>
        <v>35051129.381209075</v>
      </c>
      <c r="W196" s="12"/>
      <c r="X196" s="73">
        <f t="shared" si="39"/>
        <v>80439455.623354346</v>
      </c>
      <c r="Y196" s="73">
        <f t="shared" si="40"/>
        <v>49384541.74706506</v>
      </c>
      <c r="Z196" s="73">
        <f t="shared" si="40"/>
        <v>8989444.3907790929</v>
      </c>
      <c r="AA196" s="12">
        <f t="shared" si="41"/>
        <v>0.14331041633271821</v>
      </c>
      <c r="AB196" s="115">
        <f t="shared" si="42"/>
        <v>-1368372.400976737</v>
      </c>
      <c r="AC196" s="73">
        <f>AB196/SUMIFS(FinParameters!$L$8:$L$39,FinParameters!$B$8:$B$39,Financials!$E196,FinParameters!$C$8:$C$39,Financials!$F196)</f>
        <v>-1095694.5909238386</v>
      </c>
      <c r="AD196" s="73">
        <f t="shared" si="43"/>
        <v>-1095694.5909238386</v>
      </c>
      <c r="AE196" s="12"/>
      <c r="AF196" s="73">
        <f t="shared" si="44"/>
        <v>79071083.222377613</v>
      </c>
      <c r="AG196" s="73">
        <f t="shared" si="45"/>
        <v>48288847.156141222</v>
      </c>
      <c r="AH196" s="73">
        <f t="shared" si="45"/>
        <v>7893749.7998552546</v>
      </c>
      <c r="AI196" s="12">
        <f t="shared" si="46"/>
        <v>0.1258427685924563</v>
      </c>
      <c r="AL196" s="73">
        <f>Summary!G196</f>
        <v>1498541.0229353164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-242756.89329230093</v>
      </c>
      <c r="AN196" s="20">
        <f>Summary!I196</f>
        <v>5444398.9476834023</v>
      </c>
      <c r="AP196" s="12">
        <v>1</v>
      </c>
    </row>
    <row r="197" spans="1:42" x14ac:dyDescent="0.3">
      <c r="A197">
        <v>193</v>
      </c>
      <c r="B197" t="str">
        <f>Summary!B197</f>
        <v>MarinusSnowyYallourn</v>
      </c>
      <c r="C197" t="str">
        <f>Summary!C197</f>
        <v>Wind</v>
      </c>
      <c r="D197" s="90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201375845.34099841</v>
      </c>
      <c r="H197" s="73">
        <f>SUMIFS(AM$5:AM197,$F$5:$F197,$F197,$D$5:$D197,$D197)</f>
        <v>-177653398.1416311</v>
      </c>
      <c r="I197" s="20">
        <f>SUMIFS(AN$5:AN197,$F$5:$F197,$F197,$D$5:$D197,$D197)</f>
        <v>97189792.204502597</v>
      </c>
      <c r="J197" s="73">
        <f t="shared" si="32"/>
        <v>97189792.204502597</v>
      </c>
      <c r="K197" s="73">
        <f t="shared" si="33"/>
        <v>298565637.54550099</v>
      </c>
      <c r="L197" s="73">
        <f t="shared" si="34"/>
        <v>120912239.40386991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87255710.625235274</v>
      </c>
      <c r="Q197" s="73">
        <f>P197/SUMIFS(FinParameters!$H$8:$H$39,FinParameters!$B$8:$B$39,Financials!$E197,FinParameters!$C$8:$C$39,Financials!$F197)</f>
        <v>30730106.966644205</v>
      </c>
      <c r="R197" s="73">
        <f t="shared" si="47"/>
        <v>22622860.46500241</v>
      </c>
      <c r="S197" s="12">
        <f t="shared" si="36"/>
        <v>0.35002108693826017</v>
      </c>
      <c r="T197" s="115">
        <f t="shared" si="37"/>
        <v>201375845.34099841</v>
      </c>
      <c r="U197" s="73">
        <f>T197/SUMIFS(FinParameters!$L$8:$L$39,FinParameters!$B$8:$B$39,Financials!$E197,FinParameters!$C$8:$C$39,Financials!$F197)</f>
        <v>157314488.52655521</v>
      </c>
      <c r="V197" s="73">
        <f t="shared" si="38"/>
        <v>157314488.52655521</v>
      </c>
      <c r="W197" s="12"/>
      <c r="X197" s="73">
        <f t="shared" si="39"/>
        <v>288631555.96623367</v>
      </c>
      <c r="Y197" s="73">
        <f t="shared" si="40"/>
        <v>188044595.49319941</v>
      </c>
      <c r="Z197" s="73">
        <f t="shared" si="40"/>
        <v>179937348.99155763</v>
      </c>
      <c r="AA197" s="12">
        <f t="shared" si="41"/>
        <v>2.783992173414457</v>
      </c>
      <c r="AB197" s="115">
        <f t="shared" si="42"/>
        <v>-177653398.1416311</v>
      </c>
      <c r="AC197" s="73">
        <f>AB197/SUMIFS(FinParameters!$L$8:$L$39,FinParameters!$B$8:$B$39,Financials!$E197,FinParameters!$C$8:$C$39,Financials!$F197)</f>
        <v>-138782550.68938652</v>
      </c>
      <c r="AD197" s="73">
        <f t="shared" si="43"/>
        <v>-138782550.68938652</v>
      </c>
      <c r="AE197" s="12"/>
      <c r="AF197" s="73">
        <f t="shared" si="44"/>
        <v>110978157.82460257</v>
      </c>
      <c r="AG197" s="73">
        <f t="shared" si="45"/>
        <v>49262044.803812891</v>
      </c>
      <c r="AH197" s="73">
        <f t="shared" si="45"/>
        <v>41154798.302171111</v>
      </c>
      <c r="AI197" s="12">
        <f t="shared" si="46"/>
        <v>0.63674738465259162</v>
      </c>
      <c r="AL197" s="73">
        <f>Summary!G197</f>
        <v>17886255.53799111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-23743101.258855883</v>
      </c>
      <c r="AN197" s="20">
        <f>Summary!I197</f>
        <v>9914103.5010068305</v>
      </c>
      <c r="AP197" s="12">
        <v>1</v>
      </c>
    </row>
    <row r="198" spans="1:42" x14ac:dyDescent="0.3">
      <c r="A198">
        <v>194</v>
      </c>
      <c r="B198" t="str">
        <f>Summary!B198</f>
        <v>MarinusSnowyYallourn</v>
      </c>
      <c r="C198" t="str">
        <f>Summary!C198</f>
        <v>Wind</v>
      </c>
      <c r="D198" s="90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122334161.8185401</v>
      </c>
      <c r="H198" s="73">
        <f>SUMIFS(AM$5:AM198,$F$5:$F198,$F198,$D$5:$D198,$D198)</f>
        <v>-74009809.958151624</v>
      </c>
      <c r="I198" s="20">
        <f>SUMIFS(AN$5:AN198,$F$5:$F198,$F198,$D$5:$D198,$D198)</f>
        <v>70409601.111879483</v>
      </c>
      <c r="J198" s="73">
        <f t="shared" ref="J198:J260" si="48">I198</f>
        <v>70409601.111879483</v>
      </c>
      <c r="K198" s="73">
        <f t="shared" ref="K198:K260" si="49">SUM(G198,I198)</f>
        <v>192743762.93041956</v>
      </c>
      <c r="L198" s="73">
        <f t="shared" ref="L198:L260" si="50">SUM(G198:I198)</f>
        <v>118733952.97226796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60475519.53261216</v>
      </c>
      <c r="Q198" s="73">
        <f>P198/SUMIFS(FinParameters!$H$8:$H$39,FinParameters!$B$8:$B$39,Financials!$E198,FinParameters!$C$8:$C$39,Financials!$F198)</f>
        <v>21298539.325208109</v>
      </c>
      <c r="R198" s="73">
        <f t="shared" si="47"/>
        <v>-4157330.6276207045</v>
      </c>
      <c r="S198" s="12">
        <f t="shared" ref="S198:S260" si="52">-R198/SUM($N198,$O198)</f>
        <v>-6.4322254353848946E-2</v>
      </c>
      <c r="T198" s="115">
        <f t="shared" ref="T198:T260" si="53">G198</f>
        <v>122334161.8185401</v>
      </c>
      <c r="U198" s="73">
        <f>T198/SUMIFS(FinParameters!$L$8:$L$39,FinParameters!$B$8:$B$39,Financials!$E198,FinParameters!$C$8:$C$39,Financials!$F198)</f>
        <v>95567251.689100027</v>
      </c>
      <c r="V198" s="73">
        <f t="shared" ref="V198:V260" si="54">U198</f>
        <v>95567251.689100027</v>
      </c>
      <c r="W198" s="12"/>
      <c r="X198" s="73">
        <f t="shared" ref="X198:X260" si="55">SUM(K198,M198)</f>
        <v>182809681.35115224</v>
      </c>
      <c r="Y198" s="73">
        <f t="shared" ref="Y198:Z260" si="56">SUM(Q198,U198)</f>
        <v>116865791.01430814</v>
      </c>
      <c r="Z198" s="73">
        <f t="shared" si="56"/>
        <v>91409921.06147933</v>
      </c>
      <c r="AA198" s="12">
        <f t="shared" ref="AA198:AA260" si="57">-Z198/SUM($N198,$O198)</f>
        <v>1.4142950656649487</v>
      </c>
      <c r="AB198" s="115">
        <f t="shared" ref="AB198:AB260" si="58">H198*AP198</f>
        <v>-74009809.958151624</v>
      </c>
      <c r="AC198" s="73">
        <f>AB198/SUMIFS(FinParameters!$L$8:$L$39,FinParameters!$B$8:$B$39,Financials!$E198,FinParameters!$C$8:$C$39,Financials!$F198)</f>
        <v>-57816345.251332872</v>
      </c>
      <c r="AD198" s="73">
        <f t="shared" ref="AD198:AD260" si="59">AC198</f>
        <v>-57816345.251332872</v>
      </c>
      <c r="AE198" s="12"/>
      <c r="AF198" s="73">
        <f t="shared" ref="AF198:AF260" si="60">X198+AB198</f>
        <v>108799871.39300062</v>
      </c>
      <c r="AG198" s="73">
        <f t="shared" ref="AG198:AH260" si="61">Y198+AC198</f>
        <v>59049445.762975268</v>
      </c>
      <c r="AH198" s="73">
        <f t="shared" si="61"/>
        <v>33593575.810146458</v>
      </c>
      <c r="AI198" s="12">
        <f t="shared" ref="AI198:AI260" si="62">-AH198/SUM($N198,$O198)</f>
        <v>0.51976008681133223</v>
      </c>
      <c r="AL198" s="73">
        <f>Summary!G198</f>
        <v>9515582.5627922751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-9973994.7347921915</v>
      </c>
      <c r="AN198" s="20">
        <f>Summary!I198</f>
        <v>7443778.3621890154</v>
      </c>
      <c r="AP198" s="12">
        <v>1</v>
      </c>
    </row>
    <row r="199" spans="1:42" x14ac:dyDescent="0.3">
      <c r="A199">
        <v>195</v>
      </c>
      <c r="B199" t="str">
        <f>Summary!B199</f>
        <v>MarinusSnowyYallourn</v>
      </c>
      <c r="C199" t="str">
        <f>Summary!C199</f>
        <v>Wind</v>
      </c>
      <c r="D199" s="90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72693000.989756972</v>
      </c>
      <c r="H199" s="73">
        <f>SUMIFS(AM$5:AM199,$F$5:$F199,$F199,$D$5:$D199,$D199)</f>
        <v>-30191155.395888217</v>
      </c>
      <c r="I199" s="20">
        <f>SUMIFS(AN$5:AN199,$F$5:$F199,$F199,$D$5:$D199,$D199)</f>
        <v>58685233.56276308</v>
      </c>
      <c r="J199" s="73">
        <f t="shared" si="48"/>
        <v>58685233.56276308</v>
      </c>
      <c r="K199" s="73">
        <f t="shared" si="49"/>
        <v>131378234.55252005</v>
      </c>
      <c r="L199" s="73">
        <f t="shared" si="50"/>
        <v>101187079.15663183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48751151.983495757</v>
      </c>
      <c r="Q199" s="73">
        <f>P199/SUMIFS(FinParameters!$H$8:$H$39,FinParameters!$B$8:$B$39,Financials!$E199,FinParameters!$C$8:$C$39,Financials!$F199)</f>
        <v>17169399.050962273</v>
      </c>
      <c r="R199" s="73">
        <f t="shared" ref="R199:R260" si="63">SUM(P199,N199:O199)</f>
        <v>-15881698.176737107</v>
      </c>
      <c r="S199" s="12">
        <f t="shared" si="52"/>
        <v>-0.24572176745052099</v>
      </c>
      <c r="T199" s="115">
        <f t="shared" si="53"/>
        <v>72693000.989756972</v>
      </c>
      <c r="U199" s="73">
        <f>T199/SUMIFS(FinParameters!$L$8:$L$39,FinParameters!$B$8:$B$39,Financials!$E199,FinParameters!$C$8:$C$39,Financials!$F199)</f>
        <v>56787656.189844862</v>
      </c>
      <c r="V199" s="73">
        <f t="shared" si="54"/>
        <v>56787656.189844862</v>
      </c>
      <c r="W199" s="12"/>
      <c r="X199" s="73">
        <f t="shared" si="55"/>
        <v>121444152.97325273</v>
      </c>
      <c r="Y199" s="73">
        <f t="shared" si="56"/>
        <v>73957055.240807131</v>
      </c>
      <c r="Z199" s="73">
        <f t="shared" si="56"/>
        <v>40905958.013107754</v>
      </c>
      <c r="AA199" s="12">
        <f t="shared" si="57"/>
        <v>0.63289732561223588</v>
      </c>
      <c r="AB199" s="115">
        <f t="shared" si="58"/>
        <v>-30191155.395888217</v>
      </c>
      <c r="AC199" s="73">
        <f>AB199/SUMIFS(FinParameters!$L$8:$L$39,FinParameters!$B$8:$B$39,Financials!$E199,FinParameters!$C$8:$C$39,Financials!$F199)</f>
        <v>-23585282.341520943</v>
      </c>
      <c r="AD199" s="73">
        <f t="shared" si="59"/>
        <v>-23585282.341520943</v>
      </c>
      <c r="AE199" s="12"/>
      <c r="AF199" s="73">
        <f t="shared" si="60"/>
        <v>91252997.577364504</v>
      </c>
      <c r="AG199" s="73">
        <f t="shared" si="61"/>
        <v>50371772.899286188</v>
      </c>
      <c r="AH199" s="73">
        <f t="shared" si="61"/>
        <v>17320675.671586812</v>
      </c>
      <c r="AI199" s="12">
        <f t="shared" si="62"/>
        <v>0.26798563932499814</v>
      </c>
      <c r="AL199" s="73">
        <f>Summary!G199</f>
        <v>4081392.8966298793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-4159375.4052765872</v>
      </c>
      <c r="AN199" s="20">
        <f>Summary!I199</f>
        <v>6351675.534211833</v>
      </c>
      <c r="AP199" s="12">
        <v>1</v>
      </c>
    </row>
    <row r="200" spans="1:42" x14ac:dyDescent="0.3">
      <c r="A200">
        <v>196</v>
      </c>
      <c r="B200" t="str">
        <f>Summary!B200</f>
        <v>MarinusSnowyYallourn</v>
      </c>
      <c r="C200" t="str">
        <f>Summary!C200</f>
        <v>Wind</v>
      </c>
      <c r="D200" s="90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38525867.797614478</v>
      </c>
      <c r="H200" s="73">
        <f>SUMIFS(AM$5:AM200,$F$5:$F200,$F200,$D$5:$D200,$D200)</f>
        <v>-154556.18545330944</v>
      </c>
      <c r="I200" s="20">
        <f>SUMIFS(AN$5:AN200,$F$5:$F200,$F200,$D$5:$D200,$D200)</f>
        <v>50700936.007109411</v>
      </c>
      <c r="J200" s="73">
        <f t="shared" si="48"/>
        <v>50700936.007109411</v>
      </c>
      <c r="K200" s="73">
        <f t="shared" si="49"/>
        <v>89226803.804723889</v>
      </c>
      <c r="L200" s="73">
        <f t="shared" si="50"/>
        <v>89072247.619270578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40766854.427842088</v>
      </c>
      <c r="Q200" s="73">
        <f>P200/SUMIFS(FinParameters!$H$8:$H$39,FinParameters!$B$8:$B$39,Financials!$E200,FinParameters!$C$8:$C$39,Financials!$F200)</f>
        <v>14357453.377944136</v>
      </c>
      <c r="R200" s="73">
        <f t="shared" si="63"/>
        <v>-23865995.732390776</v>
      </c>
      <c r="S200" s="12">
        <f t="shared" si="52"/>
        <v>-0.36925488622618385</v>
      </c>
      <c r="T200" s="115">
        <f t="shared" si="53"/>
        <v>38525867.797614478</v>
      </c>
      <c r="U200" s="73">
        <f>T200/SUMIFS(FinParameters!$L$8:$L$39,FinParameters!$B$8:$B$39,Financials!$E200,FinParameters!$C$8:$C$39,Financials!$F200)</f>
        <v>30096346.348593097</v>
      </c>
      <c r="V200" s="73">
        <f t="shared" si="54"/>
        <v>30096346.348593097</v>
      </c>
      <c r="W200" s="12"/>
      <c r="X200" s="73">
        <f t="shared" si="55"/>
        <v>79292722.225456566</v>
      </c>
      <c r="Y200" s="73">
        <f t="shared" si="56"/>
        <v>44453799.726537235</v>
      </c>
      <c r="Z200" s="73">
        <f t="shared" si="56"/>
        <v>6230350.6162023209</v>
      </c>
      <c r="AA200" s="12">
        <f t="shared" si="57"/>
        <v>9.6396037011465652E-2</v>
      </c>
      <c r="AB200" s="115">
        <f t="shared" si="58"/>
        <v>-154556.18545330944</v>
      </c>
      <c r="AC200" s="73">
        <f>AB200/SUMIFS(FinParameters!$L$8:$L$39,FinParameters!$B$8:$B$39,Financials!$E200,FinParameters!$C$8:$C$39,Financials!$F200)</f>
        <v>-120739.04505295045</v>
      </c>
      <c r="AD200" s="73">
        <f t="shared" si="59"/>
        <v>-120739.04505295045</v>
      </c>
      <c r="AE200" s="12"/>
      <c r="AF200" s="73">
        <f t="shared" si="60"/>
        <v>79138166.040003255</v>
      </c>
      <c r="AG200" s="73">
        <f t="shared" si="61"/>
        <v>44333060.681484282</v>
      </c>
      <c r="AH200" s="73">
        <f t="shared" si="61"/>
        <v>6109611.5711493706</v>
      </c>
      <c r="AI200" s="12">
        <f t="shared" si="62"/>
        <v>9.4527961493310053E-2</v>
      </c>
      <c r="AL200" s="73">
        <f>Summary!G200</f>
        <v>815233.20998466131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-94705.572252794387</v>
      </c>
      <c r="AN200" s="20">
        <f>Summary!I200</f>
        <v>5569058.5138342036</v>
      </c>
      <c r="AP200" s="12">
        <v>1</v>
      </c>
    </row>
    <row r="201" spans="1:42" x14ac:dyDescent="0.3">
      <c r="A201">
        <v>197</v>
      </c>
      <c r="B201" t="str">
        <f>Summary!B201</f>
        <v>MarinusSnowyYallourn</v>
      </c>
      <c r="C201" t="str">
        <f>Summary!C201</f>
        <v>Wind</v>
      </c>
      <c r="D201" s="90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14040879.899750214</v>
      </c>
      <c r="H201" s="73">
        <f>SUMIFS(AM$5:AM201,$F$5:$F201,$F201,$D$5:$D201,$D201)</f>
        <v>28087304.892557606</v>
      </c>
      <c r="I201" s="20">
        <f>SUMIFS(AN$5:AN201,$F$5:$F201,$F201,$D$5:$D201,$D201)</f>
        <v>43031841.586939633</v>
      </c>
      <c r="J201" s="73">
        <f t="shared" si="48"/>
        <v>43031841.586939633</v>
      </c>
      <c r="K201" s="73">
        <f t="shared" si="49"/>
        <v>57072721.486689851</v>
      </c>
      <c r="L201" s="73">
        <f t="shared" si="50"/>
        <v>85160026.379247457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33097760.00767231</v>
      </c>
      <c r="Q201" s="73">
        <f>P201/SUMIFS(FinParameters!$H$8:$H$39,FinParameters!$B$8:$B$39,Financials!$E201,FinParameters!$C$8:$C$39,Financials!$F201)</f>
        <v>11656517.356904469</v>
      </c>
      <c r="R201" s="73">
        <f t="shared" si="63"/>
        <v>-31535090.152560554</v>
      </c>
      <c r="S201" s="12">
        <f t="shared" si="52"/>
        <v>-0.4879111794448357</v>
      </c>
      <c r="T201" s="115">
        <f t="shared" si="53"/>
        <v>14040879.899750214</v>
      </c>
      <c r="U201" s="73">
        <f>T201/SUMIFS(FinParameters!$L$8:$L$39,FinParameters!$B$8:$B$39,Financials!$E201,FinParameters!$C$8:$C$39,Financials!$F201)</f>
        <v>10968712.936507758</v>
      </c>
      <c r="V201" s="73">
        <f t="shared" si="54"/>
        <v>10968712.936507758</v>
      </c>
      <c r="W201" s="12"/>
      <c r="X201" s="73">
        <f t="shared" si="55"/>
        <v>47138639.907422528</v>
      </c>
      <c r="Y201" s="73">
        <f t="shared" si="56"/>
        <v>22625230.293412227</v>
      </c>
      <c r="Z201" s="73">
        <f t="shared" si="56"/>
        <v>-20566377.216052797</v>
      </c>
      <c r="AA201" s="12">
        <f t="shared" si="57"/>
        <v>-0.31820316085498618</v>
      </c>
      <c r="AB201" s="115">
        <f t="shared" si="58"/>
        <v>28087304.892557606</v>
      </c>
      <c r="AC201" s="73">
        <f>AB201/SUMIFS(FinParameters!$L$8:$L$39,FinParameters!$B$8:$B$39,Financials!$E201,FinParameters!$C$8:$C$39,Financials!$F201)</f>
        <v>21941757.690849204</v>
      </c>
      <c r="AD201" s="73">
        <f t="shared" si="59"/>
        <v>21941757.690849204</v>
      </c>
      <c r="AE201" s="12"/>
      <c r="AF201" s="73">
        <f t="shared" si="60"/>
        <v>75225944.799980134</v>
      </c>
      <c r="AG201" s="73">
        <f t="shared" si="61"/>
        <v>44566987.984261431</v>
      </c>
      <c r="AH201" s="73">
        <f t="shared" si="61"/>
        <v>1375380.4747964069</v>
      </c>
      <c r="AI201" s="12">
        <f t="shared" si="62"/>
        <v>2.1279898246583089E-2</v>
      </c>
      <c r="AL201" s="73">
        <f>Summary!G201</f>
        <v>-1869742.4435727561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3697207.7828864548</v>
      </c>
      <c r="AN201" s="20">
        <f>Summary!I201</f>
        <v>4822113.9295829423</v>
      </c>
      <c r="AP201" s="12">
        <v>1</v>
      </c>
    </row>
    <row r="202" spans="1:42" x14ac:dyDescent="0.3">
      <c r="A202">
        <v>198</v>
      </c>
      <c r="B202" t="str">
        <f>Summary!B202</f>
        <v>MarinusSnowyYallourn</v>
      </c>
      <c r="C202" t="str">
        <f>Summary!C202</f>
        <v>Wind</v>
      </c>
      <c r="D202" s="90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-13827975.791887652</v>
      </c>
      <c r="H202" s="73">
        <f>SUMIFS(AM$5:AM202,$F$5:$F202,$F202,$D$5:$D202,$D202)</f>
        <v>65762819.467996597</v>
      </c>
      <c r="I202" s="20">
        <f>SUMIFS(AN$5:AN202,$F$5:$F202,$F202,$D$5:$D202,$D202)</f>
        <v>33602610.265835248</v>
      </c>
      <c r="J202" s="73">
        <f t="shared" si="48"/>
        <v>33602610.265835248</v>
      </c>
      <c r="K202" s="73">
        <f t="shared" si="49"/>
        <v>19774634.473947596</v>
      </c>
      <c r="L202" s="73">
        <f t="shared" si="50"/>
        <v>85537453.941944182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23668528.686567925</v>
      </c>
      <c r="Q202" s="73">
        <f>P202/SUMIFS(FinParameters!$H$8:$H$39,FinParameters!$B$8:$B$39,Financials!$E202,FinParameters!$C$8:$C$39,Financials!$F202)</f>
        <v>8335688.4388374435</v>
      </c>
      <c r="R202" s="73">
        <f t="shared" si="63"/>
        <v>-40964321.473664939</v>
      </c>
      <c r="S202" s="12">
        <f t="shared" si="52"/>
        <v>-0.63380032556369237</v>
      </c>
      <c r="T202" s="115">
        <f t="shared" si="53"/>
        <v>-13827975.791887652</v>
      </c>
      <c r="U202" s="73">
        <f>T202/SUMIFS(FinParameters!$L$8:$L$39,FinParameters!$B$8:$B$39,Financials!$E202,FinParameters!$C$8:$C$39,Financials!$F202)</f>
        <v>-10802392.587724682</v>
      </c>
      <c r="V202" s="73">
        <f t="shared" si="54"/>
        <v>-10802392.587724682</v>
      </c>
      <c r="W202" s="12"/>
      <c r="X202" s="73">
        <f t="shared" si="55"/>
        <v>9840552.8946802709</v>
      </c>
      <c r="Y202" s="73">
        <f t="shared" si="56"/>
        <v>-2466704.1488872385</v>
      </c>
      <c r="Z202" s="73">
        <f t="shared" si="56"/>
        <v>-51766714.061389625</v>
      </c>
      <c r="AA202" s="12">
        <f t="shared" si="57"/>
        <v>-0.80093503432161062</v>
      </c>
      <c r="AB202" s="115">
        <f t="shared" si="58"/>
        <v>65762819.467996597</v>
      </c>
      <c r="AC202" s="73">
        <f>AB202/SUMIFS(FinParameters!$L$8:$L$39,FinParameters!$B$8:$B$39,Financials!$E202,FinParameters!$C$8:$C$39,Financials!$F202)</f>
        <v>51373809.461376488</v>
      </c>
      <c r="AD202" s="73">
        <f t="shared" si="59"/>
        <v>51373809.461376488</v>
      </c>
      <c r="AE202" s="12"/>
      <c r="AF202" s="73">
        <f t="shared" si="60"/>
        <v>75603372.362676874</v>
      </c>
      <c r="AG202" s="73">
        <f t="shared" si="61"/>
        <v>48907105.312489249</v>
      </c>
      <c r="AH202" s="73">
        <f t="shared" si="61"/>
        <v>-392904.60001313686</v>
      </c>
      <c r="AI202" s="12">
        <f t="shared" si="62"/>
        <v>-6.0790232681844844E-3</v>
      </c>
      <c r="AL202" s="73">
        <f>Summary!G202</f>
        <v>-5227854.3334779413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8463940.2541329153</v>
      </c>
      <c r="AN202" s="20">
        <f>Summary!I202</f>
        <v>3799984.2006349117</v>
      </c>
      <c r="AP202" s="12">
        <v>1</v>
      </c>
    </row>
    <row r="203" spans="1:42" x14ac:dyDescent="0.3">
      <c r="A203">
        <v>199</v>
      </c>
      <c r="B203" t="str">
        <f>Summary!B203</f>
        <v>MarinusSnowyYallourn</v>
      </c>
      <c r="C203" t="str">
        <f>Summary!C203</f>
        <v>Wind</v>
      </c>
      <c r="D203" s="90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-52663701.418741427</v>
      </c>
      <c r="H203" s="73">
        <f>SUMIFS(AM$5:AM203,$F$5:$F203,$F203,$D$5:$D203,$D203)</f>
        <v>141120959.33845013</v>
      </c>
      <c r="I203" s="20">
        <f>SUMIFS(AN$5:AN203,$F$5:$F203,$F203,$D$5:$D203,$D203)</f>
        <v>19081416.030564722</v>
      </c>
      <c r="J203" s="73">
        <f t="shared" si="48"/>
        <v>19081416.030564722</v>
      </c>
      <c r="K203" s="73">
        <f t="shared" si="49"/>
        <v>-33582285.388176709</v>
      </c>
      <c r="L203" s="73">
        <f t="shared" si="50"/>
        <v>107538673.95027342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9147334.4512973968</v>
      </c>
      <c r="Q203" s="73">
        <f>P203/SUMIFS(FinParameters!$H$8:$H$39,FinParameters!$B$8:$B$39,Financials!$E203,FinParameters!$C$8:$C$39,Financials!$F203)</f>
        <v>3221549.2159058987</v>
      </c>
      <c r="R203" s="73">
        <f t="shared" si="63"/>
        <v>-55485515.708935469</v>
      </c>
      <c r="S203" s="12">
        <f t="shared" si="52"/>
        <v>-0.8584723646161353</v>
      </c>
      <c r="T203" s="115">
        <f t="shared" si="53"/>
        <v>-52663701.418741427</v>
      </c>
      <c r="U203" s="73">
        <f>T203/SUMIFS(FinParameters!$L$8:$L$39,FinParameters!$B$8:$B$39,Financials!$E203,FinParameters!$C$8:$C$39,Financials!$F203)</f>
        <v>-41140799.377281725</v>
      </c>
      <c r="V203" s="73">
        <f t="shared" si="54"/>
        <v>-41140799.377281725</v>
      </c>
      <c r="W203" s="12"/>
      <c r="X203" s="73">
        <f t="shared" si="55"/>
        <v>-43516366.967444032</v>
      </c>
      <c r="Y203" s="73">
        <f t="shared" si="56"/>
        <v>-37919250.161375828</v>
      </c>
      <c r="Z203" s="73">
        <f t="shared" si="56"/>
        <v>-96626315.086217195</v>
      </c>
      <c r="AA203" s="12">
        <f t="shared" si="57"/>
        <v>-1.4950031577853762</v>
      </c>
      <c r="AB203" s="115">
        <f t="shared" si="58"/>
        <v>141120959.33845013</v>
      </c>
      <c r="AC203" s="73">
        <f>AB203/SUMIFS(FinParameters!$L$8:$L$39,FinParameters!$B$8:$B$39,Financials!$E203,FinParameters!$C$8:$C$39,Financials!$F203)</f>
        <v>110243467.88519861</v>
      </c>
      <c r="AD203" s="73">
        <f t="shared" si="59"/>
        <v>110243467.88519861</v>
      </c>
      <c r="AE203" s="12"/>
      <c r="AF203" s="73">
        <f t="shared" si="60"/>
        <v>97604592.371006101</v>
      </c>
      <c r="AG203" s="73">
        <f t="shared" si="61"/>
        <v>72324217.723822773</v>
      </c>
      <c r="AH203" s="73">
        <f t="shared" si="61"/>
        <v>13617152.798981413</v>
      </c>
      <c r="AI203" s="12">
        <f t="shared" si="62"/>
        <v>0.210684702364553</v>
      </c>
      <c r="AL203" s="73">
        <f>Summary!G203</f>
        <v>-8758339.8664946537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17769100.087836351</v>
      </c>
      <c r="AN203" s="20">
        <f>Summary!I203</f>
        <v>2411807.4817775534</v>
      </c>
      <c r="AP203" s="12">
        <v>1</v>
      </c>
    </row>
    <row r="204" spans="1:42" x14ac:dyDescent="0.3">
      <c r="A204">
        <v>200</v>
      </c>
      <c r="B204" t="str">
        <f>Summary!B204</f>
        <v>MarinusSnowyYallourn</v>
      </c>
      <c r="C204" t="str">
        <f>Summary!C204</f>
        <v>Wind</v>
      </c>
      <c r="D204" s="90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45062348.567347795</v>
      </c>
      <c r="H204" s="73">
        <f>SUMIFS(AM$5:AM204,$F$5:$F204,$F204,$D$5:$D204,$D204)</f>
        <v>-1681260.9320752483</v>
      </c>
      <c r="I204" s="20">
        <f>SUMIFS(AN$5:AN204,$F$5:$F204,$F204,$D$5:$D204,$D204)</f>
        <v>51165689.628989331</v>
      </c>
      <c r="J204" s="73">
        <f t="shared" si="48"/>
        <v>51165689.628989331</v>
      </c>
      <c r="K204" s="73">
        <f t="shared" si="49"/>
        <v>96228038.196337134</v>
      </c>
      <c r="L204" s="73">
        <f t="shared" si="50"/>
        <v>94546777.264261872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41231608.049722008</v>
      </c>
      <c r="Q204" s="73">
        <f>P204/SUMIFS(FinParameters!$H$8:$H$39,FinParameters!$B$8:$B$39,Financials!$E204,FinParameters!$C$8:$C$39,Financials!$F204)</f>
        <v>14521132.390024463</v>
      </c>
      <c r="R204" s="73">
        <f t="shared" si="63"/>
        <v>-23401242.110510856</v>
      </c>
      <c r="S204" s="12">
        <f t="shared" si="52"/>
        <v>-0.36206421428880625</v>
      </c>
      <c r="T204" s="115">
        <f t="shared" si="53"/>
        <v>45062348.567347795</v>
      </c>
      <c r="U204" s="73">
        <f>T204/SUMIFS(FinParameters!$L$8:$L$39,FinParameters!$B$8:$B$39,Financials!$E204,FinParameters!$C$8:$C$39,Financials!$F204)</f>
        <v>35202634.678819716</v>
      </c>
      <c r="V204" s="73">
        <f t="shared" si="54"/>
        <v>35202634.678819716</v>
      </c>
      <c r="W204" s="12"/>
      <c r="X204" s="73">
        <f t="shared" si="55"/>
        <v>86293956.617069811</v>
      </c>
      <c r="Y204" s="73">
        <f t="shared" si="56"/>
        <v>49723767.068844177</v>
      </c>
      <c r="Z204" s="73">
        <f t="shared" si="56"/>
        <v>11801392.56830886</v>
      </c>
      <c r="AA204" s="12">
        <f t="shared" si="57"/>
        <v>0.18259124483991873</v>
      </c>
      <c r="AB204" s="115">
        <f t="shared" si="58"/>
        <v>-1681260.9320752483</v>
      </c>
      <c r="AC204" s="73">
        <f>AB204/SUMIFS(FinParameters!$L$8:$L$39,FinParameters!$B$8:$B$39,Financials!$E204,FinParameters!$C$8:$C$39,Financials!$F204)</f>
        <v>-1313398.3530210906</v>
      </c>
      <c r="AD204" s="73">
        <f t="shared" si="59"/>
        <v>-1313398.3530210906</v>
      </c>
      <c r="AE204" s="12"/>
      <c r="AF204" s="73">
        <f t="shared" si="60"/>
        <v>84612695.684994563</v>
      </c>
      <c r="AG204" s="73">
        <f t="shared" si="61"/>
        <v>48410368.715823084</v>
      </c>
      <c r="AH204" s="73">
        <f t="shared" si="61"/>
        <v>10487994.215287769</v>
      </c>
      <c r="AI204" s="12">
        <f t="shared" si="62"/>
        <v>0.16227033450152251</v>
      </c>
      <c r="AL204" s="73">
        <f>Summary!G204</f>
        <v>1288291.0283111529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-312888.5310985113</v>
      </c>
      <c r="AN204" s="20">
        <f>Summary!I204</f>
        <v>5592650.9795327811</v>
      </c>
      <c r="AP204" s="12">
        <v>1</v>
      </c>
    </row>
    <row r="205" spans="1:42" x14ac:dyDescent="0.3">
      <c r="A205">
        <v>201</v>
      </c>
      <c r="B205" t="str">
        <f>Summary!B205</f>
        <v>MarinusSnowyYallourn</v>
      </c>
      <c r="C205" t="str">
        <f>Summary!C205</f>
        <v>Wind</v>
      </c>
      <c r="D205" s="90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222598832.92980954</v>
      </c>
      <c r="H205" s="73">
        <f>SUMIFS(AM$5:AM205,$F$5:$F205,$F205,$D$5:$D205,$D205)</f>
        <v>-205254304.29379737</v>
      </c>
      <c r="I205" s="20">
        <f>SUMIFS(AN$5:AN205,$F$5:$F205,$F205,$D$5:$D205,$D205)</f>
        <v>108993523.34416753</v>
      </c>
      <c r="J205" s="73">
        <f t="shared" si="48"/>
        <v>108993523.34416753</v>
      </c>
      <c r="K205" s="73">
        <f t="shared" si="49"/>
        <v>331592356.27397704</v>
      </c>
      <c r="L205" s="73">
        <f t="shared" si="50"/>
        <v>126338051.9801797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98022339.725418523</v>
      </c>
      <c r="Q205" s="73">
        <f>P205/SUMIFS(FinParameters!$H$8:$H$39,FinParameters!$B$8:$B$39,Financials!$E205,FinParameters!$C$8:$C$39,Financials!$F205)</f>
        <v>31100852.814820044</v>
      </c>
      <c r="R205" s="73">
        <f t="shared" si="63"/>
        <v>31845672.053653158</v>
      </c>
      <c r="S205" s="12">
        <f t="shared" si="52"/>
        <v>0.48122205565875431</v>
      </c>
      <c r="T205" s="115">
        <f t="shared" si="53"/>
        <v>222598832.92980954</v>
      </c>
      <c r="U205" s="73">
        <f>T205/SUMIFS(FinParameters!$L$8:$L$39,FinParameters!$B$8:$B$39,Financials!$E205,FinParameters!$C$8:$C$39,Financials!$F205)</f>
        <v>169652539.03490674</v>
      </c>
      <c r="V205" s="73">
        <f t="shared" si="54"/>
        <v>169652539.03490674</v>
      </c>
      <c r="W205" s="12"/>
      <c r="X205" s="73">
        <f t="shared" si="55"/>
        <v>320621172.65522802</v>
      </c>
      <c r="Y205" s="73">
        <f t="shared" si="56"/>
        <v>200753391.8497268</v>
      </c>
      <c r="Z205" s="73">
        <f t="shared" si="56"/>
        <v>201498211.0885599</v>
      </c>
      <c r="AA205" s="12">
        <f t="shared" si="57"/>
        <v>3.0448527884176042</v>
      </c>
      <c r="AB205" s="115">
        <f t="shared" si="58"/>
        <v>-205254304.29379737</v>
      </c>
      <c r="AC205" s="73">
        <f>AB205/SUMIFS(FinParameters!$L$8:$L$39,FinParameters!$B$8:$B$39,Financials!$E205,FinParameters!$C$8:$C$39,Financials!$F205)</f>
        <v>-156433497.03574693</v>
      </c>
      <c r="AD205" s="73">
        <f t="shared" si="59"/>
        <v>-156433497.03574693</v>
      </c>
      <c r="AE205" s="12"/>
      <c r="AF205" s="73">
        <f t="shared" si="60"/>
        <v>115366868.36143064</v>
      </c>
      <c r="AG205" s="73">
        <f t="shared" si="61"/>
        <v>44319894.813979864</v>
      </c>
      <c r="AH205" s="73">
        <f t="shared" si="61"/>
        <v>45064714.052812964</v>
      </c>
      <c r="AI205" s="12">
        <f t="shared" si="62"/>
        <v>0.68097587319344688</v>
      </c>
      <c r="AL205" s="73">
        <f>Summary!G205</f>
        <v>21222987.588811122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-27600906.15216627</v>
      </c>
      <c r="AN205" s="20">
        <f>Summary!I205</f>
        <v>11803731.139664926</v>
      </c>
      <c r="AP205" s="12">
        <v>1</v>
      </c>
    </row>
    <row r="206" spans="1:42" x14ac:dyDescent="0.3">
      <c r="A206">
        <v>202</v>
      </c>
      <c r="B206" t="str">
        <f>Summary!B206</f>
        <v>MarinusSnowyYallourn</v>
      </c>
      <c r="C206" t="str">
        <f>Summary!C206</f>
        <v>Wind</v>
      </c>
      <c r="D206" s="90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131969660.92109677</v>
      </c>
      <c r="H206" s="73">
        <f>SUMIFS(AM$5:AM206,$F$5:$F206,$F206,$D$5:$D206,$D206)</f>
        <v>-86627945.294822142</v>
      </c>
      <c r="I206" s="20">
        <f>SUMIFS(AN$5:AN206,$F$5:$F206,$F206,$D$5:$D206,$D206)</f>
        <v>79019040.417444155</v>
      </c>
      <c r="J206" s="73">
        <f t="shared" si="48"/>
        <v>79019040.417444155</v>
      </c>
      <c r="K206" s="73">
        <f t="shared" si="49"/>
        <v>210988701.33854091</v>
      </c>
      <c r="L206" s="73">
        <f t="shared" si="50"/>
        <v>124360756.04371879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68047856.798695147</v>
      </c>
      <c r="Q206" s="73">
        <f>P206/SUMIFS(FinParameters!$H$8:$H$39,FinParameters!$B$8:$B$39,Financials!$E206,FinParameters!$C$8:$C$39,Financials!$F206)</f>
        <v>21590449.530061278</v>
      </c>
      <c r="R206" s="73">
        <f t="shared" si="63"/>
        <v>1871189.1269297805</v>
      </c>
      <c r="S206" s="12">
        <f t="shared" si="52"/>
        <v>2.827566259774264E-2</v>
      </c>
      <c r="T206" s="115">
        <f t="shared" si="53"/>
        <v>131969660.92109677</v>
      </c>
      <c r="U206" s="73">
        <f>T206/SUMIFS(FinParameters!$L$8:$L$39,FinParameters!$B$8:$B$39,Financials!$E206,FinParameters!$C$8:$C$39,Financials!$F206)</f>
        <v>100579988.47594827</v>
      </c>
      <c r="V206" s="73">
        <f t="shared" si="54"/>
        <v>100579988.47594827</v>
      </c>
      <c r="W206" s="12"/>
      <c r="X206" s="73">
        <f t="shared" si="55"/>
        <v>200017517.71979189</v>
      </c>
      <c r="Y206" s="73">
        <f t="shared" si="56"/>
        <v>122170438.00600955</v>
      </c>
      <c r="Z206" s="73">
        <f t="shared" si="56"/>
        <v>102451177.60287805</v>
      </c>
      <c r="AA206" s="12">
        <f t="shared" si="57"/>
        <v>1.5481465176069813</v>
      </c>
      <c r="AB206" s="115">
        <f t="shared" si="58"/>
        <v>-86627945.294822142</v>
      </c>
      <c r="AC206" s="73">
        <f>AB206/SUMIFS(FinParameters!$L$8:$L$39,FinParameters!$B$8:$B$39,Financials!$E206,FinParameters!$C$8:$C$39,Financials!$F206)</f>
        <v>-66023036.496681757</v>
      </c>
      <c r="AD206" s="73">
        <f t="shared" si="59"/>
        <v>-66023036.496681757</v>
      </c>
      <c r="AE206" s="12"/>
      <c r="AF206" s="73">
        <f t="shared" si="60"/>
        <v>113389572.42496975</v>
      </c>
      <c r="AG206" s="73">
        <f t="shared" si="61"/>
        <v>56147401.509327792</v>
      </c>
      <c r="AH206" s="73">
        <f t="shared" si="61"/>
        <v>36428141.106196292</v>
      </c>
      <c r="AI206" s="12">
        <f t="shared" si="62"/>
        <v>0.55046804844993058</v>
      </c>
      <c r="AL206" s="73">
        <f>Summary!G206</f>
        <v>9635499.1025566719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-12618135.336670522</v>
      </c>
      <c r="AN206" s="20">
        <f>Summary!I206</f>
        <v>8609439.3055646736</v>
      </c>
      <c r="AP206" s="12">
        <v>1</v>
      </c>
    </row>
    <row r="207" spans="1:42" x14ac:dyDescent="0.3">
      <c r="A207">
        <v>203</v>
      </c>
      <c r="B207" t="str">
        <f>Summary!B207</f>
        <v>MarinusSnowyYallourn</v>
      </c>
      <c r="C207" t="str">
        <f>Summary!C207</f>
        <v>Wind</v>
      </c>
      <c r="D207" s="90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77297347.574542508</v>
      </c>
      <c r="H207" s="73">
        <f>SUMIFS(AM$5:AM207,$F$5:$F207,$F207,$D$5:$D207,$D207)</f>
        <v>-35156416.685577378</v>
      </c>
      <c r="I207" s="20">
        <f>SUMIFS(AN$5:AN207,$F$5:$F207,$F207,$D$5:$D207,$D207)</f>
        <v>66026058.694554538</v>
      </c>
      <c r="J207" s="73">
        <f t="shared" si="48"/>
        <v>66026058.694554538</v>
      </c>
      <c r="K207" s="73">
        <f t="shared" si="49"/>
        <v>143323406.26909703</v>
      </c>
      <c r="L207" s="73">
        <f t="shared" si="50"/>
        <v>108166989.58351967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55054875.07580553</v>
      </c>
      <c r="Q207" s="73">
        <f>P207/SUMIFS(FinParameters!$H$8:$H$39,FinParameters!$B$8:$B$39,Financials!$E207,FinParameters!$C$8:$C$39,Financials!$F207)</f>
        <v>17467993.227536902</v>
      </c>
      <c r="R207" s="73">
        <f t="shared" si="63"/>
        <v>-11121792.595959837</v>
      </c>
      <c r="S207" s="12">
        <f t="shared" si="52"/>
        <v>-0.16806214315782192</v>
      </c>
      <c r="T207" s="115">
        <f t="shared" si="53"/>
        <v>77297347.574542508</v>
      </c>
      <c r="U207" s="73">
        <f>T207/SUMIFS(FinParameters!$L$8:$L$39,FinParameters!$B$8:$B$39,Financials!$E207,FinParameters!$C$8:$C$39,Financials!$F207)</f>
        <v>58911770.129629888</v>
      </c>
      <c r="V207" s="73">
        <f t="shared" si="54"/>
        <v>58911770.129629888</v>
      </c>
      <c r="W207" s="12"/>
      <c r="X207" s="73">
        <f t="shared" si="55"/>
        <v>132352222.65034802</v>
      </c>
      <c r="Y207" s="73">
        <f t="shared" si="56"/>
        <v>76379763.357166797</v>
      </c>
      <c r="Z207" s="73">
        <f t="shared" si="56"/>
        <v>47789977.533670053</v>
      </c>
      <c r="AA207" s="12">
        <f t="shared" si="57"/>
        <v>0.72215750981459448</v>
      </c>
      <c r="AB207" s="115">
        <f t="shared" si="58"/>
        <v>-35156416.685577378</v>
      </c>
      <c r="AC207" s="73">
        <f>AB207/SUMIFS(FinParameters!$L$8:$L$39,FinParameters!$B$8:$B$39,Financials!$E207,FinParameters!$C$8:$C$39,Financials!$F207)</f>
        <v>-26794279.536757797</v>
      </c>
      <c r="AD207" s="73">
        <f t="shared" si="59"/>
        <v>-26794279.536757797</v>
      </c>
      <c r="AE207" s="12"/>
      <c r="AF207" s="73">
        <f t="shared" si="60"/>
        <v>97195805.964770645</v>
      </c>
      <c r="AG207" s="73">
        <f t="shared" si="61"/>
        <v>49585483.820409</v>
      </c>
      <c r="AH207" s="73">
        <f t="shared" si="61"/>
        <v>20995697.996912256</v>
      </c>
      <c r="AI207" s="12">
        <f t="shared" si="62"/>
        <v>0.3172673804164694</v>
      </c>
      <c r="AL207" s="73">
        <f>Summary!G207</f>
        <v>4604346.5847855303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-4965261.2896891618</v>
      </c>
      <c r="AN207" s="20">
        <f>Summary!I207</f>
        <v>7340825.1317914594</v>
      </c>
      <c r="AP207" s="12">
        <v>1</v>
      </c>
    </row>
    <row r="208" spans="1:42" x14ac:dyDescent="0.3">
      <c r="A208">
        <v>204</v>
      </c>
      <c r="B208" t="str">
        <f>Summary!B208</f>
        <v>MarinusSnowyYallourn</v>
      </c>
      <c r="C208" t="str">
        <f>Summary!C208</f>
        <v>Wind</v>
      </c>
      <c r="D208" s="90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39649248.478758372</v>
      </c>
      <c r="H208" s="73">
        <f>SUMIFS(AM$5:AM208,$F$5:$F208,$F208,$D$5:$D208,$D208)</f>
        <v>-179738.84458713888</v>
      </c>
      <c r="I208" s="20">
        <f>SUMIFS(AN$5:AN208,$F$5:$F208,$F208,$D$5:$D208,$D208)</f>
        <v>57097163.582201056</v>
      </c>
      <c r="J208" s="73">
        <f t="shared" si="48"/>
        <v>57097163.582201056</v>
      </c>
      <c r="K208" s="73">
        <f t="shared" si="49"/>
        <v>96746412.060959429</v>
      </c>
      <c r="L208" s="73">
        <f t="shared" si="50"/>
        <v>96566673.216372281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46125979.963452049</v>
      </c>
      <c r="Q208" s="73">
        <f>P208/SUMIFS(FinParameters!$H$8:$H$39,FinParameters!$B$8:$B$39,Financials!$E208,FinParameters!$C$8:$C$39,Financials!$F208)</f>
        <v>14635003.794044925</v>
      </c>
      <c r="R208" s="73">
        <f t="shared" si="63"/>
        <v>-20050687.708313316</v>
      </c>
      <c r="S208" s="12">
        <f t="shared" si="52"/>
        <v>-0.30298726747264204</v>
      </c>
      <c r="T208" s="115">
        <f t="shared" si="53"/>
        <v>39649248.478758372</v>
      </c>
      <c r="U208" s="73">
        <f>T208/SUMIFS(FinParameters!$L$8:$L$39,FinParameters!$B$8:$B$39,Financials!$E208,FinParameters!$C$8:$C$39,Financials!$F208)</f>
        <v>30218467.84510465</v>
      </c>
      <c r="V208" s="73">
        <f t="shared" si="54"/>
        <v>30218467.84510465</v>
      </c>
      <c r="W208" s="12"/>
      <c r="X208" s="73">
        <f t="shared" si="55"/>
        <v>85775228.442210421</v>
      </c>
      <c r="Y208" s="73">
        <f t="shared" si="56"/>
        <v>44853471.639149576</v>
      </c>
      <c r="Z208" s="73">
        <f t="shared" si="56"/>
        <v>10167780.136791334</v>
      </c>
      <c r="AA208" s="12">
        <f t="shared" si="57"/>
        <v>0.15364599781940172</v>
      </c>
      <c r="AB208" s="115">
        <f t="shared" si="58"/>
        <v>-179738.84458713888</v>
      </c>
      <c r="AC208" s="73">
        <f>AB208/SUMIFS(FinParameters!$L$8:$L$39,FinParameters!$B$8:$B$39,Financials!$E208,FinParameters!$C$8:$C$39,Financials!$F208)</f>
        <v>-136987.0225556115</v>
      </c>
      <c r="AD208" s="73">
        <f t="shared" si="59"/>
        <v>-136987.0225556115</v>
      </c>
      <c r="AE208" s="12"/>
      <c r="AF208" s="73">
        <f t="shared" si="60"/>
        <v>85595489.597623289</v>
      </c>
      <c r="AG208" s="73">
        <f t="shared" si="61"/>
        <v>44716484.616593964</v>
      </c>
      <c r="AH208" s="73">
        <f t="shared" si="61"/>
        <v>10030793.114235722</v>
      </c>
      <c r="AI208" s="12">
        <f t="shared" si="62"/>
        <v>0.15157597786561583</v>
      </c>
      <c r="AL208" s="73">
        <f>Summary!G208</f>
        <v>1123380.6811438939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-25182.659133829431</v>
      </c>
      <c r="AN208" s="20">
        <f>Summary!I208</f>
        <v>6396227.575091647</v>
      </c>
      <c r="AP208" s="12">
        <v>1</v>
      </c>
    </row>
    <row r="209" spans="1:42" x14ac:dyDescent="0.3">
      <c r="A209">
        <v>205</v>
      </c>
      <c r="B209" t="str">
        <f>Summary!B209</f>
        <v>MarinusSnowyYallourn</v>
      </c>
      <c r="C209" t="str">
        <f>Summary!C209</f>
        <v>Wind</v>
      </c>
      <c r="D209" s="90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12235952.51538557</v>
      </c>
      <c r="H209" s="73">
        <f>SUMIFS(AM$5:AM209,$F$5:$F209,$F209,$D$5:$D209,$D209)</f>
        <v>32712461.765753284</v>
      </c>
      <c r="I209" s="20">
        <f>SUMIFS(AN$5:AN209,$F$5:$F209,$F209,$D$5:$D209,$D209)</f>
        <v>48546177.659614757</v>
      </c>
      <c r="J209" s="73">
        <f t="shared" si="48"/>
        <v>48546177.659614757</v>
      </c>
      <c r="K209" s="73">
        <f t="shared" si="49"/>
        <v>60782130.175000325</v>
      </c>
      <c r="L209" s="73">
        <f t="shared" si="50"/>
        <v>93494591.940753609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37574994.040865749</v>
      </c>
      <c r="Q209" s="73">
        <f>P209/SUMIFS(FinParameters!$H$8:$H$39,FinParameters!$B$8:$B$39,Financials!$E209,FinParameters!$C$8:$C$39,Financials!$F209)</f>
        <v>11921918.640753157</v>
      </c>
      <c r="R209" s="73">
        <f t="shared" si="63"/>
        <v>-28601673.630899616</v>
      </c>
      <c r="S209" s="12">
        <f t="shared" si="52"/>
        <v>-0.43220178103804213</v>
      </c>
      <c r="T209" s="115">
        <f t="shared" si="53"/>
        <v>12235952.51538557</v>
      </c>
      <c r="U209" s="73">
        <f>T209/SUMIFS(FinParameters!$L$8:$L$39,FinParameters!$B$8:$B$39,Financials!$E209,FinParameters!$C$8:$C$39,Financials!$F209)</f>
        <v>9325567.3644986339</v>
      </c>
      <c r="V209" s="73">
        <f t="shared" si="54"/>
        <v>9325567.3644986339</v>
      </c>
      <c r="W209" s="12"/>
      <c r="X209" s="73">
        <f t="shared" si="55"/>
        <v>49810946.556251317</v>
      </c>
      <c r="Y209" s="73">
        <f t="shared" si="56"/>
        <v>21247486.005251791</v>
      </c>
      <c r="Z209" s="73">
        <f t="shared" si="56"/>
        <v>-19276106.266400982</v>
      </c>
      <c r="AA209" s="12">
        <f t="shared" si="57"/>
        <v>-0.29128251609781852</v>
      </c>
      <c r="AB209" s="115">
        <f t="shared" si="58"/>
        <v>32712461.765753284</v>
      </c>
      <c r="AC209" s="73">
        <f>AB209/SUMIFS(FinParameters!$L$8:$L$39,FinParameters!$B$8:$B$39,Financials!$E209,FinParameters!$C$8:$C$39,Financials!$F209)</f>
        <v>24931632.046751641</v>
      </c>
      <c r="AD209" s="73">
        <f t="shared" si="59"/>
        <v>24931632.046751641</v>
      </c>
      <c r="AE209" s="12"/>
      <c r="AF209" s="73">
        <f t="shared" si="60"/>
        <v>82523408.322004601</v>
      </c>
      <c r="AG209" s="73">
        <f t="shared" si="61"/>
        <v>46179118.052003428</v>
      </c>
      <c r="AH209" s="73">
        <f t="shared" si="61"/>
        <v>5655525.780350659</v>
      </c>
      <c r="AI209" s="12">
        <f t="shared" si="62"/>
        <v>8.5461023942787914E-2</v>
      </c>
      <c r="AL209" s="73">
        <f>Summary!G209</f>
        <v>-1804927.3843646443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4625156.8731956799</v>
      </c>
      <c r="AN209" s="20">
        <f>Summary!I209</f>
        <v>5514336.0726751238</v>
      </c>
      <c r="AP209" s="12">
        <v>1</v>
      </c>
    </row>
    <row r="210" spans="1:42" x14ac:dyDescent="0.3">
      <c r="A210">
        <v>206</v>
      </c>
      <c r="B210" t="str">
        <f>Summary!B210</f>
        <v>MarinusSnowyYallourn</v>
      </c>
      <c r="C210" t="str">
        <f>Summary!C210</f>
        <v>Wind</v>
      </c>
      <c r="D210" s="90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-18708094.907644577</v>
      </c>
      <c r="H210" s="73">
        <f>SUMIFS(AM$5:AM210,$F$5:$F210,$F210,$D$5:$D210,$D210)</f>
        <v>76430710.079100028</v>
      </c>
      <c r="I210" s="20">
        <f>SUMIFS(AN$5:AN210,$F$5:$F210,$F210,$D$5:$D210,$D210)</f>
        <v>38065000.402704634</v>
      </c>
      <c r="J210" s="73">
        <f t="shared" si="48"/>
        <v>38065000.402704634</v>
      </c>
      <c r="K210" s="73">
        <f t="shared" si="49"/>
        <v>19356905.495060056</v>
      </c>
      <c r="L210" s="73">
        <f t="shared" si="50"/>
        <v>95787615.574160084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27093816.783955626</v>
      </c>
      <c r="Q210" s="73">
        <f>P210/SUMIFS(FinParameters!$H$8:$H$39,FinParameters!$B$8:$B$39,Financials!$E210,FinParameters!$C$8:$C$39,Financials!$F210)</f>
        <v>8596415.9838453308</v>
      </c>
      <c r="R210" s="73">
        <f t="shared" si="63"/>
        <v>-39082850.887809739</v>
      </c>
      <c r="S210" s="12">
        <f t="shared" si="52"/>
        <v>-0.59058354345763842</v>
      </c>
      <c r="T210" s="115">
        <f t="shared" si="53"/>
        <v>-18708094.907644577</v>
      </c>
      <c r="U210" s="73">
        <f>T210/SUMIFS(FinParameters!$L$8:$L$39,FinParameters!$B$8:$B$39,Financials!$E210,FinParameters!$C$8:$C$39,Financials!$F210)</f>
        <v>-14258276.918229427</v>
      </c>
      <c r="V210" s="73">
        <f t="shared" si="54"/>
        <v>-14258276.918229427</v>
      </c>
      <c r="W210" s="12"/>
      <c r="X210" s="73">
        <f t="shared" si="55"/>
        <v>8385721.8763110489</v>
      </c>
      <c r="Y210" s="73">
        <f t="shared" si="56"/>
        <v>-5661860.9343840964</v>
      </c>
      <c r="Z210" s="73">
        <f t="shared" si="56"/>
        <v>-53341127.806039169</v>
      </c>
      <c r="AA210" s="12">
        <f t="shared" si="57"/>
        <v>-0.80604130855620959</v>
      </c>
      <c r="AB210" s="115">
        <f t="shared" si="58"/>
        <v>76430710.079100028</v>
      </c>
      <c r="AC210" s="73">
        <f>AB210/SUMIFS(FinParameters!$L$8:$L$39,FinParameters!$B$8:$B$39,Financials!$E210,FinParameters!$C$8:$C$39,Financials!$F210)</f>
        <v>58251266.884444274</v>
      </c>
      <c r="AD210" s="73">
        <f t="shared" si="59"/>
        <v>58251266.884444274</v>
      </c>
      <c r="AE210" s="12"/>
      <c r="AF210" s="73">
        <f t="shared" si="60"/>
        <v>84816431.955411077</v>
      </c>
      <c r="AG210" s="73">
        <f t="shared" si="61"/>
        <v>52589405.950060174</v>
      </c>
      <c r="AH210" s="73">
        <f t="shared" si="61"/>
        <v>4910139.0784051046</v>
      </c>
      <c r="AI210" s="12">
        <f t="shared" si="62"/>
        <v>7.4197436213610413E-2</v>
      </c>
      <c r="AL210" s="73">
        <f>Summary!G210</f>
        <v>-4880119.1157569261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10667890.611103425</v>
      </c>
      <c r="AN210" s="20">
        <f>Summary!I210</f>
        <v>4462390.1368693886</v>
      </c>
      <c r="AP210" s="12">
        <v>1</v>
      </c>
    </row>
    <row r="211" spans="1:42" x14ac:dyDescent="0.3">
      <c r="A211">
        <v>207</v>
      </c>
      <c r="B211" t="str">
        <f>Summary!B211</f>
        <v>MarinusSnowyYallourn</v>
      </c>
      <c r="C211" t="str">
        <f>Summary!C211</f>
        <v>Wind</v>
      </c>
      <c r="D211" s="90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-61594377.612973183</v>
      </c>
      <c r="H211" s="73">
        <f>SUMIFS(AM$5:AM211,$F$5:$F211,$F211,$D$5:$D211,$D211)</f>
        <v>163615411.75498337</v>
      </c>
      <c r="I211" s="20">
        <f>SUMIFS(AN$5:AN211,$F$5:$F211,$F211,$D$5:$D211,$D211)</f>
        <v>22076096.3582718</v>
      </c>
      <c r="J211" s="73">
        <f t="shared" si="48"/>
        <v>22076096.3582718</v>
      </c>
      <c r="K211" s="73">
        <f t="shared" si="49"/>
        <v>-39518281.254701383</v>
      </c>
      <c r="L211" s="73">
        <f t="shared" si="50"/>
        <v>124097130.50028199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11104912.739522792</v>
      </c>
      <c r="Q211" s="73">
        <f>P211/SUMIFS(FinParameters!$H$8:$H$39,FinParameters!$B$8:$B$39,Financials!$E211,FinParameters!$C$8:$C$39,Financials!$F211)</f>
        <v>3523403.5180223174</v>
      </c>
      <c r="R211" s="73">
        <f t="shared" si="63"/>
        <v>-55071754.932242572</v>
      </c>
      <c r="S211" s="12">
        <f t="shared" si="52"/>
        <v>-0.83219292946869305</v>
      </c>
      <c r="T211" s="115">
        <f t="shared" si="53"/>
        <v>-61594377.612973183</v>
      </c>
      <c r="U211" s="73">
        <f>T211/SUMIFS(FinParameters!$L$8:$L$39,FinParameters!$B$8:$B$39,Financials!$E211,FinParameters!$C$8:$C$39,Financials!$F211)</f>
        <v>-46943833.508824952</v>
      </c>
      <c r="V211" s="73">
        <f t="shared" si="54"/>
        <v>-46943833.508824952</v>
      </c>
      <c r="W211" s="12"/>
      <c r="X211" s="73">
        <f t="shared" si="55"/>
        <v>-50489464.873450391</v>
      </c>
      <c r="Y211" s="73">
        <f t="shared" si="56"/>
        <v>-43420429.990802631</v>
      </c>
      <c r="Z211" s="73">
        <f t="shared" si="56"/>
        <v>-102015588.44106752</v>
      </c>
      <c r="AA211" s="12">
        <f t="shared" si="57"/>
        <v>-1.5415643009869024</v>
      </c>
      <c r="AB211" s="115">
        <f t="shared" si="58"/>
        <v>163615411.75498337</v>
      </c>
      <c r="AC211" s="73">
        <f>AB211/SUMIFS(FinParameters!$L$8:$L$39,FinParameters!$B$8:$B$39,Financials!$E211,FinParameters!$C$8:$C$39,Financials!$F211)</f>
        <v>124698632.35189247</v>
      </c>
      <c r="AD211" s="73">
        <f t="shared" si="59"/>
        <v>124698632.35189247</v>
      </c>
      <c r="AE211" s="12"/>
      <c r="AF211" s="73">
        <f t="shared" si="60"/>
        <v>113125946.88153297</v>
      </c>
      <c r="AG211" s="73">
        <f t="shared" si="61"/>
        <v>81278202.361089841</v>
      </c>
      <c r="AH211" s="73">
        <f t="shared" si="61"/>
        <v>22683043.910824955</v>
      </c>
      <c r="AI211" s="12">
        <f t="shared" si="62"/>
        <v>0.34276497606879047</v>
      </c>
      <c r="AL211" s="73">
        <f>Summary!G211</f>
        <v>-8930676.1942317523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22494452.416533232</v>
      </c>
      <c r="AN211" s="20">
        <f>Summary!I211</f>
        <v>2994680.3277070802</v>
      </c>
      <c r="AP211" s="12">
        <v>1</v>
      </c>
    </row>
    <row r="212" spans="1:42" x14ac:dyDescent="0.3">
      <c r="A212">
        <v>208</v>
      </c>
      <c r="B212" t="str">
        <f>Summary!B212</f>
        <v>MarinusSnowyYallourn</v>
      </c>
      <c r="C212" t="str">
        <f>Summary!C212</f>
        <v>Wind</v>
      </c>
      <c r="D212" s="90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46656332.41172415</v>
      </c>
      <c r="H212" s="73">
        <f>SUMIFS(AM$5:AM212,$F$5:$F212,$F212,$D$5:$D212,$D212)</f>
        <v>-2023429.2533189668</v>
      </c>
      <c r="I212" s="20">
        <f>SUMIFS(AN$5:AN212,$F$5:$F212,$F212,$D$5:$D212,$D212)</f>
        <v>57615758.155726776</v>
      </c>
      <c r="J212" s="73">
        <f t="shared" si="48"/>
        <v>57615758.155726776</v>
      </c>
      <c r="K212" s="73">
        <f t="shared" si="49"/>
        <v>104272090.56745093</v>
      </c>
      <c r="L212" s="73">
        <f t="shared" si="50"/>
        <v>102248661.31413196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46644574.536977768</v>
      </c>
      <c r="Q212" s="73">
        <f>P212/SUMIFS(FinParameters!$H$8:$H$39,FinParameters!$B$8:$B$39,Financials!$E212,FinParameters!$C$8:$C$39,Financials!$F212)</f>
        <v>14799545.199065125</v>
      </c>
      <c r="R212" s="73">
        <f t="shared" si="63"/>
        <v>-19532093.134787597</v>
      </c>
      <c r="S212" s="12">
        <f t="shared" si="52"/>
        <v>-0.29515075058880713</v>
      </c>
      <c r="T212" s="115">
        <f t="shared" si="53"/>
        <v>46656332.41172415</v>
      </c>
      <c r="U212" s="73">
        <f>T212/SUMIFS(FinParameters!$L$8:$L$39,FinParameters!$B$8:$B$39,Financials!$E212,FinParameters!$C$8:$C$39,Financials!$F212)</f>
        <v>35558880.302851863</v>
      </c>
      <c r="V212" s="73">
        <f t="shared" si="54"/>
        <v>35558880.302851863</v>
      </c>
      <c r="W212" s="12"/>
      <c r="X212" s="73">
        <f t="shared" si="55"/>
        <v>93300906.948701918</v>
      </c>
      <c r="Y212" s="73">
        <f t="shared" si="56"/>
        <v>50358425.50191699</v>
      </c>
      <c r="Z212" s="73">
        <f t="shared" si="56"/>
        <v>16026787.168064266</v>
      </c>
      <c r="AA212" s="12">
        <f t="shared" si="57"/>
        <v>0.24218184039662943</v>
      </c>
      <c r="AB212" s="115">
        <f t="shared" si="58"/>
        <v>-2023429.2533189668</v>
      </c>
      <c r="AC212" s="73">
        <f>AB212/SUMIFS(FinParameters!$L$8:$L$39,FinParameters!$B$8:$B$39,Financials!$E212,FinParameters!$C$8:$C$39,Financials!$F212)</f>
        <v>-1542146.0475101061</v>
      </c>
      <c r="AD212" s="73">
        <f t="shared" si="59"/>
        <v>-1542146.0475101061</v>
      </c>
      <c r="AE212" s="12"/>
      <c r="AF212" s="73">
        <f t="shared" si="60"/>
        <v>91277477.695382953</v>
      </c>
      <c r="AG212" s="73">
        <f t="shared" si="61"/>
        <v>48816279.454406887</v>
      </c>
      <c r="AH212" s="73">
        <f t="shared" si="61"/>
        <v>14484641.12055416</v>
      </c>
      <c r="AI212" s="12">
        <f t="shared" si="62"/>
        <v>0.21887836952440129</v>
      </c>
      <c r="AL212" s="73">
        <f>Summary!G212</f>
        <v>1593983.8443763542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-342168.32124371844</v>
      </c>
      <c r="AN212" s="20">
        <f>Summary!I212</f>
        <v>6450068.5267374404</v>
      </c>
      <c r="AP212" s="12">
        <v>1</v>
      </c>
    </row>
    <row r="213" spans="1:42" x14ac:dyDescent="0.3">
      <c r="A213">
        <v>209</v>
      </c>
      <c r="B213" t="str">
        <f>Summary!B213</f>
        <v>MarinusSnowyYallourn</v>
      </c>
      <c r="C213" t="str">
        <f>Summary!C213</f>
        <v>Wind</v>
      </c>
      <c r="D213" s="90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238184810.38572177</v>
      </c>
      <c r="H213" s="73">
        <f>SUMIFS(AM$5:AM213,$F$5:$F213,$F213,$D$5:$D213,$D213)</f>
        <v>-235469249.33143392</v>
      </c>
      <c r="I213" s="20">
        <f>SUMIFS(AN$5:AN213,$F$5:$F213,$F213,$D$5:$D213,$D213)</f>
        <v>119613880.16235401</v>
      </c>
      <c r="J213" s="73">
        <f t="shared" si="48"/>
        <v>119613880.16235401</v>
      </c>
      <c r="K213" s="73">
        <f t="shared" si="49"/>
        <v>357798690.5480758</v>
      </c>
      <c r="L213" s="73">
        <f t="shared" si="50"/>
        <v>122329441.21664186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107579666.95313628</v>
      </c>
      <c r="Q213" s="73">
        <f>P213/SUMIFS(FinParameters!$H$8:$H$39,FinParameters!$B$8:$B$39,Financials!$E213,FinParameters!$C$8:$C$39,Financials!$F213)</f>
        <v>30750660.605974391</v>
      </c>
      <c r="R213" s="73">
        <f t="shared" si="63"/>
        <v>40143670.540946119</v>
      </c>
      <c r="S213" s="12">
        <f t="shared" si="52"/>
        <v>0.59528549553231624</v>
      </c>
      <c r="T213" s="115">
        <f t="shared" si="53"/>
        <v>238184810.38572177</v>
      </c>
      <c r="U213" s="73">
        <f>T213/SUMIFS(FinParameters!$L$8:$L$39,FinParameters!$B$8:$B$39,Financials!$E213,FinParameters!$C$8:$C$39,Financials!$F213)</f>
        <v>177103717.49070439</v>
      </c>
      <c r="V213" s="73">
        <f t="shared" si="54"/>
        <v>177103717.49070439</v>
      </c>
      <c r="W213" s="12"/>
      <c r="X213" s="73">
        <f t="shared" si="55"/>
        <v>345764477.33885807</v>
      </c>
      <c r="Y213" s="73">
        <f t="shared" si="56"/>
        <v>207854378.09667879</v>
      </c>
      <c r="Z213" s="73">
        <f t="shared" si="56"/>
        <v>217247388.03165051</v>
      </c>
      <c r="AA213" s="12">
        <f t="shared" si="57"/>
        <v>3.2215344858814827</v>
      </c>
      <c r="AB213" s="115">
        <f t="shared" si="58"/>
        <v>-235469249.33143392</v>
      </c>
      <c r="AC213" s="73">
        <f>AB213/SUMIFS(FinParameters!$L$8:$L$39,FinParameters!$B$8:$B$39,Financials!$E213,FinParameters!$C$8:$C$39,Financials!$F213)</f>
        <v>-175084546.08758882</v>
      </c>
      <c r="AD213" s="73">
        <f t="shared" si="59"/>
        <v>-175084546.08758882</v>
      </c>
      <c r="AE213" s="12"/>
      <c r="AF213" s="73">
        <f t="shared" si="60"/>
        <v>110295228.00742415</v>
      </c>
      <c r="AG213" s="73">
        <f t="shared" si="61"/>
        <v>32769832.009089977</v>
      </c>
      <c r="AH213" s="73">
        <f t="shared" si="61"/>
        <v>42162841.944061697</v>
      </c>
      <c r="AI213" s="12">
        <f t="shared" si="62"/>
        <v>0.6252275370315441</v>
      </c>
      <c r="AL213" s="73">
        <f>Summary!G213</f>
        <v>15585977.455912219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-30214945.037636556</v>
      </c>
      <c r="AN213" s="20">
        <f>Summary!I213</f>
        <v>10620356.818186473</v>
      </c>
      <c r="AP213" s="12">
        <v>1</v>
      </c>
    </row>
    <row r="214" spans="1:42" x14ac:dyDescent="0.3">
      <c r="A214">
        <v>210</v>
      </c>
      <c r="B214" t="str">
        <f>Summary!B214</f>
        <v>MarinusSnowyYallourn</v>
      </c>
      <c r="C214" t="str">
        <f>Summary!C214</f>
        <v>Wind</v>
      </c>
      <c r="D214" s="90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138206406.08021134</v>
      </c>
      <c r="H214" s="73">
        <f>SUMIFS(AM$5:AM214,$F$5:$F214,$F214,$D$5:$D214,$D214)</f>
        <v>-98508214.752740681</v>
      </c>
      <c r="I214" s="20">
        <f>SUMIFS(AN$5:AN214,$F$5:$F214,$F214,$D$5:$D214,$D214)</f>
        <v>86949382.313972101</v>
      </c>
      <c r="J214" s="73">
        <f t="shared" si="48"/>
        <v>86949382.313972101</v>
      </c>
      <c r="K214" s="73">
        <f t="shared" si="49"/>
        <v>225155788.39418346</v>
      </c>
      <c r="L214" s="73">
        <f t="shared" si="50"/>
        <v>126647573.64144276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74915169.104754373</v>
      </c>
      <c r="Q214" s="73">
        <f>P214/SUMIFS(FinParameters!$H$8:$H$39,FinParameters!$B$8:$B$39,Financials!$E214,FinParameters!$C$8:$C$39,Financials!$F214)</f>
        <v>21413813.638064254</v>
      </c>
      <c r="R214" s="73">
        <f t="shared" si="63"/>
        <v>7479172.6925642136</v>
      </c>
      <c r="S214" s="12">
        <f t="shared" si="52"/>
        <v>0.11090772125393007</v>
      </c>
      <c r="T214" s="115">
        <f t="shared" si="53"/>
        <v>138206406.08021134</v>
      </c>
      <c r="U214" s="73">
        <f>T214/SUMIFS(FinParameters!$L$8:$L$39,FinParameters!$B$8:$B$39,Financials!$E214,FinParameters!$C$8:$C$39,Financials!$F214)</f>
        <v>102764186.59190287</v>
      </c>
      <c r="V214" s="73">
        <f t="shared" si="54"/>
        <v>102764186.59190287</v>
      </c>
      <c r="W214" s="12"/>
      <c r="X214" s="73">
        <f t="shared" si="55"/>
        <v>213121575.18496573</v>
      </c>
      <c r="Y214" s="73">
        <f t="shared" si="56"/>
        <v>124178000.22996712</v>
      </c>
      <c r="Z214" s="73">
        <f t="shared" si="56"/>
        <v>110243359.28446709</v>
      </c>
      <c r="AA214" s="12">
        <f t="shared" si="57"/>
        <v>1.6347850576808383</v>
      </c>
      <c r="AB214" s="115">
        <f t="shared" si="58"/>
        <v>-98508214.752740681</v>
      </c>
      <c r="AC214" s="73">
        <f>AB214/SUMIFS(FinParameters!$L$8:$L$39,FinParameters!$B$8:$B$39,Financials!$E214,FinParameters!$C$8:$C$39,Financials!$F214)</f>
        <v>-73246362.804707423</v>
      </c>
      <c r="AD214" s="73">
        <f t="shared" si="59"/>
        <v>-73246362.804707423</v>
      </c>
      <c r="AE214" s="12"/>
      <c r="AF214" s="73">
        <f t="shared" si="60"/>
        <v>114613360.43222505</v>
      </c>
      <c r="AG214" s="73">
        <f t="shared" si="61"/>
        <v>50931637.425259694</v>
      </c>
      <c r="AH214" s="73">
        <f t="shared" si="61"/>
        <v>36996996.479759663</v>
      </c>
      <c r="AI214" s="12">
        <f t="shared" si="62"/>
        <v>0.54862385740728603</v>
      </c>
      <c r="AL214" s="73">
        <f>Summary!G214</f>
        <v>6236745.1591145787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-11880269.457918543</v>
      </c>
      <c r="AN214" s="20">
        <f>Summary!I214</f>
        <v>7930341.8965279395</v>
      </c>
      <c r="AP214" s="12">
        <v>1</v>
      </c>
    </row>
    <row r="215" spans="1:42" x14ac:dyDescent="0.3">
      <c r="A215">
        <v>211</v>
      </c>
      <c r="B215" t="str">
        <f>Summary!B215</f>
        <v>MarinusSnowyYallourn</v>
      </c>
      <c r="C215" t="str">
        <f>Summary!C215</f>
        <v>Wind</v>
      </c>
      <c r="D215" s="90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79234214.165989086</v>
      </c>
      <c r="H215" s="73">
        <f>SUMIFS(AM$5:AM215,$F$5:$F215,$F215,$D$5:$D215,$D215)</f>
        <v>-40042443.214700863</v>
      </c>
      <c r="I215" s="20">
        <f>SUMIFS(AN$5:AN215,$F$5:$F215,$F215,$D$5:$D215,$D215)</f>
        <v>72881291.579319254</v>
      </c>
      <c r="J215" s="73">
        <f t="shared" si="48"/>
        <v>72881291.579319254</v>
      </c>
      <c r="K215" s="73">
        <f t="shared" si="49"/>
        <v>152115505.74530834</v>
      </c>
      <c r="L215" s="73">
        <f t="shared" si="50"/>
        <v>112073062.53060748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60847078.370101519</v>
      </c>
      <c r="Q215" s="73">
        <f>P215/SUMIFS(FinParameters!$H$8:$H$39,FinParameters!$B$8:$B$39,Financials!$E215,FinParameters!$C$8:$C$39,Financials!$F215)</f>
        <v>17392578.99579851</v>
      </c>
      <c r="R215" s="73">
        <f t="shared" si="63"/>
        <v>-6588918.0420886409</v>
      </c>
      <c r="S215" s="12">
        <f t="shared" si="52"/>
        <v>-9.7706245812919978E-2</v>
      </c>
      <c r="T215" s="115">
        <f t="shared" si="53"/>
        <v>79234214.165989086</v>
      </c>
      <c r="U215" s="73">
        <f>T215/SUMIFS(FinParameters!$L$8:$L$39,FinParameters!$B$8:$B$39,Financials!$E215,FinParameters!$C$8:$C$39,Financials!$F215)</f>
        <v>58915066.240061551</v>
      </c>
      <c r="V215" s="73">
        <f t="shared" si="54"/>
        <v>58915066.240061551</v>
      </c>
      <c r="W215" s="12"/>
      <c r="X215" s="73">
        <f t="shared" si="55"/>
        <v>140081292.53609061</v>
      </c>
      <c r="Y215" s="73">
        <f t="shared" si="56"/>
        <v>76307645.235860065</v>
      </c>
      <c r="Z215" s="73">
        <f t="shared" si="56"/>
        <v>52326148.197972909</v>
      </c>
      <c r="AA215" s="12">
        <f t="shared" si="57"/>
        <v>0.77593794089048418</v>
      </c>
      <c r="AB215" s="115">
        <f t="shared" si="58"/>
        <v>-40042443.214700863</v>
      </c>
      <c r="AC215" s="73">
        <f>AB215/SUMIFS(FinParameters!$L$8:$L$39,FinParameters!$B$8:$B$39,Financials!$E215,FinParameters!$C$8:$C$39,Financials!$F215)</f>
        <v>-29773794.303883415</v>
      </c>
      <c r="AD215" s="73">
        <f t="shared" si="59"/>
        <v>-29773794.303883415</v>
      </c>
      <c r="AE215" s="12"/>
      <c r="AF215" s="73">
        <f t="shared" si="60"/>
        <v>100038849.32138975</v>
      </c>
      <c r="AG215" s="73">
        <f t="shared" si="61"/>
        <v>46533850.931976646</v>
      </c>
      <c r="AH215" s="73">
        <f t="shared" si="61"/>
        <v>22552353.894089494</v>
      </c>
      <c r="AI215" s="12">
        <f t="shared" si="62"/>
        <v>0.33442604979456919</v>
      </c>
      <c r="AL215" s="73">
        <f>Summary!G215</f>
        <v>1936866.5914465815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-4886026.5291234851</v>
      </c>
      <c r="AN215" s="20">
        <f>Summary!I215</f>
        <v>6855232.8847647216</v>
      </c>
      <c r="AP215" s="12">
        <v>1</v>
      </c>
    </row>
    <row r="216" spans="1:42" x14ac:dyDescent="0.3">
      <c r="A216">
        <v>212</v>
      </c>
      <c r="B216" t="str">
        <f>Summary!B216</f>
        <v>MarinusSnowyYallourn</v>
      </c>
      <c r="C216" t="str">
        <f>Summary!C216</f>
        <v>Wind</v>
      </c>
      <c r="D216" s="90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38391985.021170579</v>
      </c>
      <c r="H216" s="73">
        <f>SUMIFS(AM$5:AM216,$F$5:$F216,$F216,$D$5:$D216,$D216)</f>
        <v>-199259.15780110896</v>
      </c>
      <c r="I216" s="20">
        <f>SUMIFS(AN$5:AN216,$F$5:$F216,$F216,$D$5:$D216,$D216)</f>
        <v>63111312.135441214</v>
      </c>
      <c r="J216" s="73">
        <f t="shared" si="48"/>
        <v>63111312.135441214</v>
      </c>
      <c r="K216" s="73">
        <f t="shared" si="49"/>
        <v>101503297.1566118</v>
      </c>
      <c r="L216" s="73">
        <f t="shared" si="50"/>
        <v>101304037.99881068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51077098.926223479</v>
      </c>
      <c r="Q216" s="73">
        <f>P216/SUMIFS(FinParameters!$H$8:$H$39,FinParameters!$B$8:$B$39,Financials!$E216,FinParameters!$C$8:$C$39,Financials!$F216)</f>
        <v>14599920.024871277</v>
      </c>
      <c r="R216" s="73">
        <f t="shared" si="63"/>
        <v>-16358897.485966681</v>
      </c>
      <c r="S216" s="12">
        <f t="shared" si="52"/>
        <v>-0.24258405534598942</v>
      </c>
      <c r="T216" s="115">
        <f t="shared" si="53"/>
        <v>38391985.021170579</v>
      </c>
      <c r="U216" s="73">
        <f>T216/SUMIFS(FinParameters!$L$8:$L$39,FinParameters!$B$8:$B$39,Financials!$E216,FinParameters!$C$8:$C$39,Financials!$F216)</f>
        <v>28546586.401062723</v>
      </c>
      <c r="V216" s="73">
        <f t="shared" si="54"/>
        <v>28546586.401062723</v>
      </c>
      <c r="W216" s="12"/>
      <c r="X216" s="73">
        <f t="shared" si="55"/>
        <v>89469083.947394073</v>
      </c>
      <c r="Y216" s="73">
        <f t="shared" si="56"/>
        <v>43146506.425934002</v>
      </c>
      <c r="Z216" s="73">
        <f t="shared" si="56"/>
        <v>12187688.915096043</v>
      </c>
      <c r="AA216" s="12">
        <f t="shared" si="57"/>
        <v>0.18072972245566049</v>
      </c>
      <c r="AB216" s="115">
        <f t="shared" si="58"/>
        <v>-199259.15780110896</v>
      </c>
      <c r="AC216" s="73">
        <f>AB216/SUMIFS(FinParameters!$L$8:$L$39,FinParameters!$B$8:$B$39,Financials!$E216,FinParameters!$C$8:$C$39,Financials!$F216)</f>
        <v>-148160.3194321864</v>
      </c>
      <c r="AD216" s="73">
        <f t="shared" si="59"/>
        <v>-148160.3194321864</v>
      </c>
      <c r="AE216" s="12"/>
      <c r="AF216" s="73">
        <f t="shared" si="60"/>
        <v>89269824.789592966</v>
      </c>
      <c r="AG216" s="73">
        <f t="shared" si="61"/>
        <v>42998346.106501818</v>
      </c>
      <c r="AH216" s="73">
        <f t="shared" si="61"/>
        <v>12039528.595663857</v>
      </c>
      <c r="AI216" s="12">
        <f t="shared" si="62"/>
        <v>0.17853267151380767</v>
      </c>
      <c r="AL216" s="73">
        <f>Summary!G216</f>
        <v>-1257263.4575877923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-19520.313213970068</v>
      </c>
      <c r="AN216" s="20">
        <f>Summary!I216</f>
        <v>6014148.5532401586</v>
      </c>
      <c r="AP216" s="12">
        <v>1</v>
      </c>
    </row>
    <row r="217" spans="1:42" x14ac:dyDescent="0.3">
      <c r="A217">
        <v>213</v>
      </c>
      <c r="B217" t="str">
        <f>Summary!B217</f>
        <v>MarinusSnowyYallourn</v>
      </c>
      <c r="C217" t="str">
        <f>Summary!C217</f>
        <v>Wind</v>
      </c>
      <c r="D217" s="90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8173597.1139132846</v>
      </c>
      <c r="H217" s="73">
        <f>SUMIFS(AM$5:AM217,$F$5:$F217,$F217,$D$5:$D217,$D217)</f>
        <v>37020343.565872841</v>
      </c>
      <c r="I217" s="20">
        <f>SUMIFS(AN$5:AN217,$F$5:$F217,$F217,$D$5:$D217,$D217)</f>
        <v>53741481.452966973</v>
      </c>
      <c r="J217" s="73">
        <f t="shared" si="48"/>
        <v>53741481.452966973</v>
      </c>
      <c r="K217" s="73">
        <f t="shared" si="49"/>
        <v>61915078.566880256</v>
      </c>
      <c r="L217" s="73">
        <f t="shared" si="50"/>
        <v>98935422.132753104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41707268.243749239</v>
      </c>
      <c r="Q217" s="73">
        <f>P217/SUMIFS(FinParameters!$H$8:$H$39,FinParameters!$B$8:$B$39,Financials!$E217,FinParameters!$C$8:$C$39,Financials!$F217)</f>
        <v>11921639.905471716</v>
      </c>
      <c r="R217" s="73">
        <f t="shared" si="63"/>
        <v>-25728728.168440923</v>
      </c>
      <c r="S217" s="12">
        <f t="shared" si="52"/>
        <v>-0.38152810868514186</v>
      </c>
      <c r="T217" s="115">
        <f t="shared" si="53"/>
        <v>8173597.1139132846</v>
      </c>
      <c r="U217" s="73">
        <f>T217/SUMIFS(FinParameters!$L$8:$L$39,FinParameters!$B$8:$B$39,Financials!$E217,FinParameters!$C$8:$C$39,Financials!$F217)</f>
        <v>6077526.2360395733</v>
      </c>
      <c r="V217" s="73">
        <f t="shared" si="54"/>
        <v>6077526.2360395733</v>
      </c>
      <c r="W217" s="12"/>
      <c r="X217" s="73">
        <f t="shared" si="55"/>
        <v>49880865.357662521</v>
      </c>
      <c r="Y217" s="73">
        <f t="shared" si="56"/>
        <v>17999166.141511291</v>
      </c>
      <c r="Z217" s="73">
        <f t="shared" si="56"/>
        <v>-19651201.932401352</v>
      </c>
      <c r="AA217" s="12">
        <f t="shared" si="57"/>
        <v>-0.29140522833364818</v>
      </c>
      <c r="AB217" s="115">
        <f t="shared" si="58"/>
        <v>37020343.565872841</v>
      </c>
      <c r="AC217" s="73">
        <f>AB217/SUMIFS(FinParameters!$L$8:$L$39,FinParameters!$B$8:$B$39,Financials!$E217,FinParameters!$C$8:$C$39,Financials!$F217)</f>
        <v>27526694.324803978</v>
      </c>
      <c r="AD217" s="73">
        <f t="shared" si="59"/>
        <v>27526694.324803978</v>
      </c>
      <c r="AE217" s="12"/>
      <c r="AF217" s="73">
        <f t="shared" si="60"/>
        <v>86901208.923535362</v>
      </c>
      <c r="AG217" s="73">
        <f t="shared" si="61"/>
        <v>45525860.466315269</v>
      </c>
      <c r="AH217" s="73">
        <f t="shared" si="61"/>
        <v>7875492.3924026266</v>
      </c>
      <c r="AI217" s="12">
        <f t="shared" si="62"/>
        <v>0.11678469677032907</v>
      </c>
      <c r="AL217" s="73">
        <f>Summary!G217</f>
        <v>-4062355.4014722859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4307881.8001195546</v>
      </c>
      <c r="AN217" s="20">
        <f>Summary!I217</f>
        <v>5195303.7933522128</v>
      </c>
      <c r="AP217" s="12">
        <v>1</v>
      </c>
    </row>
    <row r="218" spans="1:42" x14ac:dyDescent="0.3">
      <c r="A218">
        <v>214</v>
      </c>
      <c r="B218" t="str">
        <f>Summary!B218</f>
        <v>MarinusSnowyYallourn</v>
      </c>
      <c r="C218" t="str">
        <f>Summary!C218</f>
        <v>Wind</v>
      </c>
      <c r="D218" s="90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-25768778.207015041</v>
      </c>
      <c r="H218" s="73">
        <f>SUMIFS(AM$5:AM218,$F$5:$F218,$F218,$D$5:$D218,$D218)</f>
        <v>86665670.500902191</v>
      </c>
      <c r="I218" s="20">
        <f>SUMIFS(AN$5:AN218,$F$5:$F218,$F218,$D$5:$D218,$D218)</f>
        <v>42257571.183880441</v>
      </c>
      <c r="J218" s="73">
        <f t="shared" si="48"/>
        <v>42257571.183880441</v>
      </c>
      <c r="K218" s="73">
        <f t="shared" si="49"/>
        <v>16488792.9768654</v>
      </c>
      <c r="L218" s="73">
        <f t="shared" si="50"/>
        <v>103154463.47776759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30223357.974662706</v>
      </c>
      <c r="Q218" s="73">
        <f>P218/SUMIFS(FinParameters!$H$8:$H$39,FinParameters!$B$8:$B$39,Financials!$E218,FinParameters!$C$8:$C$39,Financials!$F218)</f>
        <v>8639069.5358499419</v>
      </c>
      <c r="R218" s="73">
        <f t="shared" si="63"/>
        <v>-37212638.437527455</v>
      </c>
      <c r="S218" s="12">
        <f t="shared" si="52"/>
        <v>-0.55182158516754209</v>
      </c>
      <c r="T218" s="115">
        <f t="shared" si="53"/>
        <v>-25768778.207015041</v>
      </c>
      <c r="U218" s="73">
        <f>T218/SUMIFS(FinParameters!$L$8:$L$39,FinParameters!$B$8:$B$39,Financials!$E218,FinParameters!$C$8:$C$39,Financials!$F218)</f>
        <v>-19160526.686253332</v>
      </c>
      <c r="V218" s="73">
        <f t="shared" si="54"/>
        <v>-19160526.686253332</v>
      </c>
      <c r="W218" s="12"/>
      <c r="X218" s="73">
        <f t="shared" si="55"/>
        <v>4454579.7676476669</v>
      </c>
      <c r="Y218" s="73">
        <f t="shared" si="56"/>
        <v>-10521457.15040339</v>
      </c>
      <c r="Z218" s="73">
        <f t="shared" si="56"/>
        <v>-56373165.123780787</v>
      </c>
      <c r="AA218" s="12">
        <f t="shared" si="57"/>
        <v>-0.83595065132885649</v>
      </c>
      <c r="AB218" s="115">
        <f t="shared" si="58"/>
        <v>86665670.500902191</v>
      </c>
      <c r="AC218" s="73">
        <f>AB218/SUMIFS(FinParameters!$L$8:$L$39,FinParameters!$B$8:$B$39,Financials!$E218,FinParameters!$C$8:$C$39,Financials!$F218)</f>
        <v>64440769.332343429</v>
      </c>
      <c r="AD218" s="73">
        <f t="shared" si="59"/>
        <v>64440769.332343429</v>
      </c>
      <c r="AE218" s="12"/>
      <c r="AF218" s="73">
        <f t="shared" si="60"/>
        <v>91120250.26854986</v>
      </c>
      <c r="AG218" s="73">
        <f t="shared" si="61"/>
        <v>53919312.181940041</v>
      </c>
      <c r="AH218" s="73">
        <f t="shared" si="61"/>
        <v>8067604.2085626423</v>
      </c>
      <c r="AI218" s="12">
        <f t="shared" si="62"/>
        <v>0.11963349898844665</v>
      </c>
      <c r="AL218" s="73">
        <f>Summary!G218</f>
        <v>-7060683.2993704639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10234960.421802163</v>
      </c>
      <c r="AN218" s="20">
        <f>Summary!I218</f>
        <v>4192570.781175809</v>
      </c>
      <c r="AP218" s="12">
        <v>1</v>
      </c>
    </row>
    <row r="219" spans="1:42" x14ac:dyDescent="0.3">
      <c r="A219">
        <v>215</v>
      </c>
      <c r="B219" t="str">
        <f>Summary!B219</f>
        <v>MarinusSnowyYallourn</v>
      </c>
      <c r="C219" t="str">
        <f>Summary!C219</f>
        <v>Wind</v>
      </c>
      <c r="D219" s="90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-71914201.027078018</v>
      </c>
      <c r="H219" s="73">
        <f>SUMIFS(AM$5:AM219,$F$5:$F219,$F219,$D$5:$D219,$D219)</f>
        <v>184170008.32041308</v>
      </c>
      <c r="I219" s="20">
        <f>SUMIFS(AN$5:AN219,$F$5:$F219,$F219,$D$5:$D219,$D219)</f>
        <v>25086331.279933803</v>
      </c>
      <c r="J219" s="73">
        <f t="shared" si="48"/>
        <v>25086331.279933803</v>
      </c>
      <c r="K219" s="73">
        <f t="shared" si="49"/>
        <v>-46827869.747144215</v>
      </c>
      <c r="L219" s="73">
        <f t="shared" si="50"/>
        <v>137342138.57326886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13052118.07071607</v>
      </c>
      <c r="Q219" s="73">
        <f>P219/SUMIFS(FinParameters!$H$8:$H$39,FinParameters!$B$8:$B$39,Financials!$E219,FinParameters!$C$8:$C$39,Financials!$F219)</f>
        <v>3730828.1792370263</v>
      </c>
      <c r="R219" s="73">
        <f t="shared" si="63"/>
        <v>-54383878.341474093</v>
      </c>
      <c r="S219" s="12">
        <f t="shared" si="52"/>
        <v>-0.80645176515317751</v>
      </c>
      <c r="T219" s="115">
        <f t="shared" si="53"/>
        <v>-71914201.027078018</v>
      </c>
      <c r="U219" s="73">
        <f>T219/SUMIFS(FinParameters!$L$8:$L$39,FinParameters!$B$8:$B$39,Financials!$E219,FinParameters!$C$8:$C$39,Financials!$F219)</f>
        <v>-53472227.392015241</v>
      </c>
      <c r="V219" s="73">
        <f t="shared" si="54"/>
        <v>-53472227.392015241</v>
      </c>
      <c r="W219" s="12"/>
      <c r="X219" s="73">
        <f t="shared" si="55"/>
        <v>-58862082.956361949</v>
      </c>
      <c r="Y219" s="73">
        <f t="shared" si="56"/>
        <v>-49741399.212778218</v>
      </c>
      <c r="Z219" s="73">
        <f t="shared" si="56"/>
        <v>-107856105.73348933</v>
      </c>
      <c r="AA219" s="12">
        <f t="shared" si="57"/>
        <v>-1.5993847718099794</v>
      </c>
      <c r="AB219" s="115">
        <f t="shared" si="58"/>
        <v>184170008.32041308</v>
      </c>
      <c r="AC219" s="73">
        <f>AB219/SUMIFS(FinParameters!$L$8:$L$39,FinParameters!$B$8:$B$39,Financials!$E219,FinParameters!$C$8:$C$39,Financials!$F219)</f>
        <v>136940693.53548661</v>
      </c>
      <c r="AD219" s="73">
        <f t="shared" si="59"/>
        <v>136940693.53548661</v>
      </c>
      <c r="AE219" s="12"/>
      <c r="AF219" s="73">
        <f t="shared" si="60"/>
        <v>125307925.36405113</v>
      </c>
      <c r="AG219" s="73">
        <f t="shared" si="61"/>
        <v>87199294.322708398</v>
      </c>
      <c r="AH219" s="73">
        <f t="shared" si="61"/>
        <v>29084587.801997274</v>
      </c>
      <c r="AI219" s="12">
        <f t="shared" si="62"/>
        <v>0.43129173363470552</v>
      </c>
      <c r="AL219" s="73">
        <f>Summary!G219</f>
        <v>-10319823.414104834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20554596.565429717</v>
      </c>
      <c r="AN219" s="20">
        <f>Summary!I219</f>
        <v>3010234.9216620014</v>
      </c>
      <c r="AP219" s="12">
        <v>1</v>
      </c>
    </row>
    <row r="220" spans="1:42" x14ac:dyDescent="0.3">
      <c r="A220">
        <v>216</v>
      </c>
      <c r="B220" t="str">
        <f>Summary!B220</f>
        <v>MarinusSnowyYallourn</v>
      </c>
      <c r="C220" t="str">
        <f>Summary!C220</f>
        <v>Wind</v>
      </c>
      <c r="D220" s="90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45724255.943281628</v>
      </c>
      <c r="H220" s="73">
        <f>SUMIFS(AM$5:AM220,$F$5:$F220,$F220,$D$5:$D220,$D220)</f>
        <v>-2391432.5967503022</v>
      </c>
      <c r="I220" s="20">
        <f>SUMIFS(AN$5:AN220,$F$5:$F220,$F220,$D$5:$D220,$D220)</f>
        <v>63643505.555450805</v>
      </c>
      <c r="J220" s="73">
        <f t="shared" si="48"/>
        <v>63643505.555450805</v>
      </c>
      <c r="K220" s="73">
        <f t="shared" si="49"/>
        <v>109367761.49873243</v>
      </c>
      <c r="L220" s="73">
        <f t="shared" si="50"/>
        <v>106976328.90198213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51609292.34623307</v>
      </c>
      <c r="Q220" s="73">
        <f>P220/SUMIFS(FinParameters!$H$8:$H$39,FinParameters!$B$8:$B$39,Financials!$E220,FinParameters!$C$8:$C$39,Financials!$F220)</f>
        <v>14752042.630368622</v>
      </c>
      <c r="R220" s="73">
        <f t="shared" si="63"/>
        <v>-15826704.06595709</v>
      </c>
      <c r="S220" s="12">
        <f t="shared" si="52"/>
        <v>-0.23469222533940576</v>
      </c>
      <c r="T220" s="115">
        <f t="shared" si="53"/>
        <v>45724255.943281628</v>
      </c>
      <c r="U220" s="73">
        <f>T220/SUMIFS(FinParameters!$L$8:$L$39,FinParameters!$B$8:$B$39,Financials!$E220,FinParameters!$C$8:$C$39,Financials!$F220)</f>
        <v>33998539.595944986</v>
      </c>
      <c r="V220" s="73">
        <f t="shared" si="54"/>
        <v>33998539.595944986</v>
      </c>
      <c r="W220" s="12"/>
      <c r="X220" s="73">
        <f t="shared" si="55"/>
        <v>97333548.289514706</v>
      </c>
      <c r="Y220" s="73">
        <f t="shared" si="56"/>
        <v>48750582.226313606</v>
      </c>
      <c r="Z220" s="73">
        <f t="shared" si="56"/>
        <v>18171835.529987894</v>
      </c>
      <c r="AA220" s="12">
        <f t="shared" si="57"/>
        <v>0.26946788802401439</v>
      </c>
      <c r="AB220" s="115">
        <f t="shared" si="58"/>
        <v>-2391432.5967503022</v>
      </c>
      <c r="AC220" s="73">
        <f>AB220/SUMIFS(FinParameters!$L$8:$L$39,FinParameters!$B$8:$B$39,Financials!$E220,FinParameters!$C$8:$C$39,Financials!$F220)</f>
        <v>-1778163.7810028717</v>
      </c>
      <c r="AD220" s="73">
        <f t="shared" si="59"/>
        <v>-1778163.7810028717</v>
      </c>
      <c r="AE220" s="12"/>
      <c r="AF220" s="73">
        <f t="shared" si="60"/>
        <v>94942115.692764401</v>
      </c>
      <c r="AG220" s="73">
        <f t="shared" si="61"/>
        <v>46972418.445310734</v>
      </c>
      <c r="AH220" s="73">
        <f t="shared" si="61"/>
        <v>16393671.748985022</v>
      </c>
      <c r="AI220" s="12">
        <f t="shared" si="62"/>
        <v>0.24309971856546334</v>
      </c>
      <c r="AL220" s="73">
        <f>Summary!G220</f>
        <v>-932076.46844251943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-368003.34343133558</v>
      </c>
      <c r="AN220" s="20">
        <f>Summary!I220</f>
        <v>6027747.3997240262</v>
      </c>
      <c r="AP220" s="12">
        <v>1</v>
      </c>
    </row>
    <row r="221" spans="1:42" x14ac:dyDescent="0.3">
      <c r="A221">
        <v>217</v>
      </c>
      <c r="B221" t="str">
        <f>Summary!B221</f>
        <v>MarinusSnowyYallourn</v>
      </c>
      <c r="C221" t="str">
        <f>Summary!C221</f>
        <v>Wind</v>
      </c>
      <c r="D221" s="90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254100762.98977169</v>
      </c>
      <c r="H221" s="73">
        <f>SUMIFS(AM$5:AM221,$F$5:$F221,$F221,$D$5:$D221,$D221)</f>
        <v>-258050533.66542414</v>
      </c>
      <c r="I221" s="20">
        <f>SUMIFS(AN$5:AN221,$F$5:$F221,$F221,$D$5:$D221,$D221)</f>
        <v>130295136.36038077</v>
      </c>
      <c r="J221" s="73">
        <f t="shared" si="48"/>
        <v>130295136.36038077</v>
      </c>
      <c r="K221" s="73">
        <f t="shared" si="49"/>
        <v>384395899.35015249</v>
      </c>
      <c r="L221" s="73">
        <f t="shared" si="50"/>
        <v>126345365.68472832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117171317.8209326</v>
      </c>
      <c r="Q221" s="73">
        <f>P221/SUMIFS(FinParameters!$H$8:$H$39,FinParameters!$B$8:$B$39,Financials!$E221,FinParameters!$C$8:$C$39,Financials!$F221)</f>
        <v>30173284.675532036</v>
      </c>
      <c r="R221" s="73">
        <f t="shared" si="63"/>
        <v>48702110.956000417</v>
      </c>
      <c r="S221" s="12">
        <f t="shared" si="52"/>
        <v>0.71129947586619613</v>
      </c>
      <c r="T221" s="115">
        <f t="shared" si="53"/>
        <v>254100762.98977169</v>
      </c>
      <c r="U221" s="73">
        <f>T221/SUMIFS(FinParameters!$L$8:$L$39,FinParameters!$B$8:$B$39,Financials!$E221,FinParameters!$C$8:$C$39,Financials!$F221)</f>
        <v>184329870.94199798</v>
      </c>
      <c r="V221" s="73">
        <f t="shared" si="54"/>
        <v>184329870.94199798</v>
      </c>
      <c r="W221" s="12"/>
      <c r="X221" s="73">
        <f t="shared" si="55"/>
        <v>371272080.81070429</v>
      </c>
      <c r="Y221" s="73">
        <f t="shared" si="56"/>
        <v>214503155.61753002</v>
      </c>
      <c r="Z221" s="73">
        <f t="shared" si="56"/>
        <v>233031981.89799839</v>
      </c>
      <c r="AA221" s="12">
        <f t="shared" si="57"/>
        <v>3.4034567153333013</v>
      </c>
      <c r="AB221" s="115">
        <f t="shared" si="58"/>
        <v>-258050533.66542414</v>
      </c>
      <c r="AC221" s="73">
        <f>AB221/SUMIFS(FinParameters!$L$8:$L$39,FinParameters!$B$8:$B$39,Financials!$E221,FinParameters!$C$8:$C$39,Financials!$F221)</f>
        <v>-187195115.06927675</v>
      </c>
      <c r="AD221" s="73">
        <f t="shared" si="59"/>
        <v>-187195115.06927675</v>
      </c>
      <c r="AE221" s="12"/>
      <c r="AF221" s="73">
        <f t="shared" si="60"/>
        <v>113221547.14528015</v>
      </c>
      <c r="AG221" s="73">
        <f t="shared" si="61"/>
        <v>27308040.548253268</v>
      </c>
      <c r="AH221" s="73">
        <f t="shared" si="61"/>
        <v>45836866.828721642</v>
      </c>
      <c r="AI221" s="12">
        <f t="shared" si="62"/>
        <v>0.66945228267567203</v>
      </c>
      <c r="AL221" s="73">
        <f>Summary!G221</f>
        <v>15915952.604049928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-22581284.333990209</v>
      </c>
      <c r="AN221" s="20">
        <f>Summary!I221</f>
        <v>10681256.19802676</v>
      </c>
      <c r="AP221" s="12">
        <v>1</v>
      </c>
    </row>
    <row r="222" spans="1:42" x14ac:dyDescent="0.3">
      <c r="A222">
        <v>218</v>
      </c>
      <c r="B222" t="str">
        <f>Summary!B222</f>
        <v>MarinusSnowyYallourn</v>
      </c>
      <c r="C222" t="str">
        <f>Summary!C222</f>
        <v>Wind</v>
      </c>
      <c r="D222" s="90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145991276.77285677</v>
      </c>
      <c r="H222" s="73">
        <f>SUMIFS(AM$5:AM222,$F$5:$F222,$F222,$D$5:$D222,$D222)</f>
        <v>-109992273.10803565</v>
      </c>
      <c r="I222" s="20">
        <f>SUMIFS(AN$5:AN222,$F$5:$F222,$F222,$D$5:$D222,$D222)</f>
        <v>95209157.062434629</v>
      </c>
      <c r="J222" s="73">
        <f t="shared" si="48"/>
        <v>95209157.062434629</v>
      </c>
      <c r="K222" s="73">
        <f t="shared" si="49"/>
        <v>241200433.83529139</v>
      </c>
      <c r="L222" s="73">
        <f t="shared" si="50"/>
        <v>131208160.72725575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82085338.522986457</v>
      </c>
      <c r="Q222" s="73">
        <f>P222/SUMIFS(FinParameters!$H$8:$H$39,FinParameters!$B$8:$B$39,Financials!$E222,FinParameters!$C$8:$C$39,Financials!$F222)</f>
        <v>21138144.837857328</v>
      </c>
      <c r="R222" s="73">
        <f t="shared" si="63"/>
        <v>13616131.658054277</v>
      </c>
      <c r="S222" s="12">
        <f t="shared" si="52"/>
        <v>0.19886504140342307</v>
      </c>
      <c r="T222" s="115">
        <f t="shared" si="53"/>
        <v>145991276.77285677</v>
      </c>
      <c r="U222" s="73">
        <f>T222/SUMIFS(FinParameters!$L$8:$L$39,FinParameters!$B$8:$B$39,Financials!$E222,FinParameters!$C$8:$C$39,Financials!$F222)</f>
        <v>105905046.83876696</v>
      </c>
      <c r="V222" s="73">
        <f t="shared" si="54"/>
        <v>105905046.83876696</v>
      </c>
      <c r="W222" s="12"/>
      <c r="X222" s="73">
        <f t="shared" si="55"/>
        <v>228076615.29584321</v>
      </c>
      <c r="Y222" s="73">
        <f t="shared" si="56"/>
        <v>127043191.6766243</v>
      </c>
      <c r="Z222" s="73">
        <f t="shared" si="56"/>
        <v>119521178.49682124</v>
      </c>
      <c r="AA222" s="12">
        <f t="shared" si="57"/>
        <v>1.745619439299162</v>
      </c>
      <c r="AB222" s="115">
        <f t="shared" si="58"/>
        <v>-109992273.10803565</v>
      </c>
      <c r="AC222" s="73">
        <f>AB222/SUMIFS(FinParameters!$L$8:$L$39,FinParameters!$B$8:$B$39,Financials!$E222,FinParameters!$C$8:$C$39,Financials!$F222)</f>
        <v>-79790636.077064157</v>
      </c>
      <c r="AD222" s="73">
        <f t="shared" si="59"/>
        <v>-79790636.077064157</v>
      </c>
      <c r="AE222" s="12"/>
      <c r="AF222" s="73">
        <f t="shared" si="60"/>
        <v>118084342.18780756</v>
      </c>
      <c r="AG222" s="73">
        <f t="shared" si="61"/>
        <v>47252555.599560142</v>
      </c>
      <c r="AH222" s="73">
        <f t="shared" si="61"/>
        <v>39730542.419757083</v>
      </c>
      <c r="AI222" s="12">
        <f t="shared" si="62"/>
        <v>0.58026876955260664</v>
      </c>
      <c r="AL222" s="73">
        <f>Summary!G222</f>
        <v>7784870.6926454268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-11484058.355294969</v>
      </c>
      <c r="AN222" s="20">
        <f>Summary!I222</f>
        <v>8259774.7484625326</v>
      </c>
      <c r="AP222" s="12">
        <v>1</v>
      </c>
    </row>
    <row r="223" spans="1:42" x14ac:dyDescent="0.3">
      <c r="A223">
        <v>219</v>
      </c>
      <c r="B223" t="str">
        <f>Summary!B223</f>
        <v>MarinusSnowyYallourn</v>
      </c>
      <c r="C223" t="str">
        <f>Summary!C223</f>
        <v>Wind</v>
      </c>
      <c r="D223" s="90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83153497.511688724</v>
      </c>
      <c r="H223" s="73">
        <f>SUMIFS(AM$5:AM223,$F$5:$F223,$F223,$D$5:$D223,$D223)</f>
        <v>-44984158.121843502</v>
      </c>
      <c r="I223" s="20">
        <f>SUMIFS(AN$5:AN223,$F$5:$F223,$F223,$D$5:$D223,$D223)</f>
        <v>80149992.721095592</v>
      </c>
      <c r="J223" s="73">
        <f t="shared" si="48"/>
        <v>80149992.721095592</v>
      </c>
      <c r="K223" s="73">
        <f t="shared" si="49"/>
        <v>163303490.23278433</v>
      </c>
      <c r="L223" s="73">
        <f t="shared" si="50"/>
        <v>118319332.11094081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67026174.18164742</v>
      </c>
      <c r="Q223" s="73">
        <f>P223/SUMIFS(FinParameters!$H$8:$H$39,FinParameters!$B$8:$B$39,Financials!$E223,FinParameters!$C$8:$C$39,Financials!$F223)</f>
        <v>17260195.343926929</v>
      </c>
      <c r="R223" s="73">
        <f t="shared" si="63"/>
        <v>-1443032.6832847586</v>
      </c>
      <c r="S223" s="12">
        <f t="shared" si="52"/>
        <v>-2.1075644795059478E-2</v>
      </c>
      <c r="T223" s="115">
        <f t="shared" si="53"/>
        <v>83153497.511688724</v>
      </c>
      <c r="U223" s="73">
        <f>T223/SUMIFS(FinParameters!$L$8:$L$39,FinParameters!$B$8:$B$39,Financials!$E223,FinParameters!$C$8:$C$39,Financials!$F223)</f>
        <v>60321241.401869841</v>
      </c>
      <c r="V223" s="73">
        <f t="shared" si="54"/>
        <v>60321241.401869841</v>
      </c>
      <c r="W223" s="12"/>
      <c r="X223" s="73">
        <f t="shared" si="55"/>
        <v>150179671.69333616</v>
      </c>
      <c r="Y223" s="73">
        <f t="shared" si="56"/>
        <v>77581436.74579677</v>
      </c>
      <c r="Z223" s="73">
        <f t="shared" si="56"/>
        <v>58878208.718585081</v>
      </c>
      <c r="AA223" s="12">
        <f t="shared" si="57"/>
        <v>0.85992245878841467</v>
      </c>
      <c r="AB223" s="115">
        <f t="shared" si="58"/>
        <v>-44984158.121843502</v>
      </c>
      <c r="AC223" s="73">
        <f>AB223/SUMIFS(FinParameters!$L$8:$L$39,FinParameters!$B$8:$B$39,Financials!$E223,FinParameters!$C$8:$C$39,Financials!$F223)</f>
        <v>-32632424.883224834</v>
      </c>
      <c r="AD223" s="73">
        <f t="shared" si="59"/>
        <v>-32632424.883224834</v>
      </c>
      <c r="AE223" s="12"/>
      <c r="AF223" s="73">
        <f t="shared" si="60"/>
        <v>105195513.57149266</v>
      </c>
      <c r="AG223" s="73">
        <f t="shared" si="61"/>
        <v>44949011.86257194</v>
      </c>
      <c r="AH223" s="73">
        <f t="shared" si="61"/>
        <v>26245783.835360248</v>
      </c>
      <c r="AI223" s="12">
        <f t="shared" si="62"/>
        <v>0.3833224457694504</v>
      </c>
      <c r="AL223" s="73">
        <f>Summary!G223</f>
        <v>3919283.3456996391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-4941714.907142642</v>
      </c>
      <c r="AN223" s="20">
        <f>Summary!I223</f>
        <v>7268701.1417763438</v>
      </c>
      <c r="AP223" s="12">
        <v>1</v>
      </c>
    </row>
    <row r="224" spans="1:42" x14ac:dyDescent="0.3">
      <c r="A224">
        <v>220</v>
      </c>
      <c r="B224" t="str">
        <f>Summary!B224</f>
        <v>MarinusSnowyYallourn</v>
      </c>
      <c r="C224" t="str">
        <f>Summary!C224</f>
        <v>Wind</v>
      </c>
      <c r="D224" s="90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39120576.429354392</v>
      </c>
      <c r="H224" s="73">
        <f>SUMIFS(AM$5:AM224,$F$5:$F224,$F224,$D$5:$D224,$D224)</f>
        <v>-195779.68911920249</v>
      </c>
      <c r="I224" s="20">
        <f>SUMIFS(AN$5:AN224,$F$5:$F224,$F224,$D$5:$D224,$D224)</f>
        <v>69543444.397354811</v>
      </c>
      <c r="J224" s="73">
        <f t="shared" si="48"/>
        <v>69543444.397354811</v>
      </c>
      <c r="K224" s="73">
        <f t="shared" si="49"/>
        <v>108664020.82670921</v>
      </c>
      <c r="L224" s="73">
        <f t="shared" si="50"/>
        <v>108468241.13758999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56419625.85790664</v>
      </c>
      <c r="Q224" s="73">
        <f>P224/SUMIFS(FinParameters!$H$8:$H$39,FinParameters!$B$8:$B$39,Financials!$E224,FinParameters!$C$8:$C$39,Financials!$F224)</f>
        <v>14528857.948830705</v>
      </c>
      <c r="R224" s="73">
        <f t="shared" si="63"/>
        <v>-12049581.00702554</v>
      </c>
      <c r="S224" s="12">
        <f t="shared" si="52"/>
        <v>-0.17598540363985091</v>
      </c>
      <c r="T224" s="115">
        <f t="shared" si="53"/>
        <v>39120576.429354392</v>
      </c>
      <c r="U224" s="73">
        <f>T224/SUMIFS(FinParameters!$L$8:$L$39,FinParameters!$B$8:$B$39,Financials!$E224,FinParameters!$C$8:$C$39,Financials!$F224)</f>
        <v>28378863.249181703</v>
      </c>
      <c r="V224" s="73">
        <f t="shared" si="54"/>
        <v>28378863.249181703</v>
      </c>
      <c r="W224" s="12"/>
      <c r="X224" s="73">
        <f t="shared" si="55"/>
        <v>95540202.287261039</v>
      </c>
      <c r="Y224" s="73">
        <f t="shared" si="56"/>
        <v>42907721.198012412</v>
      </c>
      <c r="Z224" s="73">
        <f t="shared" si="56"/>
        <v>16329282.242156163</v>
      </c>
      <c r="AA224" s="12">
        <f t="shared" si="57"/>
        <v>0.23849089232724147</v>
      </c>
      <c r="AB224" s="115">
        <f t="shared" si="58"/>
        <v>-195779.68911920249</v>
      </c>
      <c r="AC224" s="73">
        <f>AB224/SUMIFS(FinParameters!$L$8:$L$39,FinParameters!$B$8:$B$39,Financials!$E224,FinParameters!$C$8:$C$39,Financials!$F224)</f>
        <v>-142022.57562626732</v>
      </c>
      <c r="AD224" s="73">
        <f t="shared" si="59"/>
        <v>-142022.57562626732</v>
      </c>
      <c r="AE224" s="12"/>
      <c r="AF224" s="73">
        <f t="shared" si="60"/>
        <v>95344422.598141834</v>
      </c>
      <c r="AG224" s="73">
        <f t="shared" si="61"/>
        <v>42765698.622386143</v>
      </c>
      <c r="AH224" s="73">
        <f t="shared" si="61"/>
        <v>16187259.666529896</v>
      </c>
      <c r="AI224" s="12">
        <f t="shared" si="62"/>
        <v>0.23641663760560533</v>
      </c>
      <c r="AL224" s="73">
        <f>Summary!G224</f>
        <v>728591.40818381193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3479.4686819064682</v>
      </c>
      <c r="AN224" s="20">
        <f>Summary!I224</f>
        <v>6432132.2619135901</v>
      </c>
      <c r="AP224" s="12">
        <v>1</v>
      </c>
    </row>
    <row r="225" spans="1:42" x14ac:dyDescent="0.3">
      <c r="A225">
        <v>221</v>
      </c>
      <c r="B225" t="str">
        <f>Summary!B225</f>
        <v>MarinusSnowyYallourn</v>
      </c>
      <c r="C225" t="str">
        <f>Summary!C225</f>
        <v>Wind</v>
      </c>
      <c r="D225" s="90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5320171.2684724359</v>
      </c>
      <c r="H225" s="73">
        <f>SUMIFS(AM$5:AM225,$F$5:$F225,$F225,$D$5:$D225,$D225)</f>
        <v>42103921.08518289</v>
      </c>
      <c r="I225" s="20">
        <f>SUMIFS(AN$5:AN225,$F$5:$F225,$F225,$D$5:$D225,$D225)</f>
        <v>59207209.07828638</v>
      </c>
      <c r="J225" s="73">
        <f t="shared" si="48"/>
        <v>59207209.07828638</v>
      </c>
      <c r="K225" s="73">
        <f t="shared" si="49"/>
        <v>64527380.346758813</v>
      </c>
      <c r="L225" s="73">
        <f t="shared" si="50"/>
        <v>106631301.4319417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46083390.538838208</v>
      </c>
      <c r="Q225" s="73">
        <f>P225/SUMIFS(FinParameters!$H$8:$H$39,FinParameters!$B$8:$B$39,Financials!$E225,FinParameters!$C$8:$C$39,Financials!$F225)</f>
        <v>11867130.005886773</v>
      </c>
      <c r="R225" s="73">
        <f t="shared" si="63"/>
        <v>-22385816.326093972</v>
      </c>
      <c r="S225" s="12">
        <f t="shared" si="52"/>
        <v>-0.3269472124929681</v>
      </c>
      <c r="T225" s="115">
        <f t="shared" si="53"/>
        <v>5320171.2684724359</v>
      </c>
      <c r="U225" s="73">
        <f>T225/SUMIFS(FinParameters!$L$8:$L$39,FinParameters!$B$8:$B$39,Financials!$E225,FinParameters!$C$8:$C$39,Financials!$F225)</f>
        <v>3859360.6401186776</v>
      </c>
      <c r="V225" s="73">
        <f t="shared" si="54"/>
        <v>3859360.6401186776</v>
      </c>
      <c r="W225" s="12"/>
      <c r="X225" s="73">
        <f t="shared" si="55"/>
        <v>51403561.807310641</v>
      </c>
      <c r="Y225" s="73">
        <f t="shared" si="56"/>
        <v>15726490.64600545</v>
      </c>
      <c r="Z225" s="73">
        <f t="shared" si="56"/>
        <v>-18526455.685975295</v>
      </c>
      <c r="AA225" s="12">
        <f t="shared" si="57"/>
        <v>-0.27058084260450188</v>
      </c>
      <c r="AB225" s="115">
        <f t="shared" si="58"/>
        <v>42103921.08518289</v>
      </c>
      <c r="AC225" s="73">
        <f>AB225/SUMIFS(FinParameters!$L$8:$L$39,FinParameters!$B$8:$B$39,Financials!$E225,FinParameters!$C$8:$C$39,Financials!$F225)</f>
        <v>30543042.250118047</v>
      </c>
      <c r="AD225" s="73">
        <f t="shared" si="59"/>
        <v>30543042.250118047</v>
      </c>
      <c r="AE225" s="12"/>
      <c r="AF225" s="73">
        <f t="shared" si="60"/>
        <v>93507482.892493531</v>
      </c>
      <c r="AG225" s="73">
        <f t="shared" si="61"/>
        <v>46269532.896123499</v>
      </c>
      <c r="AH225" s="73">
        <f t="shared" si="61"/>
        <v>12016586.564142752</v>
      </c>
      <c r="AI225" s="12">
        <f t="shared" si="62"/>
        <v>0.1755035163157013</v>
      </c>
      <c r="AL225" s="73">
        <f>Summary!G225</f>
        <v>-2853425.8454408487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5083577.5193100525</v>
      </c>
      <c r="AN225" s="20">
        <f>Summary!I225</f>
        <v>5465727.6253194036</v>
      </c>
      <c r="AP225" s="12">
        <v>1</v>
      </c>
    </row>
    <row r="226" spans="1:42" x14ac:dyDescent="0.3">
      <c r="A226">
        <v>222</v>
      </c>
      <c r="B226" t="str">
        <f>Summary!B226</f>
        <v>MarinusSnowyYallourn</v>
      </c>
      <c r="C226" t="str">
        <f>Summary!C226</f>
        <v>Wind</v>
      </c>
      <c r="D226" s="90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-32548350.147776261</v>
      </c>
      <c r="H226" s="73">
        <f>SUMIFS(AM$5:AM226,$F$5:$F226,$F226,$D$5:$D226,$D226)</f>
        <v>98651404.070760086</v>
      </c>
      <c r="I226" s="20">
        <f>SUMIFS(AN$5:AN226,$F$5:$F226,$F226,$D$5:$D226,$D226)</f>
        <v>46551374.093569659</v>
      </c>
      <c r="J226" s="73">
        <f t="shared" si="48"/>
        <v>46551374.093569659</v>
      </c>
      <c r="K226" s="73">
        <f t="shared" si="49"/>
        <v>14003023.945793398</v>
      </c>
      <c r="L226" s="73">
        <f t="shared" si="50"/>
        <v>112654428.01655349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33427555.554121483</v>
      </c>
      <c r="Q226" s="73">
        <f>P226/SUMIFS(FinParameters!$H$8:$H$39,FinParameters!$B$8:$B$39,Financials!$E226,FinParameters!$C$8:$C$39,Financials!$F226)</f>
        <v>8608072.0819671471</v>
      </c>
      <c r="R226" s="73">
        <f t="shared" si="63"/>
        <v>-35041651.3108107</v>
      </c>
      <c r="S226" s="12">
        <f t="shared" si="52"/>
        <v>-0.51178701952743011</v>
      </c>
      <c r="T226" s="115">
        <f t="shared" si="53"/>
        <v>-32548350.147776261</v>
      </c>
      <c r="U226" s="73">
        <f>T226/SUMIFS(FinParameters!$L$8:$L$39,FinParameters!$B$8:$B$39,Financials!$E226,FinParameters!$C$8:$C$39,Financials!$F226)</f>
        <v>-23611236.39111647</v>
      </c>
      <c r="V226" s="73">
        <f t="shared" si="54"/>
        <v>-23611236.39111647</v>
      </c>
      <c r="W226" s="12"/>
      <c r="X226" s="73">
        <f t="shared" si="55"/>
        <v>879205.40634522215</v>
      </c>
      <c r="Y226" s="73">
        <f t="shared" si="56"/>
        <v>-15003164.309149323</v>
      </c>
      <c r="Z226" s="73">
        <f t="shared" si="56"/>
        <v>-58652887.70192717</v>
      </c>
      <c r="AA226" s="12">
        <f t="shared" si="57"/>
        <v>-0.85663162153507244</v>
      </c>
      <c r="AB226" s="115">
        <f t="shared" si="58"/>
        <v>98651404.070760086</v>
      </c>
      <c r="AC226" s="73">
        <f>AB226/SUMIFS(FinParameters!$L$8:$L$39,FinParameters!$B$8:$B$39,Financials!$E226,FinParameters!$C$8:$C$39,Financials!$F226)</f>
        <v>71563738.599801347</v>
      </c>
      <c r="AD226" s="73">
        <f t="shared" si="59"/>
        <v>71563738.599801347</v>
      </c>
      <c r="AE226" s="12"/>
      <c r="AF226" s="73">
        <f t="shared" si="60"/>
        <v>99530609.477105305</v>
      </c>
      <c r="AG226" s="73">
        <f t="shared" si="61"/>
        <v>56560574.290652022</v>
      </c>
      <c r="AH226" s="73">
        <f t="shared" si="61"/>
        <v>12910850.897874177</v>
      </c>
      <c r="AI226" s="12">
        <f t="shared" si="62"/>
        <v>0.18856434138843103</v>
      </c>
      <c r="AL226" s="73">
        <f>Summary!G226</f>
        <v>-6779571.9407612178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11985733.569857897</v>
      </c>
      <c r="AN226" s="20">
        <f>Summary!I226</f>
        <v>4293802.9096892159</v>
      </c>
      <c r="AP226" s="12">
        <v>1</v>
      </c>
    </row>
    <row r="227" spans="1:42" x14ac:dyDescent="0.3">
      <c r="A227">
        <v>223</v>
      </c>
      <c r="B227" t="str">
        <f>Summary!B227</f>
        <v>MarinusSnowyYallourn</v>
      </c>
      <c r="C227" t="str">
        <f>Summary!C227</f>
        <v>Wind</v>
      </c>
      <c r="D227" s="90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-83239880.484263912</v>
      </c>
      <c r="H227" s="73">
        <f>SUMIFS(AM$5:AM227,$F$5:$F227,$F227,$D$5:$D227,$D227)</f>
        <v>208042719.83429036</v>
      </c>
      <c r="I227" s="20">
        <f>SUMIFS(AN$5:AN227,$F$5:$F227,$F227,$D$5:$D227,$D227)</f>
        <v>28013571.357532039</v>
      </c>
      <c r="J227" s="73">
        <f t="shared" si="48"/>
        <v>28013571.357532039</v>
      </c>
      <c r="K227" s="73">
        <f t="shared" si="49"/>
        <v>-55226309.126731873</v>
      </c>
      <c r="L227" s="73">
        <f t="shared" si="50"/>
        <v>152816410.70755848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14889752.818083864</v>
      </c>
      <c r="Q227" s="73">
        <f>P227/SUMIFS(FinParameters!$H$8:$H$39,FinParameters!$B$8:$B$39,Financials!$E227,FinParameters!$C$8:$C$39,Financials!$F227)</f>
        <v>3834323.611644892</v>
      </c>
      <c r="R227" s="73">
        <f t="shared" si="63"/>
        <v>-53579454.046848312</v>
      </c>
      <c r="S227" s="12">
        <f t="shared" si="52"/>
        <v>-0.78253358699690234</v>
      </c>
      <c r="T227" s="115">
        <f t="shared" si="53"/>
        <v>-83239880.484263912</v>
      </c>
      <c r="U227" s="73">
        <f>T227/SUMIFS(FinParameters!$L$8:$L$39,FinParameters!$B$8:$B$39,Financials!$E227,FinParameters!$C$8:$C$39,Financials!$F227)</f>
        <v>-60383905.370285437</v>
      </c>
      <c r="V227" s="73">
        <f t="shared" si="54"/>
        <v>-60383905.370285437</v>
      </c>
      <c r="W227" s="12"/>
      <c r="X227" s="73">
        <f t="shared" si="55"/>
        <v>-68350127.666180044</v>
      </c>
      <c r="Y227" s="73">
        <f t="shared" si="56"/>
        <v>-56549581.758640543</v>
      </c>
      <c r="Z227" s="73">
        <f t="shared" si="56"/>
        <v>-113963359.41713375</v>
      </c>
      <c r="AA227" s="12">
        <f t="shared" si="57"/>
        <v>-1.6644469044595034</v>
      </c>
      <c r="AB227" s="115">
        <f t="shared" si="58"/>
        <v>208042719.83429036</v>
      </c>
      <c r="AC227" s="73">
        <f>AB227/SUMIFS(FinParameters!$L$8:$L$39,FinParameters!$B$8:$B$39,Financials!$E227,FinParameters!$C$8:$C$39,Financials!$F227)</f>
        <v>150918427.97426242</v>
      </c>
      <c r="AD227" s="73">
        <f t="shared" si="59"/>
        <v>150918427.97426242</v>
      </c>
      <c r="AE227" s="12"/>
      <c r="AF227" s="73">
        <f t="shared" si="60"/>
        <v>139692592.16811031</v>
      </c>
      <c r="AG227" s="73">
        <f t="shared" si="61"/>
        <v>94368846.215621874</v>
      </c>
      <c r="AH227" s="73">
        <f t="shared" si="61"/>
        <v>36955068.557128668</v>
      </c>
      <c r="AI227" s="12">
        <f t="shared" si="62"/>
        <v>0.53973268056148493</v>
      </c>
      <c r="AL227" s="73">
        <f>Summary!G227</f>
        <v>-11325679.457185889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23872711.513877284</v>
      </c>
      <c r="AN227" s="20">
        <f>Summary!I227</f>
        <v>2927240.0775982365</v>
      </c>
      <c r="AP227" s="12">
        <v>1</v>
      </c>
    </row>
    <row r="228" spans="1:42" x14ac:dyDescent="0.3">
      <c r="A228">
        <v>224</v>
      </c>
      <c r="B228" t="str">
        <f>Summary!B228</f>
        <v>MarinusSnowyYallourn</v>
      </c>
      <c r="C228" t="str">
        <f>Summary!C228</f>
        <v>Wind</v>
      </c>
      <c r="D228" s="90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46293821.330492571</v>
      </c>
      <c r="H228" s="73">
        <f>SUMIFS(AM$5:AM228,$F$5:$F228,$F228,$D$5:$D228,$D228)</f>
        <v>-2275429.8048676131</v>
      </c>
      <c r="I228" s="20">
        <f>SUMIFS(AN$5:AN228,$F$5:$F228,$F228,$D$5:$D228,$D228)</f>
        <v>70001209.376934752</v>
      </c>
      <c r="J228" s="73">
        <f t="shared" si="48"/>
        <v>70001209.376934752</v>
      </c>
      <c r="K228" s="73">
        <f t="shared" si="49"/>
        <v>116295030.70742732</v>
      </c>
      <c r="L228" s="73">
        <f t="shared" si="50"/>
        <v>114019600.90255971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56877390.83748658</v>
      </c>
      <c r="Q228" s="73">
        <f>P228/SUMIFS(FinParameters!$H$8:$H$39,FinParameters!$B$8:$B$39,Financials!$E228,FinParameters!$C$8:$C$39,Financials!$F228)</f>
        <v>14646738.956744803</v>
      </c>
      <c r="R228" s="73">
        <f t="shared" si="63"/>
        <v>-11591816.027445599</v>
      </c>
      <c r="S228" s="12">
        <f t="shared" si="52"/>
        <v>-0.16929969775044335</v>
      </c>
      <c r="T228" s="115">
        <f t="shared" si="53"/>
        <v>46293821.330492571</v>
      </c>
      <c r="U228" s="73">
        <f>T228/SUMIFS(FinParameters!$L$8:$L$39,FinParameters!$B$8:$B$39,Financials!$E228,FinParameters!$C$8:$C$39,Financials!$F228)</f>
        <v>33582481.260023214</v>
      </c>
      <c r="V228" s="73">
        <f t="shared" si="54"/>
        <v>33582481.260023214</v>
      </c>
      <c r="W228" s="12"/>
      <c r="X228" s="73">
        <f t="shared" si="55"/>
        <v>103171212.16797915</v>
      </c>
      <c r="Y228" s="73">
        <f t="shared" si="56"/>
        <v>48229220.216768019</v>
      </c>
      <c r="Z228" s="73">
        <f t="shared" si="56"/>
        <v>21990665.232577614</v>
      </c>
      <c r="AA228" s="12">
        <f t="shared" si="57"/>
        <v>0.32117598902464511</v>
      </c>
      <c r="AB228" s="115">
        <f t="shared" si="58"/>
        <v>-2275429.8048676131</v>
      </c>
      <c r="AC228" s="73">
        <f>AB228/SUMIFS(FinParameters!$L$8:$L$39,FinParameters!$B$8:$B$39,Financials!$E228,FinParameters!$C$8:$C$39,Financials!$F228)</f>
        <v>-1650643.1438212802</v>
      </c>
      <c r="AD228" s="73">
        <f t="shared" si="59"/>
        <v>-1650643.1438212802</v>
      </c>
      <c r="AE228" s="12"/>
      <c r="AF228" s="73">
        <f t="shared" si="60"/>
        <v>100895782.36311154</v>
      </c>
      <c r="AG228" s="73">
        <f t="shared" si="61"/>
        <v>46578577.072946742</v>
      </c>
      <c r="AH228" s="73">
        <f t="shared" si="61"/>
        <v>20340022.088756334</v>
      </c>
      <c r="AI228" s="12">
        <f t="shared" si="62"/>
        <v>0.29706817151950782</v>
      </c>
      <c r="AL228" s="73">
        <f>Summary!G228</f>
        <v>569565.38721094455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116002.79188268895</v>
      </c>
      <c r="AN228" s="20">
        <f>Summary!I228</f>
        <v>6357703.8214839427</v>
      </c>
      <c r="AP228" s="12">
        <v>1</v>
      </c>
    </row>
    <row r="229" spans="1:42" x14ac:dyDescent="0.3">
      <c r="A229">
        <v>225</v>
      </c>
      <c r="B229" t="str">
        <f>Summary!B229</f>
        <v>MarinusSnowyYallourn</v>
      </c>
      <c r="C229" t="str">
        <f>Summary!C229</f>
        <v>Wind</v>
      </c>
      <c r="D229" s="90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271833469.38078588</v>
      </c>
      <c r="H229" s="73">
        <f>SUMIFS(AM$5:AM229,$F$5:$F229,$F229,$D$5:$D229,$D229)</f>
        <v>-282331381.67727906</v>
      </c>
      <c r="I229" s="20">
        <f>SUMIFS(AN$5:AN229,$F$5:$F229,$F229,$D$5:$D229,$D229)</f>
        <v>141252190.92827839</v>
      </c>
      <c r="J229" s="73">
        <f t="shared" si="48"/>
        <v>141252190.92827839</v>
      </c>
      <c r="K229" s="73">
        <f t="shared" si="49"/>
        <v>413085660.30906427</v>
      </c>
      <c r="L229" s="73">
        <f t="shared" si="50"/>
        <v>130754278.63178521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127011526.92534401</v>
      </c>
      <c r="Q229" s="73">
        <f>P229/SUMIFS(FinParameters!$H$8:$H$39,FinParameters!$B$8:$B$39,Financials!$E229,FinParameters!$C$8:$C$39,Financials!$F229)</f>
        <v>29466016.934320878</v>
      </c>
      <c r="R229" s="73">
        <f t="shared" si="63"/>
        <v>57690600.084433302</v>
      </c>
      <c r="S229" s="12">
        <f t="shared" si="52"/>
        <v>0.83222488090546409</v>
      </c>
      <c r="T229" s="115">
        <f t="shared" si="53"/>
        <v>271833469.38078588</v>
      </c>
      <c r="U229" s="73">
        <f>T229/SUMIFS(FinParameters!$L$8:$L$39,FinParameters!$B$8:$B$39,Financials!$E229,FinParameters!$C$8:$C$39,Financials!$F229)</f>
        <v>192383938.99856475</v>
      </c>
      <c r="V229" s="73">
        <f t="shared" si="54"/>
        <v>192383938.99856475</v>
      </c>
      <c r="W229" s="12"/>
      <c r="X229" s="73">
        <f t="shared" si="55"/>
        <v>398844996.30612987</v>
      </c>
      <c r="Y229" s="73">
        <f t="shared" si="56"/>
        <v>221849955.93288562</v>
      </c>
      <c r="Z229" s="73">
        <f t="shared" si="56"/>
        <v>250074539.08299804</v>
      </c>
      <c r="AA229" s="12">
        <f t="shared" si="57"/>
        <v>3.6074898371874204</v>
      </c>
      <c r="AB229" s="115">
        <f t="shared" si="58"/>
        <v>-282331381.67727906</v>
      </c>
      <c r="AC229" s="73">
        <f>AB229/SUMIFS(FinParameters!$L$8:$L$39,FinParameters!$B$8:$B$39,Financials!$E229,FinParameters!$C$8:$C$39,Financials!$F229)</f>
        <v>-199813597.02949587</v>
      </c>
      <c r="AD229" s="73">
        <f t="shared" si="59"/>
        <v>-199813597.02949587</v>
      </c>
      <c r="AE229" s="12"/>
      <c r="AF229" s="73">
        <f t="shared" si="60"/>
        <v>116513614.62885082</v>
      </c>
      <c r="AG229" s="73">
        <f t="shared" si="61"/>
        <v>22036358.903389752</v>
      </c>
      <c r="AH229" s="73">
        <f t="shared" si="61"/>
        <v>50260942.053502172</v>
      </c>
      <c r="AI229" s="12">
        <f t="shared" si="62"/>
        <v>0.72504717325620038</v>
      </c>
      <c r="AL229" s="73">
        <f>Summary!G229</f>
        <v>17732706.391014211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-24280848.011854909</v>
      </c>
      <c r="AN229" s="20">
        <f>Summary!I229</f>
        <v>10957054.567897627</v>
      </c>
      <c r="AP229" s="12">
        <v>1</v>
      </c>
    </row>
    <row r="230" spans="1:42" x14ac:dyDescent="0.3">
      <c r="A230">
        <v>226</v>
      </c>
      <c r="B230" t="str">
        <f>Summary!B230</f>
        <v>MarinusSnowyYallourn</v>
      </c>
      <c r="C230" t="str">
        <f>Summary!C230</f>
        <v>Wind</v>
      </c>
      <c r="D230" s="90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154238373.09451869</v>
      </c>
      <c r="H230" s="73">
        <f>SUMIFS(AM$5:AM230,$F$5:$F230,$F230,$D$5:$D230,$D230)</f>
        <v>-120720488.2906128</v>
      </c>
      <c r="I230" s="20">
        <f>SUMIFS(AN$5:AN230,$F$5:$F230,$F230,$D$5:$D230,$D230)</f>
        <v>103568953.44922075</v>
      </c>
      <c r="J230" s="73">
        <f t="shared" si="48"/>
        <v>103568953.44922075</v>
      </c>
      <c r="K230" s="73">
        <f t="shared" si="49"/>
        <v>257807326.54373944</v>
      </c>
      <c r="L230" s="73">
        <f t="shared" si="50"/>
        <v>137086838.25312662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89328289.446286365</v>
      </c>
      <c r="Q230" s="73">
        <f>P230/SUMIFS(FinParameters!$H$8:$H$39,FinParameters!$B$8:$B$39,Financials!$E230,FinParameters!$C$8:$C$39,Financials!$F230)</f>
        <v>20723700.858153921</v>
      </c>
      <c r="R230" s="73">
        <f t="shared" si="63"/>
        <v>20007362.605375666</v>
      </c>
      <c r="S230" s="12">
        <f t="shared" si="52"/>
        <v>0.28861937537696114</v>
      </c>
      <c r="T230" s="115">
        <f t="shared" si="53"/>
        <v>154238373.09451869</v>
      </c>
      <c r="U230" s="73">
        <f>T230/SUMIFS(FinParameters!$L$8:$L$39,FinParameters!$B$8:$B$39,Financials!$E230,FinParameters!$C$8:$C$39,Financials!$F230)</f>
        <v>109158691.26876229</v>
      </c>
      <c r="V230" s="73">
        <f t="shared" si="54"/>
        <v>109158691.26876229</v>
      </c>
      <c r="W230" s="12"/>
      <c r="X230" s="73">
        <f t="shared" si="55"/>
        <v>243566662.54080507</v>
      </c>
      <c r="Y230" s="73">
        <f t="shared" si="56"/>
        <v>129882392.12691621</v>
      </c>
      <c r="Z230" s="73">
        <f t="shared" si="56"/>
        <v>129166053.87413795</v>
      </c>
      <c r="AA230" s="12">
        <f t="shared" si="57"/>
        <v>1.8633053503535792</v>
      </c>
      <c r="AB230" s="115">
        <f t="shared" si="58"/>
        <v>-120720488.2906128</v>
      </c>
      <c r="AC230" s="73">
        <f>AB230/SUMIFS(FinParameters!$L$8:$L$39,FinParameters!$B$8:$B$39,Financials!$E230,FinParameters!$C$8:$C$39,Financials!$F230)</f>
        <v>-85437172.64868857</v>
      </c>
      <c r="AD230" s="73">
        <f t="shared" si="59"/>
        <v>-85437172.64868857</v>
      </c>
      <c r="AE230" s="12"/>
      <c r="AF230" s="73">
        <f t="shared" si="60"/>
        <v>122846174.25019227</v>
      </c>
      <c r="AG230" s="73">
        <f t="shared" si="61"/>
        <v>44445219.478227645</v>
      </c>
      <c r="AH230" s="73">
        <f t="shared" si="61"/>
        <v>43728881.225449383</v>
      </c>
      <c r="AI230" s="12">
        <f t="shared" si="62"/>
        <v>0.6308178960994818</v>
      </c>
      <c r="AL230" s="73">
        <f>Summary!G230</f>
        <v>8247096.3216619203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-10728215.182577154</v>
      </c>
      <c r="AN230" s="20">
        <f>Summary!I230</f>
        <v>8359796.3867861144</v>
      </c>
      <c r="AP230" s="12">
        <v>1</v>
      </c>
    </row>
    <row r="231" spans="1:42" x14ac:dyDescent="0.3">
      <c r="A231">
        <v>227</v>
      </c>
      <c r="B231" t="str">
        <f>Summary!B231</f>
        <v>MarinusSnowyYallourn</v>
      </c>
      <c r="C231" t="str">
        <f>Summary!C231</f>
        <v>Wind</v>
      </c>
      <c r="D231" s="90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88151453.94768548</v>
      </c>
      <c r="H231" s="73">
        <f>SUMIFS(AM$5:AM231,$F$5:$F231,$F231,$D$5:$D231,$D231)</f>
        <v>-49792458.721737586</v>
      </c>
      <c r="I231" s="20">
        <f>SUMIFS(AN$5:AN231,$F$5:$F231,$F231,$D$5:$D231,$D231)</f>
        <v>87653061.774518371</v>
      </c>
      <c r="J231" s="73">
        <f t="shared" si="48"/>
        <v>87653061.774518371</v>
      </c>
      <c r="K231" s="73">
        <f t="shared" si="49"/>
        <v>175804515.72220385</v>
      </c>
      <c r="L231" s="73">
        <f t="shared" si="50"/>
        <v>126012057.00046626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73412397.771583989</v>
      </c>
      <c r="Q231" s="73">
        <f>P231/SUMIFS(FinParameters!$H$8:$H$39,FinParameters!$B$8:$B$39,Financials!$E231,FinParameters!$C$8:$C$39,Financials!$F231)</f>
        <v>17031296.357834376</v>
      </c>
      <c r="R231" s="73">
        <f t="shared" si="63"/>
        <v>4091470.93067329</v>
      </c>
      <c r="S231" s="12">
        <f t="shared" si="52"/>
        <v>5.9022161375064768E-2</v>
      </c>
      <c r="T231" s="115">
        <f t="shared" si="53"/>
        <v>88151453.94768548</v>
      </c>
      <c r="U231" s="73">
        <f>T231/SUMIFS(FinParameters!$L$8:$L$39,FinParameters!$B$8:$B$39,Financials!$E231,FinParameters!$C$8:$C$39,Financials!$F231)</f>
        <v>62387181.304558769</v>
      </c>
      <c r="V231" s="73">
        <f t="shared" si="54"/>
        <v>62387181.304558769</v>
      </c>
      <c r="W231" s="12"/>
      <c r="X231" s="73">
        <f t="shared" si="55"/>
        <v>161563851.71926948</v>
      </c>
      <c r="Y231" s="73">
        <f t="shared" si="56"/>
        <v>79418477.662393153</v>
      </c>
      <c r="Z231" s="73">
        <f t="shared" si="56"/>
        <v>66478652.235232055</v>
      </c>
      <c r="AA231" s="12">
        <f t="shared" si="57"/>
        <v>0.9589983178932161</v>
      </c>
      <c r="AB231" s="115">
        <f t="shared" si="58"/>
        <v>-49792458.721737586</v>
      </c>
      <c r="AC231" s="73">
        <f>AB231/SUMIFS(FinParameters!$L$8:$L$39,FinParameters!$B$8:$B$39,Financials!$E231,FinParameters!$C$8:$C$39,Financials!$F231)</f>
        <v>-35239477.181128941</v>
      </c>
      <c r="AD231" s="73">
        <f t="shared" si="59"/>
        <v>-35239477.181128941</v>
      </c>
      <c r="AE231" s="12"/>
      <c r="AF231" s="73">
        <f t="shared" si="60"/>
        <v>111771392.99753189</v>
      </c>
      <c r="AG231" s="73">
        <f t="shared" si="61"/>
        <v>44179000.481264211</v>
      </c>
      <c r="AH231" s="73">
        <f t="shared" si="61"/>
        <v>31239175.054103114</v>
      </c>
      <c r="AI231" s="12">
        <f t="shared" si="62"/>
        <v>0.45064566326119693</v>
      </c>
      <c r="AL231" s="73">
        <f>Summary!G231</f>
        <v>4997956.4359967588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-4808300.599894085</v>
      </c>
      <c r="AN231" s="20">
        <f>Summary!I231</f>
        <v>7503069.0534227761</v>
      </c>
      <c r="AP231" s="12">
        <v>1</v>
      </c>
    </row>
    <row r="232" spans="1:42" x14ac:dyDescent="0.3">
      <c r="A232">
        <v>228</v>
      </c>
      <c r="B232" t="str">
        <f>Summary!B232</f>
        <v>MarinusSnowyYallourn</v>
      </c>
      <c r="C232" t="str">
        <f>Summary!C232</f>
        <v>Wind</v>
      </c>
      <c r="D232" s="90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41087557.753688239</v>
      </c>
      <c r="H232" s="73">
        <f>SUMIFS(AM$5:AM232,$F$5:$F232,$F232,$D$5:$D232,$D232)</f>
        <v>-344372.18795961898</v>
      </c>
      <c r="I232" s="20">
        <f>SUMIFS(AN$5:AN232,$F$5:$F232,$F232,$D$5:$D232,$D232)</f>
        <v>76243026.141424</v>
      </c>
      <c r="J232" s="73">
        <f t="shared" si="48"/>
        <v>76243026.141424</v>
      </c>
      <c r="K232" s="73">
        <f t="shared" si="49"/>
        <v>117330583.89511225</v>
      </c>
      <c r="L232" s="73">
        <f t="shared" si="50"/>
        <v>116986211.70715262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62002362.138489619</v>
      </c>
      <c r="Q232" s="73">
        <f>P232/SUMIFS(FinParameters!$H$8:$H$39,FinParameters!$B$8:$B$39,Financials!$E232,FinParameters!$C$8:$C$39,Financials!$F232)</f>
        <v>14384227.140379941</v>
      </c>
      <c r="R232" s="73">
        <f t="shared" si="63"/>
        <v>-7318564.7024210803</v>
      </c>
      <c r="S232" s="12">
        <f t="shared" si="52"/>
        <v>-0.10557511325861166</v>
      </c>
      <c r="T232" s="115">
        <f t="shared" si="53"/>
        <v>41087557.753688239</v>
      </c>
      <c r="U232" s="73">
        <f>T232/SUMIFS(FinParameters!$L$8:$L$39,FinParameters!$B$8:$B$39,Financials!$E232,FinParameters!$C$8:$C$39,Financials!$F232)</f>
        <v>29078782.029643208</v>
      </c>
      <c r="V232" s="73">
        <f t="shared" si="54"/>
        <v>29078782.029643208</v>
      </c>
      <c r="W232" s="12"/>
      <c r="X232" s="73">
        <f t="shared" si="55"/>
        <v>103089919.89217786</v>
      </c>
      <c r="Y232" s="73">
        <f t="shared" si="56"/>
        <v>43463009.170023151</v>
      </c>
      <c r="Z232" s="73">
        <f t="shared" si="56"/>
        <v>21760217.327222127</v>
      </c>
      <c r="AA232" s="12">
        <f t="shared" si="57"/>
        <v>0.31390545855165969</v>
      </c>
      <c r="AB232" s="115">
        <f t="shared" si="58"/>
        <v>-344372.18795961898</v>
      </c>
      <c r="AC232" s="73">
        <f>AB232/SUMIFS(FinParameters!$L$8:$L$39,FinParameters!$B$8:$B$39,Financials!$E232,FinParameters!$C$8:$C$39,Financials!$F232)</f>
        <v>-243721.56288238327</v>
      </c>
      <c r="AD232" s="73">
        <f t="shared" si="59"/>
        <v>-243721.56288238327</v>
      </c>
      <c r="AE232" s="12"/>
      <c r="AF232" s="73">
        <f t="shared" si="60"/>
        <v>102745547.70421824</v>
      </c>
      <c r="AG232" s="73">
        <f t="shared" si="61"/>
        <v>43219287.607140765</v>
      </c>
      <c r="AH232" s="73">
        <f t="shared" si="61"/>
        <v>21516495.764339745</v>
      </c>
      <c r="AI232" s="12">
        <f t="shared" si="62"/>
        <v>0.31038961457799619</v>
      </c>
      <c r="AL232" s="73">
        <f>Summary!G232</f>
        <v>1966981.3243338447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-148592.49884041652</v>
      </c>
      <c r="AN232" s="20">
        <f>Summary!I232</f>
        <v>6699581.7440691888</v>
      </c>
      <c r="AP232" s="12">
        <v>1</v>
      </c>
    </row>
    <row r="233" spans="1:42" x14ac:dyDescent="0.3">
      <c r="A233">
        <v>229</v>
      </c>
      <c r="B233" t="str">
        <f>Summary!B233</f>
        <v>MarinusSnowyYallourn</v>
      </c>
      <c r="C233" t="str">
        <f>Summary!C233</f>
        <v>Wind</v>
      </c>
      <c r="D233" s="90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3160211.2378036259</v>
      </c>
      <c r="H233" s="73">
        <f>SUMIFS(AM$5:AM233,$F$5:$F233,$F233,$D$5:$D233,$D233)</f>
        <v>47558867.519301362</v>
      </c>
      <c r="I233" s="20">
        <f>SUMIFS(AN$5:AN233,$F$5:$F233,$F233,$D$5:$D233,$D233)</f>
        <v>64846387.644678302</v>
      </c>
      <c r="J233" s="73">
        <f t="shared" si="48"/>
        <v>64846387.644678302</v>
      </c>
      <c r="K233" s="73">
        <f t="shared" si="49"/>
        <v>68006598.882481933</v>
      </c>
      <c r="L233" s="73">
        <f t="shared" si="50"/>
        <v>115565466.40178329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50605723.641743921</v>
      </c>
      <c r="Q233" s="73">
        <f>P233/SUMIFS(FinParameters!$H$8:$H$39,FinParameters!$B$8:$B$39,Financials!$E233,FinParameters!$C$8:$C$39,Financials!$F233)</f>
        <v>11740265.989225294</v>
      </c>
      <c r="R233" s="73">
        <f t="shared" si="63"/>
        <v>-18715203.199166778</v>
      </c>
      <c r="S233" s="12">
        <f t="shared" si="52"/>
        <v>-0.26997912538182833</v>
      </c>
      <c r="T233" s="115">
        <f t="shared" si="53"/>
        <v>3160211.2378036259</v>
      </c>
      <c r="U233" s="73">
        <f>T233/SUMIFS(FinParameters!$L$8:$L$39,FinParameters!$B$8:$B$39,Financials!$E233,FinParameters!$C$8:$C$39,Financials!$F233)</f>
        <v>2236567.4373398745</v>
      </c>
      <c r="V233" s="73">
        <f t="shared" si="54"/>
        <v>2236567.4373398745</v>
      </c>
      <c r="W233" s="12"/>
      <c r="X233" s="73">
        <f t="shared" si="55"/>
        <v>53765934.879547551</v>
      </c>
      <c r="Y233" s="73">
        <f t="shared" si="56"/>
        <v>13976833.426565168</v>
      </c>
      <c r="Z233" s="73">
        <f t="shared" si="56"/>
        <v>-16478635.761826904</v>
      </c>
      <c r="AA233" s="12">
        <f t="shared" si="57"/>
        <v>-0.23771516788349994</v>
      </c>
      <c r="AB233" s="115">
        <f t="shared" si="58"/>
        <v>47558867.519301362</v>
      </c>
      <c r="AC233" s="73">
        <f>AB233/SUMIFS(FinParameters!$L$8:$L$39,FinParameters!$B$8:$B$39,Financials!$E233,FinParameters!$C$8:$C$39,Financials!$F233)</f>
        <v>33658703.942954637</v>
      </c>
      <c r="AD233" s="73">
        <f t="shared" si="59"/>
        <v>33658703.942954637</v>
      </c>
      <c r="AE233" s="12"/>
      <c r="AF233" s="73">
        <f t="shared" si="60"/>
        <v>101324802.39884892</v>
      </c>
      <c r="AG233" s="73">
        <f t="shared" si="61"/>
        <v>47635537.369519807</v>
      </c>
      <c r="AH233" s="73">
        <f t="shared" si="61"/>
        <v>17180068.181127734</v>
      </c>
      <c r="AI233" s="12">
        <f t="shared" si="62"/>
        <v>0.24783379224798074</v>
      </c>
      <c r="AL233" s="73">
        <f>Summary!G233</f>
        <v>-2159960.03066881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5454946.4341184748</v>
      </c>
      <c r="AN233" s="20">
        <f>Summary!I233</f>
        <v>5639178.5663919225</v>
      </c>
      <c r="AP233" s="12">
        <v>1</v>
      </c>
    </row>
    <row r="234" spans="1:42" x14ac:dyDescent="0.3">
      <c r="A234">
        <v>230</v>
      </c>
      <c r="B234" t="str">
        <f>Summary!B234</f>
        <v>MarinusSnowyYallourn</v>
      </c>
      <c r="C234" t="str">
        <f>Summary!C234</f>
        <v>Wind</v>
      </c>
      <c r="D234" s="90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-39733516.559874803</v>
      </c>
      <c r="H234" s="73">
        <f>SUMIFS(AM$5:AM234,$F$5:$F234,$F234,$D$5:$D234,$D234)</f>
        <v>111870343.89441602</v>
      </c>
      <c r="I234" s="20">
        <f>SUMIFS(AN$5:AN234,$F$5:$F234,$F234,$D$5:$D234,$D234)</f>
        <v>50832658.876642957</v>
      </c>
      <c r="J234" s="73">
        <f t="shared" si="48"/>
        <v>50832658.876642957</v>
      </c>
      <c r="K234" s="73">
        <f t="shared" si="49"/>
        <v>11099142.316768155</v>
      </c>
      <c r="L234" s="73">
        <f t="shared" si="50"/>
        <v>122969486.21118417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36591994.873708576</v>
      </c>
      <c r="Q234" s="73">
        <f>P234/SUMIFS(FinParameters!$H$8:$H$39,FinParameters!$B$8:$B$39,Financials!$E234,FinParameters!$C$8:$C$39,Financials!$F234)</f>
        <v>8489153.4391445108</v>
      </c>
      <c r="R234" s="73">
        <f t="shared" si="63"/>
        <v>-32728931.967202123</v>
      </c>
      <c r="S234" s="12">
        <f t="shared" si="52"/>
        <v>-0.47213638736126495</v>
      </c>
      <c r="T234" s="115">
        <f t="shared" si="53"/>
        <v>-39733516.559874803</v>
      </c>
      <c r="U234" s="73">
        <f>T234/SUMIFS(FinParameters!$L$8:$L$39,FinParameters!$B$8:$B$39,Financials!$E234,FinParameters!$C$8:$C$39,Financials!$F234)</f>
        <v>-28120490.252602156</v>
      </c>
      <c r="V234" s="73">
        <f t="shared" si="54"/>
        <v>-28120490.252602156</v>
      </c>
      <c r="W234" s="12"/>
      <c r="X234" s="73">
        <f t="shared" si="55"/>
        <v>-3141521.686166225</v>
      </c>
      <c r="Y234" s="73">
        <f t="shared" si="56"/>
        <v>-19631336.813457645</v>
      </c>
      <c r="Z234" s="73">
        <f t="shared" si="56"/>
        <v>-60849422.21980428</v>
      </c>
      <c r="AA234" s="12">
        <f t="shared" si="57"/>
        <v>-0.87779296949464836</v>
      </c>
      <c r="AB234" s="115">
        <f t="shared" si="58"/>
        <v>111870343.89441602</v>
      </c>
      <c r="AC234" s="73">
        <f>AB234/SUMIFS(FinParameters!$L$8:$L$39,FinParameters!$B$8:$B$39,Financials!$E234,FinParameters!$C$8:$C$39,Financials!$F234)</f>
        <v>79173684.7730975</v>
      </c>
      <c r="AD234" s="73">
        <f t="shared" si="59"/>
        <v>79173684.7730975</v>
      </c>
      <c r="AE234" s="12"/>
      <c r="AF234" s="73">
        <f t="shared" si="60"/>
        <v>108728822.20824979</v>
      </c>
      <c r="AG234" s="73">
        <f t="shared" si="61"/>
        <v>59542347.959639855</v>
      </c>
      <c r="AH234" s="73">
        <f t="shared" si="61"/>
        <v>18324262.553293221</v>
      </c>
      <c r="AI234" s="12">
        <f t="shared" si="62"/>
        <v>0.26433954922943853</v>
      </c>
      <c r="AL234" s="73">
        <f>Summary!G234</f>
        <v>-7185166.4120985391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13218939.823655928</v>
      </c>
      <c r="AN234" s="20">
        <f>Summary!I234</f>
        <v>4281284.7830732958</v>
      </c>
      <c r="AP234" s="12">
        <v>1</v>
      </c>
    </row>
    <row r="235" spans="1:42" x14ac:dyDescent="0.3">
      <c r="A235">
        <v>231</v>
      </c>
      <c r="B235" t="str">
        <f>Summary!B235</f>
        <v>MarinusSnowyYallourn</v>
      </c>
      <c r="C235" t="str">
        <f>Summary!C235</f>
        <v>Wind</v>
      </c>
      <c r="D235" s="90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-94460248.21951212</v>
      </c>
      <c r="H235" s="73">
        <f>SUMIFS(AM$5:AM235,$F$5:$F235,$F235,$D$5:$D235,$D235)</f>
        <v>232107254.57668245</v>
      </c>
      <c r="I235" s="20">
        <f>SUMIFS(AN$5:AN235,$F$5:$F235,$F235,$D$5:$D235,$D235)</f>
        <v>31005550.712098312</v>
      </c>
      <c r="J235" s="73">
        <f t="shared" si="48"/>
        <v>31005550.712098312</v>
      </c>
      <c r="K235" s="73">
        <f t="shared" si="49"/>
        <v>-63454697.507413805</v>
      </c>
      <c r="L235" s="73">
        <f t="shared" si="50"/>
        <v>168652557.06926864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16764886.709163932</v>
      </c>
      <c r="Q235" s="73">
        <f>P235/SUMIFS(FinParameters!$H$8:$H$39,FinParameters!$B$8:$B$39,Financials!$E235,FinParameters!$C$8:$C$39,Financials!$F235)</f>
        <v>3889366.9545801147</v>
      </c>
      <c r="R235" s="73">
        <f t="shared" si="63"/>
        <v>-52556040.131746769</v>
      </c>
      <c r="S235" s="12">
        <f t="shared" si="52"/>
        <v>-0.75815547377722159</v>
      </c>
      <c r="T235" s="115">
        <f t="shared" si="53"/>
        <v>-94460248.21951212</v>
      </c>
      <c r="U235" s="73">
        <f>T235/SUMIFS(FinParameters!$L$8:$L$39,FinParameters!$B$8:$B$39,Financials!$E235,FinParameters!$C$8:$C$39,Financials!$F235)</f>
        <v>-66852086.583185136</v>
      </c>
      <c r="V235" s="73">
        <f t="shared" si="54"/>
        <v>-66852086.583185136</v>
      </c>
      <c r="W235" s="12"/>
      <c r="X235" s="73">
        <f t="shared" si="55"/>
        <v>-77695361.510348186</v>
      </c>
      <c r="Y235" s="73">
        <f t="shared" si="56"/>
        <v>-62962719.628605023</v>
      </c>
      <c r="Z235" s="73">
        <f t="shared" si="56"/>
        <v>-119408126.71493191</v>
      </c>
      <c r="AA235" s="12">
        <f t="shared" si="57"/>
        <v>-1.7225408279518495</v>
      </c>
      <c r="AB235" s="115">
        <f t="shared" si="58"/>
        <v>232107254.57668245</v>
      </c>
      <c r="AC235" s="73">
        <f>AB235/SUMIFS(FinParameters!$L$8:$L$39,FinParameters!$B$8:$B$39,Financials!$E235,FinParameters!$C$8:$C$39,Financials!$F235)</f>
        <v>164268616.39709878</v>
      </c>
      <c r="AD235" s="73">
        <f t="shared" si="59"/>
        <v>164268616.39709878</v>
      </c>
      <c r="AE235" s="12"/>
      <c r="AF235" s="73">
        <f t="shared" si="60"/>
        <v>154411893.06633425</v>
      </c>
      <c r="AG235" s="73">
        <f t="shared" si="61"/>
        <v>101305896.76849376</v>
      </c>
      <c r="AH235" s="73">
        <f t="shared" si="61"/>
        <v>44860489.682166874</v>
      </c>
      <c r="AI235" s="12">
        <f t="shared" si="62"/>
        <v>0.64714209296595604</v>
      </c>
      <c r="AL235" s="73">
        <f>Summary!G235</f>
        <v>-11220367.735248208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24064534.742392078</v>
      </c>
      <c r="AN235" s="20">
        <f>Summary!I235</f>
        <v>2991979.3545662733</v>
      </c>
      <c r="AP235" s="12">
        <v>1</v>
      </c>
    </row>
    <row r="236" spans="1:42" x14ac:dyDescent="0.3">
      <c r="A236">
        <v>232</v>
      </c>
      <c r="B236" t="str">
        <f>Summary!B236</f>
        <v>MarinusSnowyYallourn</v>
      </c>
      <c r="C236" t="str">
        <f>Summary!C236</f>
        <v>Wind</v>
      </c>
      <c r="D236" s="90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47637731.25491672</v>
      </c>
      <c r="H236" s="73">
        <f>SUMIFS(AM$5:AM236,$F$5:$F236,$F236,$D$5:$D236,$D236)</f>
        <v>-1826669.6787171762</v>
      </c>
      <c r="I236" s="20">
        <f>SUMIFS(AN$5:AN236,$F$5:$F236,$F236,$D$5:$D236,$D236)</f>
        <v>76534320.336961284</v>
      </c>
      <c r="J236" s="73">
        <f t="shared" si="48"/>
        <v>76534320.336961284</v>
      </c>
      <c r="K236" s="73">
        <f t="shared" si="49"/>
        <v>124172051.591878</v>
      </c>
      <c r="L236" s="73">
        <f t="shared" si="50"/>
        <v>122345381.91316083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62293656.334026903</v>
      </c>
      <c r="Q236" s="73">
        <f>P236/SUMIFS(FinParameters!$H$8:$H$39,FinParameters!$B$8:$B$39,Financials!$E236,FinParameters!$C$8:$C$39,Financials!$F236)</f>
        <v>14451805.886233585</v>
      </c>
      <c r="R236" s="73">
        <f t="shared" si="63"/>
        <v>-7027270.5068837963</v>
      </c>
      <c r="S236" s="12">
        <f t="shared" si="52"/>
        <v>-0.10137300274433947</v>
      </c>
      <c r="T236" s="115">
        <f t="shared" si="53"/>
        <v>47637731.25491672</v>
      </c>
      <c r="U236" s="73">
        <f>T236/SUMIFS(FinParameters!$L$8:$L$39,FinParameters!$B$8:$B$39,Financials!$E236,FinParameters!$C$8:$C$39,Financials!$F236)</f>
        <v>33714517.953408845</v>
      </c>
      <c r="V236" s="73">
        <f t="shared" si="54"/>
        <v>33714517.953408845</v>
      </c>
      <c r="W236" s="12"/>
      <c r="X236" s="73">
        <f t="shared" si="55"/>
        <v>109931387.58894362</v>
      </c>
      <c r="Y236" s="73">
        <f t="shared" si="56"/>
        <v>48166323.839642428</v>
      </c>
      <c r="Z236" s="73">
        <f t="shared" si="56"/>
        <v>26687247.446525048</v>
      </c>
      <c r="AA236" s="12">
        <f t="shared" si="57"/>
        <v>0.38498111122737039</v>
      </c>
      <c r="AB236" s="115">
        <f t="shared" si="58"/>
        <v>-1826669.6787171762</v>
      </c>
      <c r="AC236" s="73">
        <f>AB236/SUMIFS(FinParameters!$L$8:$L$39,FinParameters!$B$8:$B$39,Financials!$E236,FinParameters!$C$8:$C$39,Financials!$F236)</f>
        <v>-1292783.8092982555</v>
      </c>
      <c r="AD236" s="73">
        <f t="shared" si="59"/>
        <v>-1292783.8092982555</v>
      </c>
      <c r="AE236" s="12"/>
      <c r="AF236" s="73">
        <f t="shared" si="60"/>
        <v>108104717.91022643</v>
      </c>
      <c r="AG236" s="73">
        <f t="shared" si="61"/>
        <v>46873540.030344173</v>
      </c>
      <c r="AH236" s="73">
        <f t="shared" si="61"/>
        <v>25394463.637226794</v>
      </c>
      <c r="AI236" s="12">
        <f t="shared" si="62"/>
        <v>0.36633185380666172</v>
      </c>
      <c r="AL236" s="73">
        <f>Summary!G236</f>
        <v>1343909.9244241479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448760.12615043699</v>
      </c>
      <c r="AN236" s="20">
        <f>Summary!I236</f>
        <v>6533110.9600265278</v>
      </c>
      <c r="AP236" s="12">
        <v>1</v>
      </c>
    </row>
    <row r="237" spans="1:42" x14ac:dyDescent="0.3">
      <c r="A237">
        <v>233</v>
      </c>
      <c r="B237" t="str">
        <f>Summary!B237</f>
        <v>MarinusSnowyYallourn</v>
      </c>
      <c r="C237" t="str">
        <f>Summary!C237</f>
        <v>Wind</v>
      </c>
      <c r="D237" s="90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287550371.3446756</v>
      </c>
      <c r="H237" s="73">
        <f>SUMIFS(AM$5:AM237,$F$5:$F237,$F237,$D$5:$D237,$D237)</f>
        <v>-305922676.05135375</v>
      </c>
      <c r="I237" s="20">
        <f>SUMIFS(AN$5:AN237,$F$5:$F237,$F237,$D$5:$D237,$D237)</f>
        <v>151780261.46288523</v>
      </c>
      <c r="J237" s="73">
        <f t="shared" si="48"/>
        <v>151780261.46288523</v>
      </c>
      <c r="K237" s="73">
        <f t="shared" si="49"/>
        <v>439330632.8075608</v>
      </c>
      <c r="L237" s="73">
        <f t="shared" si="50"/>
        <v>133407956.75620708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136394830.8598775</v>
      </c>
      <c r="Q237" s="73">
        <f>P237/SUMIFS(FinParameters!$H$8:$H$39,FinParameters!$B$8:$B$39,Financials!$E237,FinParameters!$C$8:$C$39,Financials!$F237)</f>
        <v>28507112.510349419</v>
      </c>
      <c r="R237" s="73">
        <f t="shared" si="63"/>
        <v>66369082.522961155</v>
      </c>
      <c r="S237" s="12">
        <f t="shared" si="52"/>
        <v>0.94778112478910193</v>
      </c>
      <c r="T237" s="115">
        <f t="shared" si="53"/>
        <v>287550371.3446756</v>
      </c>
      <c r="U237" s="73">
        <f>T237/SUMIFS(FinParameters!$L$8:$L$39,FinParameters!$B$8:$B$39,Financials!$E237,FinParameters!$C$8:$C$39,Financials!$F237)</f>
        <v>198543627.2697587</v>
      </c>
      <c r="V237" s="73">
        <f t="shared" si="54"/>
        <v>198543627.2697587</v>
      </c>
      <c r="W237" s="12"/>
      <c r="X237" s="73">
        <f t="shared" si="55"/>
        <v>423945202.20455307</v>
      </c>
      <c r="Y237" s="73">
        <f t="shared" si="56"/>
        <v>227050739.78010812</v>
      </c>
      <c r="Z237" s="73">
        <f t="shared" si="56"/>
        <v>264912709.79271984</v>
      </c>
      <c r="AA237" s="12">
        <f t="shared" si="57"/>
        <v>3.783075741199363</v>
      </c>
      <c r="AB237" s="115">
        <f t="shared" si="58"/>
        <v>-305922676.05135375</v>
      </c>
      <c r="AC237" s="73">
        <f>AB237/SUMIFS(FinParameters!$L$8:$L$39,FinParameters!$B$8:$B$39,Financials!$E237,FinParameters!$C$8:$C$39,Financials!$F237)</f>
        <v>-211229070.86947075</v>
      </c>
      <c r="AD237" s="73">
        <f t="shared" si="59"/>
        <v>-211229070.86947075</v>
      </c>
      <c r="AE237" s="12"/>
      <c r="AF237" s="73">
        <f t="shared" si="60"/>
        <v>118022526.15319932</v>
      </c>
      <c r="AG237" s="73">
        <f t="shared" si="61"/>
        <v>15821668.910637379</v>
      </c>
      <c r="AH237" s="73">
        <f t="shared" si="61"/>
        <v>53683638.923249096</v>
      </c>
      <c r="AI237" s="12">
        <f t="shared" si="62"/>
        <v>0.76662713642073321</v>
      </c>
      <c r="AL237" s="73">
        <f>Summary!G237</f>
        <v>15716901.963889744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-23591294.374074675</v>
      </c>
      <c r="AN237" s="20">
        <f>Summary!I237</f>
        <v>10528070.534606842</v>
      </c>
      <c r="AP237" s="12">
        <v>1</v>
      </c>
    </row>
    <row r="238" spans="1:42" x14ac:dyDescent="0.3">
      <c r="A238">
        <v>234</v>
      </c>
      <c r="B238" t="str">
        <f>Summary!B238</f>
        <v>MarinusSnowyYallourn</v>
      </c>
      <c r="C238" t="str">
        <f>Summary!C238</f>
        <v>Wind</v>
      </c>
      <c r="D238" s="90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161172470.20908824</v>
      </c>
      <c r="H238" s="73">
        <f>SUMIFS(AM$5:AM238,$F$5:$F238,$F238,$D$5:$D238,$D238)</f>
        <v>-130310117.50784138</v>
      </c>
      <c r="I238" s="20">
        <f>SUMIFS(AN$5:AN238,$F$5:$F238,$F238,$D$5:$D238,$D238)</f>
        <v>111703824.65531845</v>
      </c>
      <c r="J238" s="73">
        <f t="shared" si="48"/>
        <v>111703824.65531845</v>
      </c>
      <c r="K238" s="73">
        <f t="shared" si="49"/>
        <v>272876294.8644067</v>
      </c>
      <c r="L238" s="73">
        <f t="shared" si="50"/>
        <v>142566177.3565653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96318394.05231072</v>
      </c>
      <c r="Q238" s="73">
        <f>P238/SUMIFS(FinParameters!$H$8:$H$39,FinParameters!$B$8:$B$39,Financials!$E238,FinParameters!$C$8:$C$39,Financials!$F238)</f>
        <v>20130963.019311141</v>
      </c>
      <c r="R238" s="73">
        <f t="shared" si="63"/>
        <v>26292645.715394378</v>
      </c>
      <c r="S238" s="12">
        <f t="shared" si="52"/>
        <v>0.37547111369509434</v>
      </c>
      <c r="T238" s="115">
        <f t="shared" si="53"/>
        <v>161172470.20908824</v>
      </c>
      <c r="U238" s="73">
        <f>T238/SUMIFS(FinParameters!$L$8:$L$39,FinParameters!$B$8:$B$39,Financials!$E238,FinParameters!$C$8:$C$39,Financials!$F238)</f>
        <v>111284039.39003302</v>
      </c>
      <c r="V238" s="73">
        <f t="shared" si="54"/>
        <v>111284039.39003302</v>
      </c>
      <c r="W238" s="12"/>
      <c r="X238" s="73">
        <f t="shared" si="55"/>
        <v>257490864.26139897</v>
      </c>
      <c r="Y238" s="73">
        <f t="shared" si="56"/>
        <v>131415002.40934417</v>
      </c>
      <c r="Z238" s="73">
        <f t="shared" si="56"/>
        <v>137576685.10542738</v>
      </c>
      <c r="AA238" s="12">
        <f t="shared" si="57"/>
        <v>1.9646585487883943</v>
      </c>
      <c r="AB238" s="115">
        <f t="shared" si="58"/>
        <v>-130310117.50784138</v>
      </c>
      <c r="AC238" s="73">
        <f>AB238/SUMIFS(FinParameters!$L$8:$L$39,FinParameters!$B$8:$B$39,Financials!$E238,FinParameters!$C$8:$C$39,Financials!$F238)</f>
        <v>-89974647.846805423</v>
      </c>
      <c r="AD238" s="73">
        <f t="shared" si="59"/>
        <v>-89974647.846805423</v>
      </c>
      <c r="AE238" s="12"/>
      <c r="AF238" s="73">
        <f t="shared" si="60"/>
        <v>127180746.75355759</v>
      </c>
      <c r="AG238" s="73">
        <f t="shared" si="61"/>
        <v>41440354.562538743</v>
      </c>
      <c r="AH238" s="73">
        <f t="shared" si="61"/>
        <v>47602037.258621961</v>
      </c>
      <c r="AI238" s="12">
        <f t="shared" si="62"/>
        <v>0.67977905826287333</v>
      </c>
      <c r="AL238" s="73">
        <f>Summary!G238</f>
        <v>6934097.1145695476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-9589629.2172285765</v>
      </c>
      <c r="AN238" s="20">
        <f>Summary!I238</f>
        <v>8134871.2060977109</v>
      </c>
      <c r="AP238" s="12">
        <v>1</v>
      </c>
    </row>
    <row r="239" spans="1:42" x14ac:dyDescent="0.3">
      <c r="A239">
        <v>235</v>
      </c>
      <c r="B239" t="str">
        <f>Summary!B239</f>
        <v>MarinusSnowyYallourn</v>
      </c>
      <c r="C239" t="str">
        <f>Summary!C239</f>
        <v>Wind</v>
      </c>
      <c r="D239" s="90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92493438.396915048</v>
      </c>
      <c r="H239" s="73">
        <f>SUMIFS(AM$5:AM239,$F$5:$F239,$F239,$D$5:$D239,$D239)</f>
        <v>-54212678.730171435</v>
      </c>
      <c r="I239" s="20">
        <f>SUMIFS(AN$5:AN239,$F$5:$F239,$F239,$D$5:$D239,$D239)</f>
        <v>95057695.399213508</v>
      </c>
      <c r="J239" s="73">
        <f t="shared" si="48"/>
        <v>95057695.399213508</v>
      </c>
      <c r="K239" s="73">
        <f t="shared" si="49"/>
        <v>187551133.79612857</v>
      </c>
      <c r="L239" s="73">
        <f t="shared" si="50"/>
        <v>133338455.06595713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79672264.796205774</v>
      </c>
      <c r="Q239" s="73">
        <f>P239/SUMIFS(FinParameters!$H$8:$H$39,FinParameters!$B$8:$B$39,Financials!$E239,FinParameters!$C$8:$C$39,Financials!$F239)</f>
        <v>16651849.649882171</v>
      </c>
      <c r="R239" s="73">
        <f t="shared" si="63"/>
        <v>9646516.4592894334</v>
      </c>
      <c r="S239" s="12">
        <f t="shared" si="52"/>
        <v>0.13775670647426641</v>
      </c>
      <c r="T239" s="115">
        <f t="shared" si="53"/>
        <v>92493438.396915048</v>
      </c>
      <c r="U239" s="73">
        <f>T239/SUMIFS(FinParameters!$L$8:$L$39,FinParameters!$B$8:$B$39,Financials!$E239,FinParameters!$C$8:$C$39,Financials!$F239)</f>
        <v>63863533.446678415</v>
      </c>
      <c r="V239" s="73">
        <f t="shared" si="54"/>
        <v>63863533.446678415</v>
      </c>
      <c r="W239" s="12"/>
      <c r="X239" s="73">
        <f t="shared" si="55"/>
        <v>172165703.19312084</v>
      </c>
      <c r="Y239" s="73">
        <f t="shared" si="56"/>
        <v>80515383.096560583</v>
      </c>
      <c r="Z239" s="73">
        <f t="shared" si="56"/>
        <v>73510049.905967847</v>
      </c>
      <c r="AA239" s="12">
        <f t="shared" si="57"/>
        <v>1.0497574342552887</v>
      </c>
      <c r="AB239" s="115">
        <f t="shared" si="58"/>
        <v>-54212678.730171435</v>
      </c>
      <c r="AC239" s="73">
        <f>AB239/SUMIFS(FinParameters!$L$8:$L$39,FinParameters!$B$8:$B$39,Financials!$E239,FinParameters!$C$8:$C$39,Financials!$F239)</f>
        <v>-37431987.407160886</v>
      </c>
      <c r="AD239" s="73">
        <f t="shared" si="59"/>
        <v>-37431987.407160886</v>
      </c>
      <c r="AE239" s="12"/>
      <c r="AF239" s="73">
        <f t="shared" si="60"/>
        <v>117953024.4629494</v>
      </c>
      <c r="AG239" s="73">
        <f t="shared" si="61"/>
        <v>43083395.689399697</v>
      </c>
      <c r="AH239" s="73">
        <f t="shared" si="61"/>
        <v>36078062.498806961</v>
      </c>
      <c r="AI239" s="12">
        <f t="shared" si="62"/>
        <v>0.51521138089412233</v>
      </c>
      <c r="AL239" s="73">
        <f>Summary!G239</f>
        <v>4341984.449229572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-4420220.0084338496</v>
      </c>
      <c r="AN239" s="20">
        <f>Summary!I239</f>
        <v>7404633.624695139</v>
      </c>
      <c r="AP239" s="12">
        <v>1</v>
      </c>
    </row>
    <row r="240" spans="1:42" x14ac:dyDescent="0.3">
      <c r="A240">
        <v>236</v>
      </c>
      <c r="B240" t="str">
        <f>Summary!B240</f>
        <v>MarinusSnowyYallourn</v>
      </c>
      <c r="C240" t="str">
        <f>Summary!C240</f>
        <v>Wind</v>
      </c>
      <c r="D240" s="90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42861521.519034199</v>
      </c>
      <c r="H240" s="73">
        <f>SUMIFS(AM$5:AM240,$F$5:$F240,$F240,$D$5:$D240,$D240)</f>
        <v>-481273.34640643303</v>
      </c>
      <c r="I240" s="20">
        <f>SUMIFS(AN$5:AN240,$F$5:$F240,$F240,$D$5:$D240,$D240)</f>
        <v>82941525.105496109</v>
      </c>
      <c r="J240" s="73">
        <f t="shared" si="48"/>
        <v>82941525.105496109</v>
      </c>
      <c r="K240" s="73">
        <f t="shared" si="49"/>
        <v>125803046.62453032</v>
      </c>
      <c r="L240" s="73">
        <f t="shared" si="50"/>
        <v>125321773.27812389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67556094.502488375</v>
      </c>
      <c r="Q240" s="73">
        <f>P240/SUMIFS(FinParameters!$H$8:$H$39,FinParameters!$B$8:$B$39,Financials!$E240,FinParameters!$C$8:$C$39,Financials!$F240)</f>
        <v>14119517.393739767</v>
      </c>
      <c r="R240" s="73">
        <f t="shared" si="63"/>
        <v>-2469653.8344279663</v>
      </c>
      <c r="S240" s="12">
        <f t="shared" si="52"/>
        <v>-3.5267796390345864E-2</v>
      </c>
      <c r="T240" s="115">
        <f t="shared" si="53"/>
        <v>42861521.519034199</v>
      </c>
      <c r="U240" s="73">
        <f>T240/SUMIFS(FinParameters!$L$8:$L$39,FinParameters!$B$8:$B$39,Financials!$E240,FinParameters!$C$8:$C$39,Financials!$F240)</f>
        <v>29594404.322606139</v>
      </c>
      <c r="V240" s="73">
        <f t="shared" si="54"/>
        <v>29594404.322606139</v>
      </c>
      <c r="W240" s="12"/>
      <c r="X240" s="73">
        <f t="shared" si="55"/>
        <v>110417616.02152258</v>
      </c>
      <c r="Y240" s="73">
        <f t="shared" si="56"/>
        <v>43713921.716345906</v>
      </c>
      <c r="Z240" s="73">
        <f t="shared" si="56"/>
        <v>27124750.488178171</v>
      </c>
      <c r="AA240" s="12">
        <f t="shared" si="57"/>
        <v>0.38735395382955845</v>
      </c>
      <c r="AB240" s="115">
        <f t="shared" si="58"/>
        <v>-481273.34640643303</v>
      </c>
      <c r="AC240" s="73">
        <f>AB240/SUMIFS(FinParameters!$L$8:$L$39,FinParameters!$B$8:$B$39,Financials!$E240,FinParameters!$C$8:$C$39,Financials!$F240)</f>
        <v>-332302.66911828006</v>
      </c>
      <c r="AD240" s="73">
        <f t="shared" si="59"/>
        <v>-332302.66911828006</v>
      </c>
      <c r="AE240" s="12"/>
      <c r="AF240" s="73">
        <f t="shared" si="60"/>
        <v>109936342.67511615</v>
      </c>
      <c r="AG240" s="73">
        <f t="shared" si="61"/>
        <v>43381619.047227629</v>
      </c>
      <c r="AH240" s="73">
        <f t="shared" si="61"/>
        <v>26792447.81905989</v>
      </c>
      <c r="AI240" s="12">
        <f t="shared" si="62"/>
        <v>0.38260851837173987</v>
      </c>
      <c r="AL240" s="73">
        <f>Summary!G240</f>
        <v>1773963.765345963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-136901.15844681405</v>
      </c>
      <c r="AN240" s="20">
        <f>Summary!I240</f>
        <v>6698498.9640721139</v>
      </c>
      <c r="AP240" s="12">
        <v>1</v>
      </c>
    </row>
    <row r="241" spans="1:42" x14ac:dyDescent="0.3">
      <c r="A241">
        <v>237</v>
      </c>
      <c r="B241" t="str">
        <f>Summary!B241</f>
        <v>MarinusSnowyYallourn</v>
      </c>
      <c r="C241" t="str">
        <f>Summary!C241</f>
        <v>Wind</v>
      </c>
      <c r="D241" s="90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-28494.727680830751</v>
      </c>
      <c r="H241" s="73">
        <f>SUMIFS(AM$5:AM241,$F$5:$F241,$F241,$D$5:$D241,$D241)</f>
        <v>53578918.618649915</v>
      </c>
      <c r="I241" s="20">
        <f>SUMIFS(AN$5:AN241,$F$5:$F241,$F241,$D$5:$D241,$D241)</f>
        <v>70351230.039424613</v>
      </c>
      <c r="J241" s="73">
        <f t="shared" si="48"/>
        <v>70351230.039424613</v>
      </c>
      <c r="K241" s="73">
        <f t="shared" si="49"/>
        <v>70322735.311743781</v>
      </c>
      <c r="L241" s="73">
        <f t="shared" si="50"/>
        <v>123901653.9303937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54965799.436416879</v>
      </c>
      <c r="Q241" s="73">
        <f>P241/SUMIFS(FinParameters!$H$8:$H$39,FinParameters!$B$8:$B$39,Financials!$E241,FinParameters!$C$8:$C$39,Financials!$F241)</f>
        <v>11488090.999320764</v>
      </c>
      <c r="R241" s="73">
        <f t="shared" si="63"/>
        <v>-15059948.900499461</v>
      </c>
      <c r="S241" s="12">
        <f t="shared" si="52"/>
        <v>-0.21506301979153747</v>
      </c>
      <c r="T241" s="115">
        <f t="shared" si="53"/>
        <v>-28494.727680830751</v>
      </c>
      <c r="U241" s="73">
        <f>T241/SUMIFS(FinParameters!$L$8:$L$39,FinParameters!$B$8:$B$39,Financials!$E241,FinParameters!$C$8:$C$39,Financials!$F241)</f>
        <v>-19674.628015120077</v>
      </c>
      <c r="V241" s="73">
        <f t="shared" si="54"/>
        <v>-19674.628015120077</v>
      </c>
      <c r="W241" s="12"/>
      <c r="X241" s="73">
        <f t="shared" si="55"/>
        <v>54937304.708736047</v>
      </c>
      <c r="Y241" s="73">
        <f t="shared" si="56"/>
        <v>11468416.371305645</v>
      </c>
      <c r="Z241" s="73">
        <f t="shared" si="56"/>
        <v>-15079623.528514581</v>
      </c>
      <c r="AA241" s="12">
        <f t="shared" si="57"/>
        <v>-0.21534398255855366</v>
      </c>
      <c r="AB241" s="115">
        <f t="shared" si="58"/>
        <v>53578918.618649915</v>
      </c>
      <c r="AC241" s="73">
        <f>AB241/SUMIFS(FinParameters!$L$8:$L$39,FinParameters!$B$8:$B$39,Financials!$E241,FinParameters!$C$8:$C$39,Financials!$F241)</f>
        <v>36994397.878856838</v>
      </c>
      <c r="AD241" s="73">
        <f t="shared" si="59"/>
        <v>36994397.878856838</v>
      </c>
      <c r="AE241" s="12"/>
      <c r="AF241" s="73">
        <f t="shared" si="60"/>
        <v>108516223.32738596</v>
      </c>
      <c r="AG241" s="73">
        <f t="shared" si="61"/>
        <v>48462814.250162482</v>
      </c>
      <c r="AH241" s="73">
        <f t="shared" si="61"/>
        <v>21914774.350342259</v>
      </c>
      <c r="AI241" s="12">
        <f t="shared" si="62"/>
        <v>0.312953090410448</v>
      </c>
      <c r="AL241" s="73">
        <f>Summary!G241</f>
        <v>-3188705.9654844566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6020051.0993485516</v>
      </c>
      <c r="AN241" s="20">
        <f>Summary!I241</f>
        <v>5504842.3947463091</v>
      </c>
      <c r="AP241" s="12">
        <v>1</v>
      </c>
    </row>
    <row r="242" spans="1:42" x14ac:dyDescent="0.3">
      <c r="A242">
        <v>238</v>
      </c>
      <c r="B242" t="str">
        <f>Summary!B242</f>
        <v>MarinusSnowyYallourn</v>
      </c>
      <c r="C242" t="str">
        <f>Summary!C242</f>
        <v>Wind</v>
      </c>
      <c r="D242" s="90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-49441181.294179074</v>
      </c>
      <c r="H242" s="73">
        <f>SUMIFS(AM$5:AM242,$F$5:$F242,$F242,$D$5:$D242,$D242)</f>
        <v>127521811.26689105</v>
      </c>
      <c r="I242" s="20">
        <f>SUMIFS(AN$5:AN242,$F$5:$F242,$F242,$D$5:$D242,$D242)</f>
        <v>54753373.928059563</v>
      </c>
      <c r="J242" s="73">
        <f t="shared" si="48"/>
        <v>54753373.928059563</v>
      </c>
      <c r="K242" s="73">
        <f t="shared" si="49"/>
        <v>5312192.6338804886</v>
      </c>
      <c r="L242" s="73">
        <f t="shared" si="50"/>
        <v>132834003.90077154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39367943.325051829</v>
      </c>
      <c r="Q242" s="73">
        <f>P242/SUMIFS(FinParameters!$H$8:$H$39,FinParameters!$B$8:$B$39,Financials!$E242,FinParameters!$C$8:$C$39,Financials!$F242)</f>
        <v>8228071.2736192308</v>
      </c>
      <c r="R242" s="73">
        <f t="shared" si="63"/>
        <v>-30657805.011864513</v>
      </c>
      <c r="S242" s="12">
        <f t="shared" si="52"/>
        <v>-0.43780760277433917</v>
      </c>
      <c r="T242" s="115">
        <f t="shared" si="53"/>
        <v>-49441181.294179074</v>
      </c>
      <c r="U242" s="73">
        <f>T242/SUMIFS(FinParameters!$L$8:$L$39,FinParameters!$B$8:$B$39,Financials!$E242,FinParameters!$C$8:$C$39,Financials!$F242)</f>
        <v>-34137432.773062624</v>
      </c>
      <c r="V242" s="73">
        <f t="shared" si="54"/>
        <v>-34137432.773062624</v>
      </c>
      <c r="W242" s="12"/>
      <c r="X242" s="73">
        <f t="shared" si="55"/>
        <v>-10073237.969127249</v>
      </c>
      <c r="Y242" s="73">
        <f t="shared" si="56"/>
        <v>-25909361.499443393</v>
      </c>
      <c r="Z242" s="73">
        <f t="shared" si="56"/>
        <v>-64795237.784927137</v>
      </c>
      <c r="AA242" s="12">
        <f t="shared" si="57"/>
        <v>-0.92530589567106747</v>
      </c>
      <c r="AB242" s="115">
        <f t="shared" si="58"/>
        <v>127521811.26689105</v>
      </c>
      <c r="AC242" s="73">
        <f>AB242/SUMIFS(FinParameters!$L$8:$L$39,FinParameters!$B$8:$B$39,Financials!$E242,FinParameters!$C$8:$C$39,Financials!$F242)</f>
        <v>88049418.425510034</v>
      </c>
      <c r="AD242" s="73">
        <f t="shared" si="59"/>
        <v>88049418.425510034</v>
      </c>
      <c r="AE242" s="12"/>
      <c r="AF242" s="73">
        <f t="shared" si="60"/>
        <v>117448573.29776379</v>
      </c>
      <c r="AG242" s="73">
        <f t="shared" si="61"/>
        <v>62140056.926066637</v>
      </c>
      <c r="AH242" s="73">
        <f t="shared" si="61"/>
        <v>23254180.640582897</v>
      </c>
      <c r="AI242" s="12">
        <f t="shared" si="62"/>
        <v>0.33208043031114176</v>
      </c>
      <c r="AL242" s="73">
        <f>Summary!G242</f>
        <v>-9707664.7343042735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15651467.372475026</v>
      </c>
      <c r="AN242" s="20">
        <f>Summary!I242</f>
        <v>3920715.0514166052</v>
      </c>
      <c r="AP242" s="12">
        <v>1</v>
      </c>
    </row>
    <row r="243" spans="1:42" x14ac:dyDescent="0.3">
      <c r="A243">
        <v>239</v>
      </c>
      <c r="B243" t="str">
        <f>Summary!B243</f>
        <v>MarinusSnowyYallourn</v>
      </c>
      <c r="C243" t="str">
        <f>Summary!C243</f>
        <v>Wind</v>
      </c>
      <c r="D243" s="90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-107633612.16955811</v>
      </c>
      <c r="H243" s="73">
        <f>SUMIFS(AM$5:AM243,$F$5:$F243,$F243,$D$5:$D243,$D243)</f>
        <v>260472909.04691622</v>
      </c>
      <c r="I243" s="20">
        <f>SUMIFS(AN$5:AN243,$F$5:$F243,$F243,$D$5:$D243,$D243)</f>
        <v>33740211.23790659</v>
      </c>
      <c r="J243" s="73">
        <f t="shared" si="48"/>
        <v>33740211.23790659</v>
      </c>
      <c r="K243" s="73">
        <f t="shared" si="49"/>
        <v>-73893400.931651518</v>
      </c>
      <c r="L243" s="73">
        <f t="shared" si="50"/>
        <v>186579508.11526471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18354780.634898853</v>
      </c>
      <c r="Q243" s="73">
        <f>P243/SUMIFS(FinParameters!$H$8:$H$39,FinParameters!$B$8:$B$39,Financials!$E243,FinParameters!$C$8:$C$39,Financials!$F243)</f>
        <v>3836228.9345069556</v>
      </c>
      <c r="R243" s="73">
        <f t="shared" si="63"/>
        <v>-51670967.702017486</v>
      </c>
      <c r="S243" s="12">
        <f t="shared" si="52"/>
        <v>-0.7378852626238549</v>
      </c>
      <c r="T243" s="115">
        <f t="shared" si="53"/>
        <v>-107633612.16955811</v>
      </c>
      <c r="U243" s="73">
        <f>T243/SUMIFS(FinParameters!$L$8:$L$39,FinParameters!$B$8:$B$39,Financials!$E243,FinParameters!$C$8:$C$39,Financials!$F243)</f>
        <v>-74317301.961245418</v>
      </c>
      <c r="V243" s="73">
        <f t="shared" si="54"/>
        <v>-74317301.961245418</v>
      </c>
      <c r="W243" s="12"/>
      <c r="X243" s="73">
        <f t="shared" si="55"/>
        <v>-89278831.534659252</v>
      </c>
      <c r="Y243" s="73">
        <f t="shared" si="56"/>
        <v>-70481073.026738465</v>
      </c>
      <c r="Z243" s="73">
        <f t="shared" si="56"/>
        <v>-125988269.6632629</v>
      </c>
      <c r="AA243" s="12">
        <f t="shared" si="57"/>
        <v>-1.799170628739202</v>
      </c>
      <c r="AB243" s="115">
        <f t="shared" si="58"/>
        <v>260472909.04691622</v>
      </c>
      <c r="AC243" s="73">
        <f>AB243/SUMIFS(FinParameters!$L$8:$L$39,FinParameters!$B$8:$B$39,Financials!$E243,FinParameters!$C$8:$C$39,Financials!$F243)</f>
        <v>179847572.1865496</v>
      </c>
      <c r="AD243" s="73">
        <f t="shared" si="59"/>
        <v>179847572.1865496</v>
      </c>
      <c r="AE243" s="12"/>
      <c r="AF243" s="73">
        <f t="shared" si="60"/>
        <v>171194077.51225698</v>
      </c>
      <c r="AG243" s="73">
        <f t="shared" si="61"/>
        <v>109366499.15981114</v>
      </c>
      <c r="AH243" s="73">
        <f t="shared" si="61"/>
        <v>53859302.5232867</v>
      </c>
      <c r="AI243" s="12">
        <f t="shared" si="62"/>
        <v>0.76913569369015977</v>
      </c>
      <c r="AL243" s="73">
        <f>Summary!G243</f>
        <v>-13173363.950045982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28365654.470233768</v>
      </c>
      <c r="AN243" s="20">
        <f>Summary!I243</f>
        <v>2734660.5258082771</v>
      </c>
      <c r="AP243" s="12">
        <v>1</v>
      </c>
    </row>
    <row r="244" spans="1:42" x14ac:dyDescent="0.3">
      <c r="A244">
        <v>240</v>
      </c>
      <c r="B244" t="str">
        <f>Summary!B244</f>
        <v>MarinusSnowyYallourn</v>
      </c>
      <c r="C244" t="str">
        <f>Summary!C244</f>
        <v>Wind</v>
      </c>
      <c r="D244" s="90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48005357.170730755</v>
      </c>
      <c r="H244" s="73">
        <f>SUMIFS(AM$5:AM244,$F$5:$F244,$F244,$D$5:$D244,$D244)</f>
        <v>-675701.50516261859</v>
      </c>
      <c r="I244" s="20">
        <f>SUMIFS(AN$5:AN244,$F$5:$F244,$F244,$D$5:$D244,$D244)</f>
        <v>82929939.781899333</v>
      </c>
      <c r="J244" s="73">
        <f t="shared" si="48"/>
        <v>82929939.781899333</v>
      </c>
      <c r="K244" s="73">
        <f t="shared" si="49"/>
        <v>130935296.95263009</v>
      </c>
      <c r="L244" s="73">
        <f t="shared" si="50"/>
        <v>130259595.44746748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67544509.178891599</v>
      </c>
      <c r="Q244" s="73">
        <f>P244/SUMIFS(FinParameters!$H$8:$H$39,FinParameters!$B$8:$B$39,Financials!$E244,FinParameters!$C$8:$C$39,Financials!$F244)</f>
        <v>14117096.01075069</v>
      </c>
      <c r="R244" s="73">
        <f t="shared" si="63"/>
        <v>-2481239.1580247418</v>
      </c>
      <c r="S244" s="12">
        <f t="shared" si="52"/>
        <v>-3.5433240157416154E-2</v>
      </c>
      <c r="T244" s="115">
        <f t="shared" si="53"/>
        <v>48005357.170730755</v>
      </c>
      <c r="U244" s="73">
        <f>T244/SUMIFS(FinParameters!$L$8:$L$39,FinParameters!$B$8:$B$39,Financials!$E244,FinParameters!$C$8:$C$39,Financials!$F244)</f>
        <v>33146045.670143031</v>
      </c>
      <c r="V244" s="73">
        <f t="shared" si="54"/>
        <v>33146045.670143031</v>
      </c>
      <c r="W244" s="12"/>
      <c r="X244" s="73">
        <f t="shared" si="55"/>
        <v>115549866.34962235</v>
      </c>
      <c r="Y244" s="73">
        <f t="shared" si="56"/>
        <v>47263141.680893719</v>
      </c>
      <c r="Z244" s="73">
        <f t="shared" si="56"/>
        <v>30664806.512118287</v>
      </c>
      <c r="AA244" s="12">
        <f t="shared" si="57"/>
        <v>0.43790758742884212</v>
      </c>
      <c r="AB244" s="115">
        <f t="shared" si="58"/>
        <v>-675701.50516261859</v>
      </c>
      <c r="AC244" s="73">
        <f>AB244/SUMIFS(FinParameters!$L$8:$L$39,FinParameters!$B$8:$B$39,Financials!$E244,FinParameters!$C$8:$C$39,Financials!$F244)</f>
        <v>-466548.61601904855</v>
      </c>
      <c r="AD244" s="73">
        <f t="shared" si="59"/>
        <v>-466548.61601904855</v>
      </c>
      <c r="AE244" s="12"/>
      <c r="AF244" s="73">
        <f t="shared" si="60"/>
        <v>114874164.84445974</v>
      </c>
      <c r="AG244" s="73">
        <f t="shared" si="61"/>
        <v>46796593.064874671</v>
      </c>
      <c r="AH244" s="73">
        <f t="shared" si="61"/>
        <v>30198257.89609924</v>
      </c>
      <c r="AI244" s="12">
        <f t="shared" si="62"/>
        <v>0.43124505790078432</v>
      </c>
      <c r="AL244" s="73">
        <f>Summary!G244</f>
        <v>367625.91581403313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1150968.1735545576</v>
      </c>
      <c r="AN244" s="20">
        <f>Summary!I244</f>
        <v>6395619.4449380431</v>
      </c>
      <c r="AP244" s="12">
        <v>1</v>
      </c>
    </row>
    <row r="245" spans="1:42" x14ac:dyDescent="0.3">
      <c r="A245">
        <v>241</v>
      </c>
      <c r="B245" t="str">
        <f>Summary!B245</f>
        <v>MarinusSnowyYallourn</v>
      </c>
      <c r="C245" t="str">
        <f>Summary!C245</f>
        <v>Wind</v>
      </c>
      <c r="D245" s="90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305425947.29215497</v>
      </c>
      <c r="H245" s="73">
        <f>SUMIFS(AM$5:AM245,$F$5:$F245,$F245,$D$5:$D245,$D245)</f>
        <v>-326044647.66142493</v>
      </c>
      <c r="I245" s="20">
        <f>SUMIFS(AN$5:AN245,$F$5:$F245,$F245,$D$5:$D245,$D245)</f>
        <v>162773780.74461076</v>
      </c>
      <c r="J245" s="73">
        <f t="shared" si="48"/>
        <v>162773780.74461076</v>
      </c>
      <c r="K245" s="73">
        <f t="shared" si="49"/>
        <v>468199728.03676569</v>
      </c>
      <c r="L245" s="73">
        <f t="shared" si="50"/>
        <v>142155080.37534079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146214964.37652782</v>
      </c>
      <c r="Q245" s="73">
        <f>P245/SUMIFS(FinParameters!$H$8:$H$39,FinParameters!$B$8:$B$39,Financials!$E245,FinParameters!$C$8:$C$39,Financials!$F245)</f>
        <v>27531137.927942172</v>
      </c>
      <c r="R245" s="73">
        <f t="shared" si="63"/>
        <v>75604139.432563812</v>
      </c>
      <c r="S245" s="12">
        <f t="shared" si="52"/>
        <v>1.0707159913874742</v>
      </c>
      <c r="T245" s="115">
        <f t="shared" si="53"/>
        <v>305425947.29215497</v>
      </c>
      <c r="U245" s="73">
        <f>T245/SUMIFS(FinParameters!$L$8:$L$39,FinParameters!$B$8:$B$39,Financials!$E245,FinParameters!$C$8:$C$39,Financials!$F245)</f>
        <v>205742533.43429527</v>
      </c>
      <c r="V245" s="73">
        <f t="shared" si="54"/>
        <v>205742533.43429527</v>
      </c>
      <c r="W245" s="12"/>
      <c r="X245" s="73">
        <f t="shared" si="55"/>
        <v>451640911.66868275</v>
      </c>
      <c r="Y245" s="73">
        <f t="shared" si="56"/>
        <v>233273671.36223745</v>
      </c>
      <c r="Z245" s="73">
        <f t="shared" si="56"/>
        <v>281346672.86685908</v>
      </c>
      <c r="AA245" s="12">
        <f t="shared" si="57"/>
        <v>3.9844694222186581</v>
      </c>
      <c r="AB245" s="115">
        <f t="shared" si="58"/>
        <v>-326044647.66142493</v>
      </c>
      <c r="AC245" s="73">
        <f>AB245/SUMIFS(FinParameters!$L$8:$L$39,FinParameters!$B$8:$B$39,Financials!$E245,FinParameters!$C$8:$C$39,Financials!$F245)</f>
        <v>-219631804.09943107</v>
      </c>
      <c r="AD245" s="73">
        <f t="shared" si="59"/>
        <v>-219631804.09943107</v>
      </c>
      <c r="AE245" s="12"/>
      <c r="AF245" s="73">
        <f t="shared" si="60"/>
        <v>125596264.00725782</v>
      </c>
      <c r="AG245" s="73">
        <f t="shared" si="61"/>
        <v>13641867.262806386</v>
      </c>
      <c r="AH245" s="73">
        <f t="shared" si="61"/>
        <v>61714868.767428011</v>
      </c>
      <c r="AI245" s="12">
        <f t="shared" si="62"/>
        <v>0.87401427212335037</v>
      </c>
      <c r="AL245" s="73">
        <f>Summary!G245</f>
        <v>17875575.947479371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-20121971.610071175</v>
      </c>
      <c r="AN245" s="20">
        <f>Summary!I245</f>
        <v>10993519.281725539</v>
      </c>
      <c r="AP245" s="12">
        <v>1</v>
      </c>
    </row>
    <row r="246" spans="1:42" x14ac:dyDescent="0.3">
      <c r="A246">
        <v>242</v>
      </c>
      <c r="B246" t="str">
        <f>Summary!B246</f>
        <v>MarinusSnowyYallourn</v>
      </c>
      <c r="C246" t="str">
        <f>Summary!C246</f>
        <v>Wind</v>
      </c>
      <c r="D246" s="90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169799332.86645949</v>
      </c>
      <c r="H246" s="73">
        <f>SUMIFS(AM$5:AM246,$F$5:$F246,$F246,$D$5:$D246,$D246)</f>
        <v>-138638720.99857533</v>
      </c>
      <c r="I246" s="20">
        <f>SUMIFS(AN$5:AN246,$F$5:$F246,$F246,$D$5:$D246,$D246)</f>
        <v>120164208.51072334</v>
      </c>
      <c r="J246" s="73">
        <f t="shared" si="48"/>
        <v>120164208.51072334</v>
      </c>
      <c r="K246" s="73">
        <f t="shared" si="49"/>
        <v>289963541.37718284</v>
      </c>
      <c r="L246" s="73">
        <f t="shared" si="50"/>
        <v>151324820.37860751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103605392.14264041</v>
      </c>
      <c r="Q246" s="73">
        <f>P246/SUMIFS(FinParameters!$H$8:$H$39,FinParameters!$B$8:$B$39,Financials!$E246,FinParameters!$C$8:$C$39,Financials!$F246)</f>
        <v>19508087.652452808</v>
      </c>
      <c r="R246" s="73">
        <f t="shared" si="63"/>
        <v>32994567.1986764</v>
      </c>
      <c r="S246" s="12">
        <f t="shared" si="52"/>
        <v>0.46727349843116173</v>
      </c>
      <c r="T246" s="115">
        <f t="shared" si="53"/>
        <v>169799332.86645949</v>
      </c>
      <c r="U246" s="73">
        <f>T246/SUMIFS(FinParameters!$L$8:$L$39,FinParameters!$B$8:$B$39,Financials!$E246,FinParameters!$C$8:$C$39,Financials!$F246)</f>
        <v>114381064.31075935</v>
      </c>
      <c r="V246" s="73">
        <f t="shared" si="54"/>
        <v>114381064.31075935</v>
      </c>
      <c r="W246" s="12"/>
      <c r="X246" s="73">
        <f t="shared" si="55"/>
        <v>273404725.0090999</v>
      </c>
      <c r="Y246" s="73">
        <f t="shared" si="56"/>
        <v>133889151.96321216</v>
      </c>
      <c r="Z246" s="73">
        <f t="shared" si="56"/>
        <v>147375631.50943574</v>
      </c>
      <c r="AA246" s="12">
        <f t="shared" si="57"/>
        <v>2.0871535154332421</v>
      </c>
      <c r="AB246" s="115">
        <f t="shared" si="58"/>
        <v>-138638720.99857533</v>
      </c>
      <c r="AC246" s="73">
        <f>AB246/SUMIFS(FinParameters!$L$8:$L$39,FinParameters!$B$8:$B$39,Financials!$E246,FinParameters!$C$8:$C$39,Financials!$F246)</f>
        <v>-93390499.213391393</v>
      </c>
      <c r="AD246" s="73">
        <f t="shared" si="59"/>
        <v>-93390499.213391393</v>
      </c>
      <c r="AE246" s="12"/>
      <c r="AF246" s="73">
        <f t="shared" si="60"/>
        <v>134766004.01052457</v>
      </c>
      <c r="AG246" s="73">
        <f t="shared" si="61"/>
        <v>40498652.749820769</v>
      </c>
      <c r="AH246" s="73">
        <f t="shared" si="61"/>
        <v>53985132.29604435</v>
      </c>
      <c r="AI246" s="12">
        <f t="shared" si="62"/>
        <v>0.76454470456741408</v>
      </c>
      <c r="AL246" s="73">
        <f>Summary!G246</f>
        <v>8626862.6573712379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-8328603.4907339429</v>
      </c>
      <c r="AN246" s="20">
        <f>Summary!I246</f>
        <v>8460383.8554048818</v>
      </c>
      <c r="AP246" s="12">
        <v>1</v>
      </c>
    </row>
    <row r="247" spans="1:42" x14ac:dyDescent="0.3">
      <c r="A247">
        <v>243</v>
      </c>
      <c r="B247" t="str">
        <f>Summary!B247</f>
        <v>MarinusSnowyYallourn</v>
      </c>
      <c r="C247" t="str">
        <f>Summary!C247</f>
        <v>Wind</v>
      </c>
      <c r="D247" s="90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99320911.749849662</v>
      </c>
      <c r="H247" s="73">
        <f>SUMIFS(AM$5:AM247,$F$5:$F247,$F247,$D$5:$D247,$D247)</f>
        <v>-58348598.364140026</v>
      </c>
      <c r="I247" s="20">
        <f>SUMIFS(AN$5:AN247,$F$5:$F247,$F247,$D$5:$D247,$D247)</f>
        <v>102938291.60038649</v>
      </c>
      <c r="J247" s="73">
        <f t="shared" si="48"/>
        <v>102938291.60038649</v>
      </c>
      <c r="K247" s="73">
        <f t="shared" si="49"/>
        <v>202259203.35023615</v>
      </c>
      <c r="L247" s="73">
        <f t="shared" si="50"/>
        <v>143910604.98609611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86379475.23230356</v>
      </c>
      <c r="Q247" s="73">
        <f>P247/SUMIFS(FinParameters!$H$8:$H$39,FinParameters!$B$8:$B$39,Financials!$E247,FinParameters!$C$8:$C$39,Financials!$F247)</f>
        <v>16264581.788220709</v>
      </c>
      <c r="R247" s="73">
        <f t="shared" si="63"/>
        <v>15768650.288339548</v>
      </c>
      <c r="S247" s="12">
        <f t="shared" si="52"/>
        <v>0.22331774626416531</v>
      </c>
      <c r="T247" s="115">
        <f t="shared" si="53"/>
        <v>99320911.749849662</v>
      </c>
      <c r="U247" s="73">
        <f>T247/SUMIFS(FinParameters!$L$8:$L$39,FinParameters!$B$8:$B$39,Financials!$E247,FinParameters!$C$8:$C$39,Financials!$F247)</f>
        <v>66905042.57279586</v>
      </c>
      <c r="V247" s="73">
        <f t="shared" si="54"/>
        <v>66905042.57279586</v>
      </c>
      <c r="W247" s="12"/>
      <c r="X247" s="73">
        <f t="shared" si="55"/>
        <v>185700386.98215321</v>
      </c>
      <c r="Y247" s="73">
        <f t="shared" si="56"/>
        <v>83169624.361016572</v>
      </c>
      <c r="Z247" s="73">
        <f t="shared" si="56"/>
        <v>82673692.861135408</v>
      </c>
      <c r="AA247" s="12">
        <f t="shared" si="57"/>
        <v>1.1708359578966026</v>
      </c>
      <c r="AB247" s="115">
        <f t="shared" si="58"/>
        <v>-58348598.364140026</v>
      </c>
      <c r="AC247" s="73">
        <f>AB247/SUMIFS(FinParameters!$L$8:$L$39,FinParameters!$B$8:$B$39,Financials!$E247,FinParameters!$C$8:$C$39,Financials!$F247)</f>
        <v>-39305070.692946643</v>
      </c>
      <c r="AD247" s="73">
        <f t="shared" si="59"/>
        <v>-39305070.692946643</v>
      </c>
      <c r="AE247" s="12"/>
      <c r="AF247" s="73">
        <f t="shared" si="60"/>
        <v>127351788.61801317</v>
      </c>
      <c r="AG247" s="73">
        <f t="shared" si="61"/>
        <v>43864553.668069929</v>
      </c>
      <c r="AH247" s="73">
        <f t="shared" si="61"/>
        <v>43368622.168188766</v>
      </c>
      <c r="AI247" s="12">
        <f t="shared" si="62"/>
        <v>0.61419226021797135</v>
      </c>
      <c r="AL247" s="73">
        <f>Summary!G247</f>
        <v>6827473.3529346166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-4135919.6339685889</v>
      </c>
      <c r="AN247" s="20">
        <f>Summary!I247</f>
        <v>7880596.2011729768</v>
      </c>
      <c r="AP247" s="12">
        <v>1</v>
      </c>
    </row>
    <row r="248" spans="1:42" x14ac:dyDescent="0.3">
      <c r="A248">
        <v>244</v>
      </c>
      <c r="B248" t="str">
        <f>Summary!B248</f>
        <v>MarinusSnowyYallourn</v>
      </c>
      <c r="C248" t="str">
        <f>Summary!C248</f>
        <v>Wind</v>
      </c>
      <c r="D248" s="90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47359589.286902182</v>
      </c>
      <c r="H248" s="73">
        <f>SUMIFS(AM$5:AM248,$F$5:$F248,$F248,$D$5:$D248,$D248)</f>
        <v>-519552.34315269254</v>
      </c>
      <c r="I248" s="20">
        <f>SUMIFS(AN$5:AN248,$F$5:$F248,$F248,$D$5:$D248,$D248)</f>
        <v>90150764.893448278</v>
      </c>
      <c r="J248" s="73">
        <f t="shared" si="48"/>
        <v>90150764.893448278</v>
      </c>
      <c r="K248" s="73">
        <f t="shared" si="49"/>
        <v>137510354.18035045</v>
      </c>
      <c r="L248" s="73">
        <f t="shared" si="50"/>
        <v>136990801.83719778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73591948.525365353</v>
      </c>
      <c r="Q248" s="73">
        <f>P248/SUMIFS(FinParameters!$H$8:$H$39,FinParameters!$B$8:$B$39,Financials!$E248,FinParameters!$C$8:$C$39,Financials!$F248)</f>
        <v>13856790.198439518</v>
      </c>
      <c r="R248" s="73">
        <f t="shared" si="63"/>
        <v>2981123.5814013416</v>
      </c>
      <c r="S248" s="12">
        <f t="shared" si="52"/>
        <v>4.2219073120405112E-2</v>
      </c>
      <c r="T248" s="115">
        <f t="shared" si="53"/>
        <v>47359589.286902182</v>
      </c>
      <c r="U248" s="73">
        <f>T248/SUMIFS(FinParameters!$L$8:$L$39,FinParameters!$B$8:$B$39,Financials!$E248,FinParameters!$C$8:$C$39,Financials!$F248)</f>
        <v>31902600.184045468</v>
      </c>
      <c r="V248" s="73">
        <f t="shared" si="54"/>
        <v>31902600.184045468</v>
      </c>
      <c r="W248" s="12"/>
      <c r="X248" s="73">
        <f t="shared" si="55"/>
        <v>120951537.81226753</v>
      </c>
      <c r="Y248" s="73">
        <f t="shared" si="56"/>
        <v>45759390.382484987</v>
      </c>
      <c r="Z248" s="73">
        <f t="shared" si="56"/>
        <v>34883723.765446812</v>
      </c>
      <c r="AA248" s="12">
        <f t="shared" si="57"/>
        <v>0.4940279878209915</v>
      </c>
      <c r="AB248" s="115">
        <f t="shared" si="58"/>
        <v>-519552.34315269254</v>
      </c>
      <c r="AC248" s="73">
        <f>AB248/SUMIFS(FinParameters!$L$8:$L$39,FinParameters!$B$8:$B$39,Financials!$E248,FinParameters!$C$8:$C$39,Financials!$F248)</f>
        <v>-349983.41260675504</v>
      </c>
      <c r="AD248" s="73">
        <f t="shared" si="59"/>
        <v>-349983.41260675504</v>
      </c>
      <c r="AE248" s="12"/>
      <c r="AF248" s="73">
        <f t="shared" si="60"/>
        <v>120431985.46911484</v>
      </c>
      <c r="AG248" s="73">
        <f t="shared" si="61"/>
        <v>45409406.969878234</v>
      </c>
      <c r="AH248" s="73">
        <f t="shared" si="61"/>
        <v>34533740.352840059</v>
      </c>
      <c r="AI248" s="12">
        <f t="shared" si="62"/>
        <v>0.48907147565894699</v>
      </c>
      <c r="AL248" s="73">
        <f>Summary!G248</f>
        <v>4498067.7678679843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-38278.996746259538</v>
      </c>
      <c r="AN248" s="20">
        <f>Summary!I248</f>
        <v>7209239.7879521707</v>
      </c>
      <c r="AP248" s="12">
        <v>1</v>
      </c>
    </row>
    <row r="249" spans="1:42" x14ac:dyDescent="0.3">
      <c r="A249">
        <v>245</v>
      </c>
      <c r="B249" t="str">
        <f>Summary!B249</f>
        <v>MarinusSnowyYallourn</v>
      </c>
      <c r="C249" t="str">
        <f>Summary!C249</f>
        <v>Wind</v>
      </c>
      <c r="D249" s="90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-1537387.082510689</v>
      </c>
      <c r="H249" s="73">
        <f>SUMIFS(AM$5:AM249,$F$5:$F249,$F249,$D$5:$D249,$D249)</f>
        <v>60471611.713648543</v>
      </c>
      <c r="I249" s="20">
        <f>SUMIFS(AN$5:AN249,$F$5:$F249,$F249,$D$5:$D249,$D249)</f>
        <v>76190610.082907379</v>
      </c>
      <c r="J249" s="73">
        <f t="shared" si="48"/>
        <v>76190610.082907379</v>
      </c>
      <c r="K249" s="73">
        <f t="shared" si="49"/>
        <v>74653223.000396684</v>
      </c>
      <c r="L249" s="73">
        <f t="shared" si="50"/>
        <v>135124834.71404523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59631793.714824453</v>
      </c>
      <c r="Q249" s="73">
        <f>P249/SUMIFS(FinParameters!$H$8:$H$39,FinParameters!$B$8:$B$39,Financials!$E249,FinParameters!$C$8:$C$39,Financials!$F249)</f>
        <v>11228201.878336452</v>
      </c>
      <c r="R249" s="73">
        <f t="shared" si="63"/>
        <v>-10979031.229139559</v>
      </c>
      <c r="S249" s="12">
        <f t="shared" si="52"/>
        <v>-0.15548651694485088</v>
      </c>
      <c r="T249" s="115">
        <f t="shared" si="53"/>
        <v>-1537387.082510689</v>
      </c>
      <c r="U249" s="73">
        <f>T249/SUMIFS(FinParameters!$L$8:$L$39,FinParameters!$B$8:$B$39,Financials!$E249,FinParameters!$C$8:$C$39,Financials!$F249)</f>
        <v>-1035622.2712222511</v>
      </c>
      <c r="V249" s="73">
        <f t="shared" si="54"/>
        <v>-1035622.2712222511</v>
      </c>
      <c r="W249" s="12"/>
      <c r="X249" s="73">
        <f t="shared" si="55"/>
        <v>58094406.632313758</v>
      </c>
      <c r="Y249" s="73">
        <f t="shared" si="56"/>
        <v>10192579.607114201</v>
      </c>
      <c r="Z249" s="73">
        <f t="shared" si="56"/>
        <v>-12014653.50036181</v>
      </c>
      <c r="AA249" s="12">
        <f t="shared" si="57"/>
        <v>-0.1701531388409144</v>
      </c>
      <c r="AB249" s="115">
        <f t="shared" si="58"/>
        <v>60471611.713648543</v>
      </c>
      <c r="AC249" s="73">
        <f>AB249/SUMIFS(FinParameters!$L$8:$L$39,FinParameters!$B$8:$B$39,Financials!$E249,FinParameters!$C$8:$C$39,Financials!$F249)</f>
        <v>40735185.419332005</v>
      </c>
      <c r="AD249" s="73">
        <f t="shared" si="59"/>
        <v>40735185.419332005</v>
      </c>
      <c r="AE249" s="12"/>
      <c r="AF249" s="73">
        <f t="shared" si="60"/>
        <v>118566018.3459623</v>
      </c>
      <c r="AG249" s="73">
        <f t="shared" si="61"/>
        <v>50927765.026446208</v>
      </c>
      <c r="AH249" s="73">
        <f t="shared" si="61"/>
        <v>28720531.918970197</v>
      </c>
      <c r="AI249" s="12">
        <f t="shared" si="62"/>
        <v>0.40674403594296632</v>
      </c>
      <c r="AL249" s="73">
        <f>Summary!G249</f>
        <v>-1508892.3548298583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6892693.0949986242</v>
      </c>
      <c r="AN249" s="20">
        <f>Summary!I249</f>
        <v>5839380.0434827618</v>
      </c>
      <c r="AP249" s="12">
        <v>1</v>
      </c>
    </row>
    <row r="250" spans="1:42" x14ac:dyDescent="0.3">
      <c r="A250">
        <v>246</v>
      </c>
      <c r="B250" t="str">
        <f>Summary!B250</f>
        <v>MarinusSnowyYallourn</v>
      </c>
      <c r="C250" t="str">
        <f>Summary!C250</f>
        <v>Wind</v>
      </c>
      <c r="D250" s="90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-58613436.546741173</v>
      </c>
      <c r="H250" s="73">
        <f>SUMIFS(AM$5:AM250,$F$5:$F250,$F250,$D$5:$D250,$D250)</f>
        <v>144987431.0455049</v>
      </c>
      <c r="I250" s="20">
        <f>SUMIFS(AN$5:AN250,$F$5:$F250,$F250,$D$5:$D250,$D250)</f>
        <v>58827842.926546171</v>
      </c>
      <c r="J250" s="73">
        <f t="shared" si="48"/>
        <v>58827842.926546171</v>
      </c>
      <c r="K250" s="73">
        <f t="shared" si="49"/>
        <v>214406.37980499864</v>
      </c>
      <c r="L250" s="73">
        <f t="shared" si="50"/>
        <v>145201837.4253099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42269026.558463246</v>
      </c>
      <c r="Q250" s="73">
        <f>P250/SUMIFS(FinParameters!$H$8:$H$39,FinParameters!$B$8:$B$39,Financials!$E250,FinParameters!$C$8:$C$39,Financials!$F250)</f>
        <v>7958928.1796365557</v>
      </c>
      <c r="R250" s="73">
        <f t="shared" si="63"/>
        <v>-28341798.385500766</v>
      </c>
      <c r="S250" s="12">
        <f t="shared" si="52"/>
        <v>-0.40138036070237837</v>
      </c>
      <c r="T250" s="115">
        <f t="shared" si="53"/>
        <v>-58613436.546741173</v>
      </c>
      <c r="U250" s="73">
        <f>T250/SUMIFS(FinParameters!$L$8:$L$39,FinParameters!$B$8:$B$39,Financials!$E250,FinParameters!$C$8:$C$39,Financials!$F250)</f>
        <v>-39483472.296089984</v>
      </c>
      <c r="V250" s="73">
        <f t="shared" si="54"/>
        <v>-39483472.296089984</v>
      </c>
      <c r="W250" s="12"/>
      <c r="X250" s="73">
        <f t="shared" si="55"/>
        <v>-16344409.988277931</v>
      </c>
      <c r="Y250" s="73">
        <f t="shared" si="56"/>
        <v>-31524544.116453428</v>
      </c>
      <c r="Z250" s="73">
        <f t="shared" si="56"/>
        <v>-67825270.681590751</v>
      </c>
      <c r="AA250" s="12">
        <f t="shared" si="57"/>
        <v>-0.96055060587970986</v>
      </c>
      <c r="AB250" s="115">
        <f t="shared" si="58"/>
        <v>144987431.0455049</v>
      </c>
      <c r="AC250" s="73">
        <f>AB250/SUMIFS(FinParameters!$L$8:$L$39,FinParameters!$B$8:$B$39,Financials!$E250,FinParameters!$C$8:$C$39,Financials!$F250)</f>
        <v>97667148.596574306</v>
      </c>
      <c r="AD250" s="73">
        <f t="shared" si="59"/>
        <v>97667148.596574306</v>
      </c>
      <c r="AE250" s="12"/>
      <c r="AF250" s="73">
        <f t="shared" si="60"/>
        <v>128643021.05722697</v>
      </c>
      <c r="AG250" s="73">
        <f t="shared" si="61"/>
        <v>66142604.480120882</v>
      </c>
      <c r="AH250" s="73">
        <f t="shared" si="61"/>
        <v>29841877.914983556</v>
      </c>
      <c r="AI250" s="12">
        <f t="shared" si="62"/>
        <v>0.42262468875934744</v>
      </c>
      <c r="AL250" s="73">
        <f>Summary!G250</f>
        <v>-9172255.2525620945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17465619.778613839</v>
      </c>
      <c r="AN250" s="20">
        <f>Summary!I250</f>
        <v>4074468.9984866111</v>
      </c>
      <c r="AP250" s="12">
        <v>1</v>
      </c>
    </row>
    <row r="251" spans="1:42" x14ac:dyDescent="0.3">
      <c r="A251">
        <v>247</v>
      </c>
      <c r="B251" t="str">
        <f>Summary!B251</f>
        <v>MarinusSnowyYallourn</v>
      </c>
      <c r="C251" t="str">
        <f>Summary!C251</f>
        <v>Wind</v>
      </c>
      <c r="D251" s="90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-120826010.30382816</v>
      </c>
      <c r="H251" s="73">
        <f>SUMIFS(AM$5:AM251,$F$5:$F251,$F251,$D$5:$D251,$D251)</f>
        <v>289155961.36548424</v>
      </c>
      <c r="I251" s="20">
        <f>SUMIFS(AN$5:AN251,$F$5:$F251,$F251,$D$5:$D251,$D251)</f>
        <v>36536966.806382529</v>
      </c>
      <c r="J251" s="73">
        <f t="shared" si="48"/>
        <v>36536966.806382529</v>
      </c>
      <c r="K251" s="73">
        <f t="shared" si="49"/>
        <v>-84289043.497445643</v>
      </c>
      <c r="L251" s="73">
        <f t="shared" si="50"/>
        <v>204866917.86803859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19978150.4382996</v>
      </c>
      <c r="Q251" s="73">
        <f>P251/SUMIFS(FinParameters!$H$8:$H$39,FinParameters!$B$8:$B$39,Financials!$E251,FinParameters!$C$8:$C$39,Financials!$F251)</f>
        <v>3761729.9816563828</v>
      </c>
      <c r="R251" s="73">
        <f t="shared" si="63"/>
        <v>-50632674.505664416</v>
      </c>
      <c r="S251" s="12">
        <f t="shared" si="52"/>
        <v>-0.71706674643506807</v>
      </c>
      <c r="T251" s="115">
        <f t="shared" si="53"/>
        <v>-120826010.30382816</v>
      </c>
      <c r="U251" s="73">
        <f>T251/SUMIFS(FinParameters!$L$8:$L$39,FinParameters!$B$8:$B$39,Financials!$E251,FinParameters!$C$8:$C$39,Financials!$F251)</f>
        <v>-81391413.156161755</v>
      </c>
      <c r="V251" s="73">
        <f t="shared" si="54"/>
        <v>-81391413.156161755</v>
      </c>
      <c r="W251" s="12"/>
      <c r="X251" s="73">
        <f t="shared" si="55"/>
        <v>-100847859.86552857</v>
      </c>
      <c r="Y251" s="73">
        <f t="shared" si="56"/>
        <v>-77629683.174505368</v>
      </c>
      <c r="Z251" s="73">
        <f t="shared" si="56"/>
        <v>-132024087.66182616</v>
      </c>
      <c r="AA251" s="12">
        <f t="shared" si="57"/>
        <v>-1.869742886683438</v>
      </c>
      <c r="AB251" s="115">
        <f t="shared" si="58"/>
        <v>289155961.36548424</v>
      </c>
      <c r="AC251" s="73">
        <f>AB251/SUMIFS(FinParameters!$L$8:$L$39,FinParameters!$B$8:$B$39,Financials!$E251,FinParameters!$C$8:$C$39,Financials!$F251)</f>
        <v>194782665.24637216</v>
      </c>
      <c r="AD251" s="73">
        <f t="shared" si="59"/>
        <v>194782665.24637216</v>
      </c>
      <c r="AE251" s="12"/>
      <c r="AF251" s="73">
        <f t="shared" si="60"/>
        <v>188308101.49995565</v>
      </c>
      <c r="AG251" s="73">
        <f t="shared" si="61"/>
        <v>117152982.0718668</v>
      </c>
      <c r="AH251" s="73">
        <f t="shared" si="61"/>
        <v>62758577.584546</v>
      </c>
      <c r="AI251" s="12">
        <f t="shared" si="62"/>
        <v>0.88879541677002838</v>
      </c>
      <c r="AL251" s="73">
        <f>Summary!G251</f>
        <v>-13192398.134270061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28683052.318568029</v>
      </c>
      <c r="AN251" s="20">
        <f>Summary!I251</f>
        <v>2796755.5684759421</v>
      </c>
      <c r="AP251" s="12">
        <v>1</v>
      </c>
    </row>
    <row r="252" spans="1:42" x14ac:dyDescent="0.3">
      <c r="A252">
        <v>248</v>
      </c>
      <c r="B252" t="str">
        <f>Summary!B252</f>
        <v>MarinusSnowyYallourn</v>
      </c>
      <c r="C252" t="str">
        <f>Summary!C252</f>
        <v>Wind</v>
      </c>
      <c r="D252" s="90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50347584.478184596</v>
      </c>
      <c r="H252" s="73">
        <f>SUMIFS(AM$5:AM252,$F$5:$F252,$F252,$D$5:$D252,$D252)</f>
        <v>1203071.6157859894</v>
      </c>
      <c r="I252" s="20">
        <f>SUMIFS(AN$5:AN252,$F$5:$F252,$F252,$D$5:$D252,$D252)</f>
        <v>89712734.034047022</v>
      </c>
      <c r="J252" s="73">
        <f t="shared" si="48"/>
        <v>89712734.034047022</v>
      </c>
      <c r="K252" s="73">
        <f t="shared" si="49"/>
        <v>140060318.51223162</v>
      </c>
      <c r="L252" s="73">
        <f t="shared" si="50"/>
        <v>141263390.1280176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73153917.665964097</v>
      </c>
      <c r="Q252" s="73">
        <f>P252/SUMIFS(FinParameters!$H$8:$H$39,FinParameters!$B$8:$B$39,Financials!$E252,FinParameters!$C$8:$C$39,Financials!$F252)</f>
        <v>13774312.402419847</v>
      </c>
      <c r="R252" s="73">
        <f t="shared" si="63"/>
        <v>2543092.7220000857</v>
      </c>
      <c r="S252" s="12">
        <f t="shared" si="52"/>
        <v>3.6015621174490697E-2</v>
      </c>
      <c r="T252" s="115">
        <f t="shared" si="53"/>
        <v>50347584.478184596</v>
      </c>
      <c r="U252" s="73">
        <f>T252/SUMIFS(FinParameters!$L$8:$L$39,FinParameters!$B$8:$B$39,Financials!$E252,FinParameters!$C$8:$C$39,Financials!$F252)</f>
        <v>33915388.246075734</v>
      </c>
      <c r="V252" s="73">
        <f t="shared" si="54"/>
        <v>33915388.246075734</v>
      </c>
      <c r="W252" s="12"/>
      <c r="X252" s="73">
        <f t="shared" si="55"/>
        <v>123501502.14414869</v>
      </c>
      <c r="Y252" s="73">
        <f t="shared" si="56"/>
        <v>47689700.648495585</v>
      </c>
      <c r="Z252" s="73">
        <f t="shared" si="56"/>
        <v>36458480.968075819</v>
      </c>
      <c r="AA252" s="12">
        <f t="shared" si="57"/>
        <v>0.51632991112919135</v>
      </c>
      <c r="AB252" s="115">
        <f t="shared" si="58"/>
        <v>1203071.6157859894</v>
      </c>
      <c r="AC252" s="73">
        <f>AB252/SUMIFS(FinParameters!$L$8:$L$39,FinParameters!$B$8:$B$39,Financials!$E252,FinParameters!$C$8:$C$39,Financials!$F252)</f>
        <v>810419.03718131909</v>
      </c>
      <c r="AD252" s="73">
        <f t="shared" si="59"/>
        <v>810419.03718131909</v>
      </c>
      <c r="AE252" s="12"/>
      <c r="AF252" s="73">
        <f t="shared" si="60"/>
        <v>124704573.75993468</v>
      </c>
      <c r="AG252" s="73">
        <f t="shared" si="61"/>
        <v>48500119.685676903</v>
      </c>
      <c r="AH252" s="73">
        <f t="shared" si="61"/>
        <v>37268900.005257137</v>
      </c>
      <c r="AI252" s="12">
        <f t="shared" si="62"/>
        <v>0.52780717453497161</v>
      </c>
      <c r="AL252" s="73">
        <f>Summary!G252</f>
        <v>2342227.3074538447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1878773.120948608</v>
      </c>
      <c r="AN252" s="20">
        <f>Summary!I252</f>
        <v>6782794.2521476895</v>
      </c>
      <c r="AP252" s="12">
        <v>1</v>
      </c>
    </row>
    <row r="253" spans="1:42" x14ac:dyDescent="0.3">
      <c r="A253">
        <v>249</v>
      </c>
      <c r="B253" t="str">
        <f>Summary!B253</f>
        <v>MarinusSnowyYallourn</v>
      </c>
      <c r="C253" t="str">
        <f>Summary!C253</f>
        <v>Wind</v>
      </c>
      <c r="D253" s="90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320676602.54357105</v>
      </c>
      <c r="H253" s="73">
        <f>SUMIFS(AM$5:AM253,$F$5:$F253,$F253,$D$5:$D253,$D253)</f>
        <v>-349905209.83044606</v>
      </c>
      <c r="I253" s="20">
        <f>SUMIFS(AN$5:AN253,$F$5:$F253,$F253,$D$5:$D253,$D253)</f>
        <v>173486195.13661879</v>
      </c>
      <c r="J253" s="73">
        <f t="shared" si="48"/>
        <v>173486195.13661879</v>
      </c>
      <c r="K253" s="73">
        <f t="shared" si="49"/>
        <v>494162797.68018985</v>
      </c>
      <c r="L253" s="73">
        <f t="shared" si="50"/>
        <v>144257587.84974378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155724658.35933378</v>
      </c>
      <c r="Q253" s="73">
        <f>P253/SUMIFS(FinParameters!$H$8:$H$39,FinParameters!$B$8:$B$39,Financials!$E253,FinParameters!$C$8:$C$39,Financials!$F253)</f>
        <v>26415981.233452346</v>
      </c>
      <c r="R253" s="73">
        <f t="shared" si="63"/>
        <v>84626944.257945731</v>
      </c>
      <c r="S253" s="12">
        <f t="shared" si="52"/>
        <v>1.1902906489688891</v>
      </c>
      <c r="T253" s="115">
        <f t="shared" si="53"/>
        <v>320676602.54357105</v>
      </c>
      <c r="U253" s="73">
        <f>T253/SUMIFS(FinParameters!$L$8:$L$39,FinParameters!$B$8:$B$39,Financials!$E253,FinParameters!$C$8:$C$39,Financials!$F253)</f>
        <v>210747078.11110634</v>
      </c>
      <c r="V253" s="73">
        <f t="shared" si="54"/>
        <v>210747078.11110634</v>
      </c>
      <c r="W253" s="12"/>
      <c r="X253" s="73">
        <f t="shared" si="55"/>
        <v>476401260.90290487</v>
      </c>
      <c r="Y253" s="73">
        <f t="shared" si="56"/>
        <v>237163059.34455869</v>
      </c>
      <c r="Z253" s="73">
        <f t="shared" si="56"/>
        <v>295374022.36905205</v>
      </c>
      <c r="AA253" s="12">
        <f t="shared" si="57"/>
        <v>4.1544798746671017</v>
      </c>
      <c r="AB253" s="115">
        <f t="shared" si="58"/>
        <v>-349905209.83044606</v>
      </c>
      <c r="AC253" s="73">
        <f>AB253/SUMIFS(FinParameters!$L$8:$L$39,FinParameters!$B$8:$B$39,Financials!$E253,FinParameters!$C$8:$C$39,Financials!$F253)</f>
        <v>-229955974.34521481</v>
      </c>
      <c r="AD253" s="73">
        <f t="shared" si="59"/>
        <v>-229955974.34521481</v>
      </c>
      <c r="AE253" s="12"/>
      <c r="AF253" s="73">
        <f t="shared" si="60"/>
        <v>126496051.0724588</v>
      </c>
      <c r="AG253" s="73">
        <f t="shared" si="61"/>
        <v>7207084.9993438721</v>
      </c>
      <c r="AH253" s="73">
        <f t="shared" si="61"/>
        <v>65418048.023837239</v>
      </c>
      <c r="AI253" s="12">
        <f t="shared" si="62"/>
        <v>0.92011464574724033</v>
      </c>
      <c r="AL253" s="73">
        <f>Summary!G253</f>
        <v>15250655.251416072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-23860562.169021141</v>
      </c>
      <c r="AN253" s="20">
        <f>Summary!I253</f>
        <v>10712414.392008035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MarinusSnowyYallourn</v>
      </c>
      <c r="C254" t="str">
        <f>Summary!C254</f>
        <v>Wind</v>
      </c>
      <c r="D254" s="90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177406969.42073506</v>
      </c>
      <c r="H254" s="73">
        <f>SUMIFS(AM$5:AM254,$F$5:$F254,$F254,$D$5:$D254,$D254)</f>
        <v>-147741271.64198095</v>
      </c>
      <c r="I254" s="20">
        <f>SUMIFS(AN$5:AN254,$F$5:$F254,$F254,$D$5:$D254,$D254)</f>
        <v>128610262.1067811</v>
      </c>
      <c r="J254" s="73">
        <f t="shared" si="48"/>
        <v>128610262.1067811</v>
      </c>
      <c r="K254" s="73">
        <f t="shared" si="49"/>
        <v>306017231.52751613</v>
      </c>
      <c r="L254" s="73">
        <f t="shared" si="50"/>
        <v>158275959.88553521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110848725.32949609</v>
      </c>
      <c r="Q254" s="73">
        <f>P254/SUMIFS(FinParameters!$H$8:$H$39,FinParameters!$B$8:$B$39,Financials!$E254,FinParameters!$C$8:$C$39,Financials!$F254)</f>
        <v>18803559.300796978</v>
      </c>
      <c r="R254" s="73">
        <f t="shared" si="63"/>
        <v>39751011.228108041</v>
      </c>
      <c r="S254" s="12">
        <f t="shared" si="52"/>
        <v>0.55910392803095732</v>
      </c>
      <c r="T254" s="115">
        <f t="shared" si="53"/>
        <v>177406969.42073506</v>
      </c>
      <c r="U254" s="73">
        <f>T254/SUMIFS(FinParameters!$L$8:$L$39,FinParameters!$B$8:$B$39,Financials!$E254,FinParameters!$C$8:$C$39,Financials!$F254)</f>
        <v>116590983.39388922</v>
      </c>
      <c r="V254" s="73">
        <f t="shared" si="54"/>
        <v>116590983.39388922</v>
      </c>
      <c r="W254" s="12"/>
      <c r="X254" s="73">
        <f t="shared" si="55"/>
        <v>288255694.75023115</v>
      </c>
      <c r="Y254" s="73">
        <f t="shared" si="56"/>
        <v>135394542.6946862</v>
      </c>
      <c r="Z254" s="73">
        <f t="shared" si="56"/>
        <v>156341994.62199727</v>
      </c>
      <c r="AA254" s="12">
        <f t="shared" si="57"/>
        <v>2.1989735759865305</v>
      </c>
      <c r="AB254" s="115">
        <f t="shared" si="58"/>
        <v>-147741271.64198095</v>
      </c>
      <c r="AC254" s="73">
        <f>AB254/SUMIFS(FinParameters!$L$8:$L$39,FinParameters!$B$8:$B$39,Financials!$E254,FinParameters!$C$8:$C$39,Financials!$F254)</f>
        <v>-97094833.4490235</v>
      </c>
      <c r="AD254" s="73">
        <f t="shared" si="59"/>
        <v>-97094833.4490235</v>
      </c>
      <c r="AE254" s="12"/>
      <c r="AF254" s="73">
        <f t="shared" si="60"/>
        <v>140514423.1082502</v>
      </c>
      <c r="AG254" s="73">
        <f t="shared" si="61"/>
        <v>38299709.245662704</v>
      </c>
      <c r="AH254" s="73">
        <f t="shared" si="61"/>
        <v>59247161.172973767</v>
      </c>
      <c r="AI254" s="12">
        <f t="shared" si="62"/>
        <v>0.83332019772794741</v>
      </c>
      <c r="AL254" s="73">
        <f>Summary!G254</f>
        <v>7607636.5542755835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-9102550.6434056032</v>
      </c>
      <c r="AN254" s="20">
        <f>Summary!I254</f>
        <v>8446053.5960577596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MarinusSnowyYallourn</v>
      </c>
      <c r="C255" t="str">
        <f>Summary!C255</f>
        <v>Wind</v>
      </c>
      <c r="D255" s="90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105089220.0468874</v>
      </c>
      <c r="H255" s="73">
        <f>SUMIFS(AM$5:AM255,$F$5:$F255,$F255,$D$5:$D255,$D255)</f>
        <v>-62932007.182893127</v>
      </c>
      <c r="I255" s="20">
        <f>SUMIFS(AN$5:AN255,$F$5:$F255,$F255,$D$5:$D255,$D255)</f>
        <v>110793688.24862546</v>
      </c>
      <c r="J255" s="73">
        <f t="shared" si="48"/>
        <v>110793688.24862546</v>
      </c>
      <c r="K255" s="73">
        <f t="shared" si="49"/>
        <v>215882908.29551286</v>
      </c>
      <c r="L255" s="73">
        <f t="shared" si="50"/>
        <v>152950901.11261973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93032151.471340448</v>
      </c>
      <c r="Q255" s="73">
        <f>P255/SUMIFS(FinParameters!$H$8:$H$39,FinParameters!$B$8:$B$39,Financials!$E255,FinParameters!$C$8:$C$39,Financials!$F255)</f>
        <v>15781287.262187313</v>
      </c>
      <c r="R255" s="73">
        <f t="shared" si="63"/>
        <v>21934437.369952403</v>
      </c>
      <c r="S255" s="12">
        <f t="shared" si="52"/>
        <v>0.30851114761120252</v>
      </c>
      <c r="T255" s="115">
        <f t="shared" si="53"/>
        <v>105089220.0468874</v>
      </c>
      <c r="U255" s="73">
        <f>T255/SUMIFS(FinParameters!$L$8:$L$39,FinParameters!$B$8:$B$39,Financials!$E255,FinParameters!$C$8:$C$39,Financials!$F255)</f>
        <v>69064115.966637835</v>
      </c>
      <c r="V255" s="73">
        <f t="shared" si="54"/>
        <v>69064115.966637835</v>
      </c>
      <c r="W255" s="12"/>
      <c r="X255" s="73">
        <f t="shared" si="55"/>
        <v>198121371.51822785</v>
      </c>
      <c r="Y255" s="73">
        <f t="shared" si="56"/>
        <v>84845403.228825152</v>
      </c>
      <c r="Z255" s="73">
        <f t="shared" si="56"/>
        <v>90998553.33659023</v>
      </c>
      <c r="AA255" s="12">
        <f t="shared" si="57"/>
        <v>1.2799082851921628</v>
      </c>
      <c r="AB255" s="115">
        <f t="shared" si="58"/>
        <v>-62932007.182893127</v>
      </c>
      <c r="AC255" s="73">
        <f>AB255/SUMIFS(FinParameters!$L$8:$L$39,FinParameters!$B$8:$B$39,Financials!$E255,FinParameters!$C$8:$C$39,Financials!$F255)</f>
        <v>-41358604.052379668</v>
      </c>
      <c r="AD255" s="73">
        <f t="shared" si="59"/>
        <v>-41358604.052379668</v>
      </c>
      <c r="AE255" s="12"/>
      <c r="AF255" s="73">
        <f t="shared" si="60"/>
        <v>135189364.33533472</v>
      </c>
      <c r="AG255" s="73">
        <f t="shared" si="61"/>
        <v>43486799.176445484</v>
      </c>
      <c r="AH255" s="73">
        <f t="shared" si="61"/>
        <v>49639949.284210563</v>
      </c>
      <c r="AI255" s="12">
        <f t="shared" si="62"/>
        <v>0.69819332325399519</v>
      </c>
      <c r="AL255" s="73">
        <f>Summary!G255</f>
        <v>5768308.2970377356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-4583408.8187531037</v>
      </c>
      <c r="AN255" s="20">
        <f>Summary!I255</f>
        <v>7855396.6482389718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MarinusSnowyYallourn</v>
      </c>
      <c r="C256" t="str">
        <f>Summary!C256</f>
        <v>Wind</v>
      </c>
      <c r="D256" s="90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50680439.873441257</v>
      </c>
      <c r="H256" s="73">
        <f>SUMIFS(AM$5:AM256,$F$5:$F256,$F256,$D$5:$D256,$D256)</f>
        <v>-696437.073695731</v>
      </c>
      <c r="I256" s="20">
        <f>SUMIFS(AN$5:AN256,$F$5:$F256,$F256,$D$5:$D256,$D256)</f>
        <v>97314723.019497842</v>
      </c>
      <c r="J256" s="73">
        <f t="shared" si="48"/>
        <v>97314723.019497842</v>
      </c>
      <c r="K256" s="73">
        <f t="shared" si="49"/>
        <v>147995162.89293909</v>
      </c>
      <c r="L256" s="73">
        <f t="shared" si="50"/>
        <v>147298725.81924337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79553186.242212832</v>
      </c>
      <c r="Q256" s="73">
        <f>P256/SUMIFS(FinParameters!$H$8:$H$39,FinParameters!$B$8:$B$39,Financials!$E256,FinParameters!$C$8:$C$39,Financials!$F256)</f>
        <v>13494815.124182137</v>
      </c>
      <c r="R256" s="73">
        <f t="shared" si="63"/>
        <v>8455472.1408247873</v>
      </c>
      <c r="S256" s="12">
        <f t="shared" si="52"/>
        <v>0.1189274823768168</v>
      </c>
      <c r="T256" s="115">
        <f t="shared" si="53"/>
        <v>50680439.873441257</v>
      </c>
      <c r="U256" s="73">
        <f>T256/SUMIFS(FinParameters!$L$8:$L$39,FinParameters!$B$8:$B$39,Financials!$E256,FinParameters!$C$8:$C$39,Financials!$F256)</f>
        <v>33306934.575191323</v>
      </c>
      <c r="V256" s="73">
        <f t="shared" si="54"/>
        <v>33306934.575191323</v>
      </c>
      <c r="W256" s="12"/>
      <c r="X256" s="73">
        <f t="shared" si="55"/>
        <v>130233626.11565408</v>
      </c>
      <c r="Y256" s="73">
        <f t="shared" si="56"/>
        <v>46801749.699373461</v>
      </c>
      <c r="Z256" s="73">
        <f t="shared" si="56"/>
        <v>41762406.716016114</v>
      </c>
      <c r="AA256" s="12">
        <f t="shared" si="57"/>
        <v>0.58739450689597883</v>
      </c>
      <c r="AB256" s="115">
        <f t="shared" si="58"/>
        <v>-696437.073695731</v>
      </c>
      <c r="AC256" s="73">
        <f>AB256/SUMIFS(FinParameters!$L$8:$L$39,FinParameters!$B$8:$B$39,Financials!$E256,FinParameters!$C$8:$C$39,Financials!$F256)</f>
        <v>-457695.00239632319</v>
      </c>
      <c r="AD256" s="73">
        <f t="shared" si="59"/>
        <v>-457695.00239632319</v>
      </c>
      <c r="AE256" s="12"/>
      <c r="AF256" s="73">
        <f t="shared" si="60"/>
        <v>129537189.04195835</v>
      </c>
      <c r="AG256" s="73">
        <f t="shared" si="61"/>
        <v>46344054.696977139</v>
      </c>
      <c r="AH256" s="73">
        <f t="shared" si="61"/>
        <v>41304711.713619791</v>
      </c>
      <c r="AI256" s="12">
        <f t="shared" si="62"/>
        <v>0.5809569581198869</v>
      </c>
      <c r="AL256" s="73">
        <f>Summary!G256</f>
        <v>3320850.586539072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-176884.73054303849</v>
      </c>
      <c r="AN256" s="20">
        <f>Summary!I256</f>
        <v>7163958.1260495624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MarinusSnowyYallourn</v>
      </c>
      <c r="C257" t="str">
        <f>Summary!C257</f>
        <v>Wind</v>
      </c>
      <c r="D257" s="90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-4608189.4502126928</v>
      </c>
      <c r="H257" s="73">
        <f>SUMIFS(AM$5:AM257,$F$5:$F257,$F257,$D$5:$D257,$D257)</f>
        <v>67721253.199589938</v>
      </c>
      <c r="I257" s="20">
        <f>SUMIFS(AN$5:AN257,$F$5:$F257,$F257,$D$5:$D257,$D257)</f>
        <v>81914825.700760707</v>
      </c>
      <c r="J257" s="73">
        <f t="shared" si="48"/>
        <v>81914825.700760707</v>
      </c>
      <c r="K257" s="73">
        <f t="shared" si="49"/>
        <v>77306636.25054802</v>
      </c>
      <c r="L257" s="73">
        <f t="shared" si="50"/>
        <v>145027889.45013794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64153288.923475705</v>
      </c>
      <c r="Q257" s="73">
        <f>P257/SUMIFS(FinParameters!$H$8:$H$39,FinParameters!$B$8:$B$39,Financials!$E257,FinParameters!$C$8:$C$39,Financials!$F257)</f>
        <v>10882490.249914913</v>
      </c>
      <c r="R257" s="73">
        <f t="shared" si="63"/>
        <v>-6944425.1779123396</v>
      </c>
      <c r="S257" s="12">
        <f t="shared" si="52"/>
        <v>-9.7674380473179834E-2</v>
      </c>
      <c r="T257" s="115">
        <f t="shared" si="53"/>
        <v>-4608189.4502126928</v>
      </c>
      <c r="U257" s="73">
        <f>T257/SUMIFS(FinParameters!$L$8:$L$39,FinParameters!$B$8:$B$39,Financials!$E257,FinParameters!$C$8:$C$39,Financials!$F257)</f>
        <v>-3028479.3287430331</v>
      </c>
      <c r="V257" s="73">
        <f t="shared" si="54"/>
        <v>-3028479.3287430331</v>
      </c>
      <c r="W257" s="12"/>
      <c r="X257" s="73">
        <f t="shared" si="55"/>
        <v>59545099.473263018</v>
      </c>
      <c r="Y257" s="73">
        <f t="shared" si="56"/>
        <v>7854010.9211718794</v>
      </c>
      <c r="Z257" s="73">
        <f t="shared" si="56"/>
        <v>-9972904.5066553727</v>
      </c>
      <c r="AA257" s="12">
        <f t="shared" si="57"/>
        <v>-0.14027039592909599</v>
      </c>
      <c r="AB257" s="115">
        <f t="shared" si="58"/>
        <v>67721253.199589938</v>
      </c>
      <c r="AC257" s="73">
        <f>AB257/SUMIFS(FinParameters!$L$8:$L$39,FinParameters!$B$8:$B$39,Financials!$E257,FinParameters!$C$8:$C$39,Financials!$F257)</f>
        <v>44506072.861666963</v>
      </c>
      <c r="AD257" s="73">
        <f t="shared" si="59"/>
        <v>44506072.861666963</v>
      </c>
      <c r="AE257" s="12"/>
      <c r="AF257" s="73">
        <f t="shared" si="60"/>
        <v>127266352.67285296</v>
      </c>
      <c r="AG257" s="73">
        <f t="shared" si="61"/>
        <v>52360083.782838844</v>
      </c>
      <c r="AH257" s="73">
        <f t="shared" si="61"/>
        <v>34533168.35501159</v>
      </c>
      <c r="AI257" s="12">
        <f t="shared" si="62"/>
        <v>0.48571418633468266</v>
      </c>
      <c r="AL257" s="73">
        <f>Summary!G257</f>
        <v>-3070802.367702004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7249641.4859413961</v>
      </c>
      <c r="AN257" s="20">
        <f>Summary!I257</f>
        <v>5724215.6178533267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MarinusSnowyYallourn</v>
      </c>
      <c r="C258" t="str">
        <f>Summary!C258</f>
        <v>Wind</v>
      </c>
      <c r="D258" s="90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-69850311.584289163</v>
      </c>
      <c r="H258" s="73">
        <f>SUMIFS(AM$5:AM258,$F$5:$F258,$F258,$D$5:$D258,$D258)</f>
        <v>163740919.230331</v>
      </c>
      <c r="I258" s="20">
        <f>SUMIFS(AN$5:AN258,$F$5:$F258,$F258,$D$5:$D258,$D258)</f>
        <v>62701832.304530561</v>
      </c>
      <c r="J258" s="73">
        <f t="shared" si="48"/>
        <v>62701832.304530561</v>
      </c>
      <c r="K258" s="73">
        <f t="shared" si="49"/>
        <v>-7148479.2797586024</v>
      </c>
      <c r="L258" s="73">
        <f t="shared" si="50"/>
        <v>156592439.9505724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44940295.527245559</v>
      </c>
      <c r="Q258" s="73">
        <f>P258/SUMIFS(FinParameters!$H$8:$H$39,FinParameters!$B$8:$B$39,Financials!$E258,FinParameters!$C$8:$C$39,Financials!$F258)</f>
        <v>7623339.9114878615</v>
      </c>
      <c r="R258" s="73">
        <f t="shared" si="63"/>
        <v>-26157418.574142486</v>
      </c>
      <c r="S258" s="12">
        <f t="shared" si="52"/>
        <v>-0.36790801089386654</v>
      </c>
      <c r="T258" s="115">
        <f t="shared" si="53"/>
        <v>-69850311.584289163</v>
      </c>
      <c r="U258" s="73">
        <f>T258/SUMIFS(FinParameters!$L$8:$L$39,FinParameters!$B$8:$B$39,Financials!$E258,FinParameters!$C$8:$C$39,Financials!$F258)</f>
        <v>-45905279.50831449</v>
      </c>
      <c r="V258" s="73">
        <f t="shared" si="54"/>
        <v>-45905279.50831449</v>
      </c>
      <c r="W258" s="12"/>
      <c r="X258" s="73">
        <f t="shared" si="55"/>
        <v>-24910016.057043605</v>
      </c>
      <c r="Y258" s="73">
        <f t="shared" si="56"/>
        <v>-38281939.596826628</v>
      </c>
      <c r="Z258" s="73">
        <f t="shared" si="56"/>
        <v>-72062698.082456976</v>
      </c>
      <c r="AA258" s="12">
        <f t="shared" si="57"/>
        <v>-1.013572644258194</v>
      </c>
      <c r="AB258" s="115">
        <f t="shared" si="58"/>
        <v>98244551.538198605</v>
      </c>
      <c r="AC258" s="73">
        <f>AB258/SUMIFS(FinParameters!$L$8:$L$39,FinParameters!$B$8:$B$39,Financials!$E258,FinParameters!$C$8:$C$39,Financials!$F258)</f>
        <v>64565833.655413486</v>
      </c>
      <c r="AD258" s="73">
        <f t="shared" si="59"/>
        <v>64565833.655413486</v>
      </c>
      <c r="AE258" s="12"/>
      <c r="AF258" s="73">
        <f t="shared" si="60"/>
        <v>73334535.481155008</v>
      </c>
      <c r="AG258" s="73">
        <f t="shared" si="61"/>
        <v>26283894.058586858</v>
      </c>
      <c r="AH258" s="73">
        <f t="shared" si="61"/>
        <v>-7496864.4270434901</v>
      </c>
      <c r="AI258" s="12">
        <f t="shared" si="62"/>
        <v>-0.10544452127325325</v>
      </c>
      <c r="AL258" s="73">
        <f>Summary!G258</f>
        <v>-11236875.037547985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18753488.184826121</v>
      </c>
      <c r="AN258" s="20">
        <f>Summary!I258</f>
        <v>3873989.3779843901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MarinusSnowyYallourn</v>
      </c>
      <c r="C259" t="str">
        <f>Summary!C258</f>
        <v>Wind</v>
      </c>
      <c r="D259" s="90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-132062885.34137616</v>
      </c>
      <c r="H259" s="73">
        <f>SUMIFS(AM$5:AM259,$F$5:$F259,$F259,$D$5:$D259,$D259)</f>
        <v>322160682.32226461</v>
      </c>
      <c r="I259" s="20">
        <f>SUMIFS(AN$5:AN259,$F$5:$F259,$F259,$D$5:$D259,$D259)</f>
        <v>40410956.184366919</v>
      </c>
      <c r="J259" s="73">
        <f t="shared" si="48"/>
        <v>40410956.184366919</v>
      </c>
      <c r="K259" s="73">
        <f t="shared" si="49"/>
        <v>-91651929.157009244</v>
      </c>
      <c r="L259" s="73">
        <f t="shared" si="50"/>
        <v>230508753.16525537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22649419.407081917</v>
      </c>
      <c r="Q259" s="73">
        <f>P259/SUMIFS(FinParameters!$H$8:$H$39,FinParameters!$B$8:$B$39,Financials!$E259,FinParameters!$C$8:$C$39,Financials!$F259)</f>
        <v>3842080.2736678869</v>
      </c>
      <c r="R259" s="73">
        <f t="shared" si="63"/>
        <v>-48448294.694306128</v>
      </c>
      <c r="S259" s="12">
        <f t="shared" si="52"/>
        <v>-0.68143252292495671</v>
      </c>
      <c r="T259" s="115">
        <f t="shared" si="53"/>
        <v>-132062885.34137616</v>
      </c>
      <c r="U259" s="73">
        <f>T259/SUMIFS(FinParameters!$L$8:$L$39,FinParameters!$B$8:$B$39,Financials!$E259,FinParameters!$C$8:$C$39,Financials!$F259)</f>
        <v>-86791075.469360143</v>
      </c>
      <c r="V259" s="73">
        <f t="shared" si="54"/>
        <v>-86791075.469360143</v>
      </c>
      <c r="W259" s="12"/>
      <c r="X259" s="73">
        <f t="shared" si="55"/>
        <v>-109413465.93429425</v>
      </c>
      <c r="Y259" s="73">
        <f t="shared" si="56"/>
        <v>-82948995.195692256</v>
      </c>
      <c r="Z259" s="73">
        <f t="shared" si="56"/>
        <v>-135239370.16366628</v>
      </c>
      <c r="AA259" s="12">
        <f t="shared" si="57"/>
        <v>-1.9021620015913561</v>
      </c>
      <c r="AB259" s="115">
        <f t="shared" si="58"/>
        <v>128864272.92890584</v>
      </c>
      <c r="AC259" s="73">
        <f>AB259/SUMIFS(FinParameters!$L$8:$L$39,FinParameters!$B$8:$B$39,Financials!$E259,FinParameters!$C$8:$C$39,Financials!$F259)</f>
        <v>84688963.202387229</v>
      </c>
      <c r="AD259" s="73">
        <f t="shared" si="59"/>
        <v>84688963.202387229</v>
      </c>
      <c r="AE259" s="12"/>
      <c r="AF259" s="73">
        <f t="shared" si="60"/>
        <v>19450806.994611591</v>
      </c>
      <c r="AG259" s="73">
        <f t="shared" si="61"/>
        <v>1739968.0066949725</v>
      </c>
      <c r="AH259" s="73">
        <f t="shared" si="61"/>
        <v>-50550406.96127905</v>
      </c>
      <c r="AI259" s="12">
        <f t="shared" si="62"/>
        <v>-0.71099904687782567</v>
      </c>
      <c r="AL259" s="73">
        <f>Summary!G258</f>
        <v>-11236875.037547985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33004720.956780382</v>
      </c>
      <c r="AN259" s="20">
        <f>Summary!I258</f>
        <v>3873989.3779843901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MarinusSnowyYallourn</v>
      </c>
      <c r="C260" t="str">
        <f>Summary!C260</f>
        <v>Wind</v>
      </c>
      <c r="D260" s="90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51338003.132393301</v>
      </c>
      <c r="H260" s="73">
        <f>SUMIFS(AM$5:AM260,$F$5:$F260,$F260,$D$5:$D260,$D260)</f>
        <v>3114544.0784330769</v>
      </c>
      <c r="I260" s="20">
        <f>SUMIFS(AN$5:AN260,$F$5:$F260,$F260,$D$5:$D260,$D260)</f>
        <v>96414748.422757119</v>
      </c>
      <c r="J260" s="73">
        <f t="shared" si="48"/>
        <v>96414748.422757119</v>
      </c>
      <c r="K260" s="73">
        <f t="shared" si="49"/>
        <v>147752751.55515042</v>
      </c>
      <c r="L260" s="73">
        <f t="shared" si="50"/>
        <v>150867295.63358349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78653211.645472109</v>
      </c>
      <c r="Q260" s="73">
        <f>P260/SUMIFS(FinParameters!$H$8:$H$39,FinParameters!$B$8:$B$39,Financials!$E260,FinParameters!$C$8:$C$39,Financials!$F260)</f>
        <v>13342150.078655249</v>
      </c>
      <c r="R260" s="73">
        <f t="shared" si="63"/>
        <v>7555497.5440840647</v>
      </c>
      <c r="S260" s="12">
        <f t="shared" si="52"/>
        <v>0.10626920484826892</v>
      </c>
      <c r="T260" s="115">
        <f t="shared" si="53"/>
        <v>51338003.132393301</v>
      </c>
      <c r="U260" s="73">
        <f>T260/SUMIFS(FinParameters!$L$8:$L$39,FinParameters!$B$8:$B$39,Financials!$E260,FinParameters!$C$8:$C$39,Financials!$F260)</f>
        <v>33739081.898688465</v>
      </c>
      <c r="V260" s="73">
        <f t="shared" si="54"/>
        <v>33739081.898688465</v>
      </c>
      <c r="W260" s="12"/>
      <c r="X260" s="73">
        <f t="shared" si="55"/>
        <v>129991214.77786541</v>
      </c>
      <c r="Y260" s="73">
        <f t="shared" si="56"/>
        <v>47081231.977343716</v>
      </c>
      <c r="Z260" s="73">
        <f t="shared" si="56"/>
        <v>41294579.44277253</v>
      </c>
      <c r="AA260" s="12">
        <f t="shared" si="57"/>
        <v>0.58081444621250244</v>
      </c>
      <c r="AB260" s="115">
        <f t="shared" si="58"/>
        <v>3114544.0784330769</v>
      </c>
      <c r="AC260" s="73">
        <f>AB260/SUMIFS(FinParameters!$L$8:$L$39,FinParameters!$B$8:$B$39,Financials!$E260,FinParameters!$C$8:$C$39,Financials!$F260)</f>
        <v>2046862.973387138</v>
      </c>
      <c r="AD260" s="73">
        <f t="shared" si="59"/>
        <v>2046862.973387138</v>
      </c>
      <c r="AE260" s="12"/>
      <c r="AF260" s="73">
        <f t="shared" si="60"/>
        <v>133105758.85629849</v>
      </c>
      <c r="AG260" s="73">
        <f t="shared" si="61"/>
        <v>49128094.950730853</v>
      </c>
      <c r="AH260" s="73">
        <f t="shared" si="61"/>
        <v>43341442.416159667</v>
      </c>
      <c r="AI260" s="12">
        <f t="shared" si="62"/>
        <v>0.6096038805741788</v>
      </c>
      <c r="AL260" s="73">
        <f>Summary!G260</f>
        <v>990418.65420870378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1911472.4626470872</v>
      </c>
      <c r="AN260" s="20">
        <f>Summary!I260</f>
        <v>6702014.3887101002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64CF3-1D0F-4AC3-A021-0A991DEF9229}">
  <dimension ref="A2:AI656"/>
  <sheetViews>
    <sheetView topLeftCell="T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MarinusSnowyYallourn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58</v>
      </c>
      <c r="C4" s="120" t="s">
        <v>59</v>
      </c>
      <c r="D4" s="120" t="s">
        <v>0</v>
      </c>
      <c r="E4" s="120" t="s">
        <v>20</v>
      </c>
      <c r="F4" s="120" t="s">
        <v>60</v>
      </c>
      <c r="G4" s="120" t="s">
        <v>21</v>
      </c>
      <c r="H4" s="120" t="s">
        <v>22</v>
      </c>
      <c r="K4" s="120" t="s">
        <v>66</v>
      </c>
      <c r="L4" s="120" t="s">
        <v>65</v>
      </c>
      <c r="P4" s="120" t="s">
        <v>21</v>
      </c>
      <c r="Q4" s="120" t="s">
        <v>65</v>
      </c>
      <c r="T4" s="98" t="s">
        <v>34</v>
      </c>
      <c r="U4" s="98" t="str">
        <f>$P$16</f>
        <v>Merchant NPV</v>
      </c>
      <c r="V4" s="98" t="s">
        <v>134</v>
      </c>
      <c r="W4" s="98" t="str">
        <f>$P$24</f>
        <v>Merchant with PPA NPV</v>
      </c>
      <c r="X4" s="98" t="s">
        <v>139</v>
      </c>
      <c r="Y4" s="98" t="str">
        <f>$P$32</f>
        <v>Merchant with PPA and Sold Swap NPV</v>
      </c>
      <c r="AA4" s="121" t="s">
        <v>44</v>
      </c>
      <c r="AB4" s="121" t="str">
        <f>$P$16</f>
        <v>Merchant NPV</v>
      </c>
      <c r="AC4" s="98" t="s">
        <v>134</v>
      </c>
      <c r="AD4" s="98" t="str">
        <f>$P$24</f>
        <v>Merchant with PPA NPV</v>
      </c>
      <c r="AE4" s="98" t="s">
        <v>139</v>
      </c>
      <c r="AF4" s="121" t="str">
        <f>$P$32</f>
        <v>Merchant with PPA and Sold Swap NPV</v>
      </c>
      <c r="AH4" s="98" t="s">
        <v>143</v>
      </c>
      <c r="AI4" s="121" t="s">
        <v>144</v>
      </c>
    </row>
    <row r="5" spans="2:35" x14ac:dyDescent="0.3">
      <c r="B5" t="str">
        <f>$B$2</f>
        <v>MarinusSnowyYallourn</v>
      </c>
      <c r="C5" t="s">
        <v>64</v>
      </c>
      <c r="D5">
        <v>1</v>
      </c>
      <c r="E5" t="s">
        <v>18</v>
      </c>
      <c r="F5" t="s">
        <v>34</v>
      </c>
      <c r="G5" s="83" t="s">
        <v>80</v>
      </c>
      <c r="H5" s="20" cm="1">
        <f t="array" ref="H5">INDEX(Financials!$B$5:$AI$260,FinancialWalk!K5,FinancialWalk!L5)</f>
        <v>35057339.875550739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83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107981895.05802535</v>
      </c>
      <c r="V5" s="20">
        <f t="shared" ref="V5:Y5" si="1">AVERAGEIFS($H$5:$H$576,$D$5:$D$576,$T5,$G$5:$G$576,V$4,$F$5:$F$576,$T$4)</f>
        <v>210747078.11110634</v>
      </c>
      <c r="W5" s="20">
        <f t="shared" si="1"/>
        <v>318728973.1691317</v>
      </c>
      <c r="X5" s="20">
        <f t="shared" si="1"/>
        <v>-229955974.34521481</v>
      </c>
      <c r="Y5" s="20">
        <f t="shared" si="1"/>
        <v>88772998.823916882</v>
      </c>
      <c r="AA5" s="3">
        <v>1</v>
      </c>
      <c r="AB5" s="20">
        <f>AVERAGEIFS($H$5:$H$576,$D$5:$D$576,$AA5,$G$5:$G$576,AB$4,$F$5:$F$576,$AA$4)</f>
        <v>84626944.257945731</v>
      </c>
      <c r="AC5" s="20">
        <f t="shared" ref="AC5:AF5" si="2">AVERAGEIFS($H$5:$H$576,$D$5:$D$576,$AA5,$G$5:$G$576,AC$4,$F$5:$F$576,$AA$4)</f>
        <v>210747078.11110634</v>
      </c>
      <c r="AD5" s="20">
        <f t="shared" si="2"/>
        <v>295374022.36905205</v>
      </c>
      <c r="AE5" s="20">
        <f t="shared" si="2"/>
        <v>-229955974.34521481</v>
      </c>
      <c r="AF5" s="20">
        <f t="shared" si="2"/>
        <v>65418048.023837239</v>
      </c>
      <c r="AH5" s="122">
        <v>1</v>
      </c>
      <c r="AI5" s="12">
        <v>1</v>
      </c>
    </row>
    <row r="6" spans="2:35" x14ac:dyDescent="0.3">
      <c r="B6" t="str">
        <f>B5</f>
        <v>MarinusSnowyYallourn</v>
      </c>
      <c r="C6" t="s">
        <v>64</v>
      </c>
      <c r="D6">
        <v>0.95</v>
      </c>
      <c r="E6" t="str">
        <f>E5</f>
        <v>Cal-37</v>
      </c>
      <c r="F6" t="s">
        <v>34</v>
      </c>
      <c r="G6" s="83" t="s">
        <v>80</v>
      </c>
      <c r="H6" s="20" cm="1">
        <f t="array" ref="H6">INDEX(Financials!$B$5:$AI$260,FinancialWalk!K6,FinancialWalk!L6)</f>
        <v>23564984.268810391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83" t="s">
        <v>81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49894125.139184199</v>
      </c>
      <c r="V6" s="20">
        <f t="shared" si="3"/>
        <v>116590983.39388923</v>
      </c>
      <c r="W6" s="20">
        <f t="shared" si="3"/>
        <v>166485108.53307343</v>
      </c>
      <c r="X6" s="20">
        <f t="shared" si="3"/>
        <v>-97094833.4490235</v>
      </c>
      <c r="Y6" s="20">
        <f t="shared" si="3"/>
        <v>69390275.084049925</v>
      </c>
      <c r="AA6" s="3">
        <v>0.95</v>
      </c>
      <c r="AB6" s="20">
        <f t="shared" ref="AB6:AF12" si="4">AVERAGEIFS($H$5:$H$576,$D$5:$D$576,$AA6,$G$5:$G$576,AB$4,$F$5:$F$576,$AA$4)</f>
        <v>39751011.228108041</v>
      </c>
      <c r="AC6" s="20">
        <f t="shared" si="4"/>
        <v>116590983.39388923</v>
      </c>
      <c r="AD6" s="20">
        <f t="shared" si="4"/>
        <v>156341994.62199727</v>
      </c>
      <c r="AE6" s="20">
        <f t="shared" si="4"/>
        <v>-97094833.4490235</v>
      </c>
      <c r="AF6" s="20">
        <f t="shared" si="4"/>
        <v>59247161.172973774</v>
      </c>
      <c r="AH6" s="122">
        <v>1</v>
      </c>
      <c r="AI6" s="12">
        <v>1</v>
      </c>
    </row>
    <row r="7" spans="2:35" x14ac:dyDescent="0.3">
      <c r="B7" t="str">
        <f t="shared" ref="B7:B26" si="5">B6</f>
        <v>MarinusSnowyYallourn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83" t="s">
        <v>80</v>
      </c>
      <c r="H7" s="20" cm="1">
        <f t="array" ref="H7">INDEX(Financials!$B$5:$AI$260,FinancialWalk!K7,FinancialWalk!L7)</f>
        <v>23564984.268810391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83" t="s">
        <v>63</v>
      </c>
      <c r="Q7">
        <f t="shared" ref="Q7:Q33" si="7">Q6+1</f>
        <v>8</v>
      </c>
      <c r="T7" s="3">
        <v>0.75</v>
      </c>
      <c r="U7" s="20">
        <f t="shared" si="3"/>
        <v>24836048.311276246</v>
      </c>
      <c r="V7" s="20">
        <f t="shared" si="3"/>
        <v>69064115.966637835</v>
      </c>
      <c r="W7" s="20">
        <f t="shared" si="3"/>
        <v>93900164.277914077</v>
      </c>
      <c r="X7" s="20">
        <f t="shared" si="3"/>
        <v>-41358604.052379668</v>
      </c>
      <c r="Y7" s="20">
        <f t="shared" si="3"/>
        <v>52541560.225534409</v>
      </c>
      <c r="AA7" s="3">
        <v>0.75</v>
      </c>
      <c r="AB7" s="20">
        <f t="shared" si="4"/>
        <v>21934437.369952403</v>
      </c>
      <c r="AC7" s="20">
        <f t="shared" si="4"/>
        <v>69064115.966637835</v>
      </c>
      <c r="AD7" s="20">
        <f t="shared" si="4"/>
        <v>90998553.33659023</v>
      </c>
      <c r="AE7" s="20">
        <f t="shared" si="4"/>
        <v>-41358604.052379668</v>
      </c>
      <c r="AF7" s="20">
        <f t="shared" si="4"/>
        <v>49639949.284210563</v>
      </c>
      <c r="AH7" s="122">
        <v>1</v>
      </c>
      <c r="AI7" s="12">
        <v>1</v>
      </c>
    </row>
    <row r="8" spans="2:35" x14ac:dyDescent="0.3">
      <c r="B8" t="str">
        <f t="shared" si="5"/>
        <v>MarinusSnowyYallourn</v>
      </c>
      <c r="C8" t="s">
        <v>64</v>
      </c>
      <c r="D8">
        <v>0.95</v>
      </c>
      <c r="E8" t="str">
        <f t="shared" si="6"/>
        <v>Cal-37</v>
      </c>
      <c r="F8" t="s">
        <v>34</v>
      </c>
      <c r="G8" s="83" t="s">
        <v>80</v>
      </c>
      <c r="H8" s="20" cm="1">
        <f t="array" ref="H8">INDEX(Financials!$B$5:$AI$260,FinancialWalk!K8,FinancialWalk!L8)</f>
        <v>23564984.268810391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83" t="s">
        <v>82</v>
      </c>
      <c r="Q8">
        <f t="shared" si="7"/>
        <v>9</v>
      </c>
      <c r="T8" s="3">
        <v>0.5</v>
      </c>
      <c r="U8" s="20">
        <f t="shared" si="3"/>
        <v>9148822.0037520863</v>
      </c>
      <c r="V8" s="20">
        <f t="shared" si="3"/>
        <v>33306934.575191326</v>
      </c>
      <c r="W8" s="20">
        <f t="shared" si="3"/>
        <v>42455756.578943409</v>
      </c>
      <c r="X8" s="20">
        <f t="shared" si="3"/>
        <v>-457695.00239632314</v>
      </c>
      <c r="Y8" s="20">
        <f t="shared" si="3"/>
        <v>41998061.576547086</v>
      </c>
      <c r="AA8" s="3">
        <v>0.5</v>
      </c>
      <c r="AB8" s="20">
        <f t="shared" si="4"/>
        <v>8455472.1408247873</v>
      </c>
      <c r="AC8" s="20">
        <f t="shared" si="4"/>
        <v>33306934.575191326</v>
      </c>
      <c r="AD8" s="20">
        <f t="shared" si="4"/>
        <v>41762406.716016114</v>
      </c>
      <c r="AE8" s="20">
        <f t="shared" si="4"/>
        <v>-457695.00239632314</v>
      </c>
      <c r="AF8" s="20">
        <f t="shared" si="4"/>
        <v>41304711.713619791</v>
      </c>
      <c r="AH8" s="122">
        <v>1</v>
      </c>
      <c r="AI8" s="12">
        <v>1</v>
      </c>
    </row>
    <row r="9" spans="2:35" x14ac:dyDescent="0.3">
      <c r="B9" t="str">
        <f t="shared" si="5"/>
        <v>MarinusSnowyYallourn</v>
      </c>
      <c r="C9" t="s">
        <v>64</v>
      </c>
      <c r="D9">
        <v>0.75</v>
      </c>
      <c r="E9" t="str">
        <f t="shared" si="6"/>
        <v>Cal-37</v>
      </c>
      <c r="F9" t="s">
        <v>34</v>
      </c>
      <c r="G9" s="83" t="s">
        <v>80</v>
      </c>
      <c r="H9" s="20" cm="1">
        <f t="array" ref="H9">INDEX(Financials!$B$5:$AI$260,FinancialWalk!K9,FinancialWalk!L9)</f>
        <v>18607377.355518799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83" t="s">
        <v>83</v>
      </c>
      <c r="Q9">
        <f t="shared" si="7"/>
        <v>10</v>
      </c>
      <c r="T9" s="3">
        <v>0.25</v>
      </c>
      <c r="U9" s="20">
        <f t="shared" si="3"/>
        <v>-7323247.7259665839</v>
      </c>
      <c r="V9" s="20">
        <f t="shared" si="3"/>
        <v>-3028479.3287430331</v>
      </c>
      <c r="W9" s="20">
        <f t="shared" si="3"/>
        <v>-10351727.054709617</v>
      </c>
      <c r="X9" s="20">
        <f t="shared" si="3"/>
        <v>44506072.861666963</v>
      </c>
      <c r="Y9" s="20">
        <f t="shared" si="3"/>
        <v>34154345.806957349</v>
      </c>
      <c r="AA9" s="3">
        <v>0.25</v>
      </c>
      <c r="AB9" s="20">
        <f t="shared" si="4"/>
        <v>-6944425.1779123396</v>
      </c>
      <c r="AC9" s="20">
        <f t="shared" si="4"/>
        <v>-3028479.3287430331</v>
      </c>
      <c r="AD9" s="20">
        <f t="shared" si="4"/>
        <v>-9972904.5066553727</v>
      </c>
      <c r="AE9" s="20">
        <f t="shared" si="4"/>
        <v>44506072.861666963</v>
      </c>
      <c r="AF9" s="20">
        <f t="shared" si="4"/>
        <v>34533168.35501159</v>
      </c>
      <c r="AH9" s="122">
        <v>1</v>
      </c>
      <c r="AI9" s="12">
        <v>1</v>
      </c>
    </row>
    <row r="10" spans="2:35" x14ac:dyDescent="0.3">
      <c r="B10" t="str">
        <f t="shared" si="5"/>
        <v>MarinusSnowyYallourn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83" t="s">
        <v>80</v>
      </c>
      <c r="H10" s="20" cm="1">
        <f t="array" ref="H10">INDEX(Financials!$B$5:$AI$260,FinancialWalk!K10,FinancialWalk!L10)</f>
        <v>18607377.355518799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83" t="s">
        <v>84</v>
      </c>
      <c r="Q10">
        <f t="shared" si="7"/>
        <v>11</v>
      </c>
      <c r="T10" s="3">
        <v>0.05</v>
      </c>
      <c r="U10" s="20">
        <f t="shared" si="3"/>
        <v>-28588676.333086845</v>
      </c>
      <c r="V10" s="20">
        <f t="shared" si="3"/>
        <v>-45905279.50831449</v>
      </c>
      <c r="W10" s="20">
        <f t="shared" si="3"/>
        <v>-74493955.841401339</v>
      </c>
      <c r="X10" s="20">
        <f t="shared" si="3"/>
        <v>104381431.07625179</v>
      </c>
      <c r="Y10" s="20">
        <f t="shared" si="3"/>
        <v>29887475.234850451</v>
      </c>
      <c r="AA10" s="3">
        <v>0.05</v>
      </c>
      <c r="AB10" s="20">
        <f t="shared" si="4"/>
        <v>-26157418.574142486</v>
      </c>
      <c r="AC10" s="20">
        <f t="shared" si="4"/>
        <v>-45905279.50831449</v>
      </c>
      <c r="AD10" s="20">
        <f t="shared" si="4"/>
        <v>-72062698.082456976</v>
      </c>
      <c r="AE10" s="20">
        <f t="shared" si="4"/>
        <v>64565833.655413486</v>
      </c>
      <c r="AF10" s="20">
        <f t="shared" si="4"/>
        <v>-7496864.4270434901</v>
      </c>
      <c r="AH10" s="122">
        <v>0.97</v>
      </c>
      <c r="AI10" s="12">
        <v>0.6</v>
      </c>
    </row>
    <row r="11" spans="2:35" x14ac:dyDescent="0.3">
      <c r="B11" t="str">
        <f t="shared" si="5"/>
        <v>MarinusSnowyYallourn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83" t="s">
        <v>80</v>
      </c>
      <c r="H11" s="20" cm="1">
        <f t="array" ref="H11">INDEX(Financials!$B$5:$AI$260,FinancialWalk!K11,FinancialWalk!L11)</f>
        <v>18607377.355518799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83" t="s">
        <v>85</v>
      </c>
      <c r="Q11">
        <f t="shared" si="7"/>
        <v>12</v>
      </c>
      <c r="T11" s="3">
        <v>0</v>
      </c>
      <c r="U11" s="20">
        <f t="shared" si="3"/>
        <v>-57086419.75213106</v>
      </c>
      <c r="V11" s="20">
        <f t="shared" si="3"/>
        <v>-89732156.895202324</v>
      </c>
      <c r="W11" s="20">
        <f t="shared" si="3"/>
        <v>-146818576.64733338</v>
      </c>
      <c r="X11" s="20">
        <f t="shared" si="3"/>
        <v>148205685.60417765</v>
      </c>
      <c r="Y11" s="20">
        <f t="shared" si="3"/>
        <v>1387108.9568442702</v>
      </c>
      <c r="AA11" s="3">
        <v>0</v>
      </c>
      <c r="AB11" s="20">
        <f t="shared" si="4"/>
        <v>-48448294.694306128</v>
      </c>
      <c r="AC11" s="20">
        <f t="shared" si="4"/>
        <v>-86791075.469360143</v>
      </c>
      <c r="AD11" s="20">
        <f t="shared" si="4"/>
        <v>-135239370.16366628</v>
      </c>
      <c r="AE11" s="20">
        <f t="shared" si="4"/>
        <v>84688963.202387229</v>
      </c>
      <c r="AF11" s="20">
        <f t="shared" si="4"/>
        <v>-50550406.96127905</v>
      </c>
      <c r="AH11" s="122">
        <v>0.7</v>
      </c>
      <c r="AI11" s="12">
        <v>0.4</v>
      </c>
    </row>
    <row r="12" spans="2:35" x14ac:dyDescent="0.3">
      <c r="B12" t="str">
        <f t="shared" si="5"/>
        <v>MarinusSnowyYallourn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83" t="s">
        <v>80</v>
      </c>
      <c r="H12" s="20" cm="1">
        <f t="array" ref="H12">INDEX(Financials!$B$5:$AI$260,FinancialWalk!K12,FinancialWalk!L12)</f>
        <v>18607377.355518799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83" t="s">
        <v>86</v>
      </c>
      <c r="Q12">
        <f t="shared" si="7"/>
        <v>13</v>
      </c>
      <c r="T12" t="s">
        <v>24</v>
      </c>
      <c r="U12" s="20">
        <f t="shared" si="3"/>
        <v>9415798.9072180577</v>
      </c>
      <c r="V12" s="20">
        <f t="shared" si="3"/>
        <v>33739081.898688465</v>
      </c>
      <c r="W12" s="20">
        <f t="shared" si="3"/>
        <v>43154880.805906519</v>
      </c>
      <c r="X12" s="20">
        <f t="shared" si="3"/>
        <v>2046862.973387138</v>
      </c>
      <c r="Y12" s="20">
        <f t="shared" si="3"/>
        <v>45201743.779293656</v>
      </c>
      <c r="AA12" t="s">
        <v>24</v>
      </c>
      <c r="AB12" s="20">
        <f t="shared" si="4"/>
        <v>7555497.5440840647</v>
      </c>
      <c r="AC12" s="20">
        <f t="shared" si="4"/>
        <v>33739081.898688465</v>
      </c>
      <c r="AD12" s="20">
        <f t="shared" si="4"/>
        <v>41294579.44277253</v>
      </c>
      <c r="AE12" s="20">
        <f t="shared" si="4"/>
        <v>2046862.973387138</v>
      </c>
      <c r="AF12" s="20">
        <f t="shared" si="4"/>
        <v>43341442.416159667</v>
      </c>
      <c r="AH12" s="122">
        <v>1</v>
      </c>
      <c r="AI12" s="12">
        <v>1</v>
      </c>
    </row>
    <row r="13" spans="2:35" x14ac:dyDescent="0.3">
      <c r="B13" t="str">
        <f t="shared" si="5"/>
        <v>MarinusSnowyYallourn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83" t="s">
        <v>80</v>
      </c>
      <c r="H13" s="20" cm="1">
        <f t="array" ref="H13">INDEX(Financials!$B$5:$AI$260,FinancialWalk!K13,FinancialWalk!L13)</f>
        <v>15503743.260745194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83" t="s">
        <v>87</v>
      </c>
      <c r="Q13">
        <f t="shared" si="7"/>
        <v>14</v>
      </c>
    </row>
    <row r="14" spans="2:35" x14ac:dyDescent="0.3">
      <c r="B14" t="str">
        <f t="shared" si="5"/>
        <v>MarinusSnowyYallourn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83" t="s">
        <v>80</v>
      </c>
      <c r="H14" s="20" cm="1">
        <f t="array" ref="H14">INDEX(Financials!$B$5:$AI$260,FinancialWalk!K14,FinancialWalk!L14)</f>
        <v>15503743.260745194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83" t="s">
        <v>88</v>
      </c>
      <c r="Q14">
        <f t="shared" si="7"/>
        <v>15</v>
      </c>
    </row>
    <row r="15" spans="2:35" ht="45.2" x14ac:dyDescent="0.3">
      <c r="B15" t="str">
        <f t="shared" si="5"/>
        <v>MarinusSnowyYallourn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83" t="s">
        <v>80</v>
      </c>
      <c r="H15" s="20" cm="1">
        <f t="array" ref="H15">INDEX(Financials!$B$5:$AI$260,FinancialWalk!K15,FinancialWalk!L15)</f>
        <v>15503743.260745194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83" t="s">
        <v>80</v>
      </c>
      <c r="Q15">
        <f t="shared" si="7"/>
        <v>16</v>
      </c>
      <c r="T15" s="98" t="s">
        <v>34</v>
      </c>
      <c r="U15" s="98" t="str">
        <f>P17</f>
        <v>Merchant ROI</v>
      </c>
      <c r="V15" s="98" t="str">
        <f>P21</f>
        <v>PPA ROI</v>
      </c>
      <c r="W15" s="98" t="str">
        <f>P25</f>
        <v>Merchant with PPA ROI</v>
      </c>
      <c r="X15" s="98" t="str">
        <f>P29</f>
        <v>Sold Swap ROI</v>
      </c>
      <c r="Y15" s="98" t="str">
        <f>P33</f>
        <v>Merchant with PPA and Sold Swap ROI</v>
      </c>
      <c r="AA15" s="121" t="s">
        <v>44</v>
      </c>
      <c r="AB15" s="98" t="str">
        <f>U15</f>
        <v>Merchant ROI</v>
      </c>
      <c r="AC15" s="98" t="str">
        <f t="shared" ref="AC15:AF15" si="8">V15</f>
        <v>PPA ROI</v>
      </c>
      <c r="AD15" s="98" t="str">
        <f t="shared" si="8"/>
        <v>Merchant with PPA ROI</v>
      </c>
      <c r="AE15" s="98" t="str">
        <f t="shared" si="8"/>
        <v>Sold Swap ROI</v>
      </c>
      <c r="AF15" s="98" t="str">
        <f t="shared" si="8"/>
        <v>Merchant with PPA and Sold Swap ROI</v>
      </c>
    </row>
    <row r="16" spans="2:35" x14ac:dyDescent="0.3">
      <c r="B16" t="str">
        <f t="shared" si="5"/>
        <v>MarinusSnowyYallourn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83" t="s">
        <v>80</v>
      </c>
      <c r="H16" s="20" cm="1">
        <f t="array" ref="H16">INDEX(Financials!$B$5:$AI$260,FinancialWalk!K16,FinancialWalk!L16)</f>
        <v>15503743.260745194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83" t="s">
        <v>89</v>
      </c>
      <c r="Q16">
        <f t="shared" si="7"/>
        <v>17</v>
      </c>
      <c r="T16" s="3">
        <v>1</v>
      </c>
      <c r="U16" s="14">
        <f>AVERAGEIFS($H$5:$H$576,$D$5:$D$576,$T16,$G$5:$G$576,U$15,$F$5:$F$576,$T$15)</f>
        <v>1.5601076420768194</v>
      </c>
      <c r="V16" s="14"/>
      <c r="W16" s="14">
        <f t="shared" ref="W16:Y16" si="9">AVERAGEIFS($H$5:$H$576,$D$5:$D$576,$T16,$G$5:$G$576,W$15,$F$5:$F$576,$T$15)</f>
        <v>4.6049525851093458</v>
      </c>
      <c r="X16" s="14"/>
      <c r="Y16" s="14">
        <f t="shared" si="9"/>
        <v>1.2825801380948822</v>
      </c>
      <c r="AA16" s="3">
        <v>1</v>
      </c>
      <c r="AB16" s="14">
        <f>AVERAGEIFS($H$5:$H$576,$D$5:$D$576,$AA16,$G$5:$G$576,AB$15,$F$5:$F$576,$AA$15)</f>
        <v>1.1902906489688891</v>
      </c>
      <c r="AC16" s="14"/>
      <c r="AD16" s="14">
        <f t="shared" ref="AD16:AF16" si="10">AVERAGEIFS($H$5:$H$576,$D$5:$D$576,$AA16,$G$5:$G$576,AD$15,$F$5:$F$576,$AA$15)</f>
        <v>4.1544798746671017</v>
      </c>
      <c r="AE16" s="14"/>
      <c r="AF16" s="14">
        <f t="shared" si="10"/>
        <v>0.92011464574724033</v>
      </c>
    </row>
    <row r="17" spans="2:32" x14ac:dyDescent="0.3">
      <c r="B17" t="str">
        <f t="shared" si="5"/>
        <v>MarinusSnowyYallourn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83" t="s">
        <v>80</v>
      </c>
      <c r="H17" s="20" cm="1">
        <f t="array" ref="H17">INDEX(Financials!$B$5:$AI$260,FinancialWalk!K17,FinancialWalk!L17)</f>
        <v>15503743.260745194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83" t="s">
        <v>145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0.72086349181545717</v>
      </c>
      <c r="V17" s="14"/>
      <c r="W17" s="14">
        <f t="shared" si="11"/>
        <v>2.4053540639832729</v>
      </c>
      <c r="X17" s="14"/>
      <c r="Y17" s="14">
        <f t="shared" si="11"/>
        <v>1.0025411980986831</v>
      </c>
      <c r="AA17" s="3">
        <v>0.95</v>
      </c>
      <c r="AB17" s="14">
        <f t="shared" ref="AB17:AF22" si="12">AVERAGEIFS($H$5:$H$576,$D$5:$D$576,$AA17,$G$5:$G$576,AB$15,$F$5:$F$576,$AA$15)</f>
        <v>0.55910392803095732</v>
      </c>
      <c r="AC17" s="14"/>
      <c r="AD17" s="14">
        <f t="shared" si="12"/>
        <v>2.1989735759865305</v>
      </c>
      <c r="AE17" s="14"/>
      <c r="AF17" s="14">
        <f t="shared" si="12"/>
        <v>0.83332019772794741</v>
      </c>
    </row>
    <row r="18" spans="2:32" x14ac:dyDescent="0.3">
      <c r="B18" t="str">
        <f t="shared" si="5"/>
        <v>MarinusSnowyYallourn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83" t="s">
        <v>80</v>
      </c>
      <c r="H18" s="20" cm="1">
        <f t="array" ref="H18">INDEX(Financials!$B$5:$AI$260,FinancialWalk!K18,FinancialWalk!L18)</f>
        <v>12244832.078969067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83" t="s">
        <v>132</v>
      </c>
      <c r="Q18">
        <f t="shared" si="7"/>
        <v>19</v>
      </c>
      <c r="T18" s="3">
        <v>0.75</v>
      </c>
      <c r="U18" s="14">
        <f t="shared" si="11"/>
        <v>0.3588278270962928</v>
      </c>
      <c r="V18" s="14"/>
      <c r="W18" s="14">
        <f t="shared" si="11"/>
        <v>1.3566567229026869</v>
      </c>
      <c r="X18" s="14"/>
      <c r="Y18" s="14">
        <f t="shared" si="11"/>
        <v>0.75911327163176634</v>
      </c>
      <c r="AA18" s="3">
        <v>0.75</v>
      </c>
      <c r="AB18" s="14">
        <f t="shared" si="12"/>
        <v>0.30851114761120252</v>
      </c>
      <c r="AC18" s="14"/>
      <c r="AD18" s="14">
        <f t="shared" si="12"/>
        <v>1.2799082851921628</v>
      </c>
      <c r="AE18" s="14"/>
      <c r="AF18" s="14">
        <f t="shared" si="12"/>
        <v>0.69819332325399519</v>
      </c>
    </row>
    <row r="19" spans="2:32" x14ac:dyDescent="0.3">
      <c r="B19" t="str">
        <f t="shared" si="5"/>
        <v>MarinusSnowyYallourn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83" t="s">
        <v>80</v>
      </c>
      <c r="H19" s="20" cm="1">
        <f t="array" ref="H19">INDEX(Financials!$B$5:$AI$260,FinancialWalk!K19,FinancialWalk!L19)</f>
        <v>12244832.078969067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83" t="s">
        <v>133</v>
      </c>
      <c r="Q19">
        <f t="shared" si="7"/>
        <v>20</v>
      </c>
      <c r="T19" s="3">
        <v>0.5</v>
      </c>
      <c r="U19" s="14">
        <f t="shared" si="11"/>
        <v>0.13218092826009717</v>
      </c>
      <c r="V19" s="14"/>
      <c r="W19" s="14">
        <f t="shared" si="11"/>
        <v>0.61339496082533429</v>
      </c>
      <c r="X19" s="14"/>
      <c r="Y19" s="14">
        <f t="shared" si="11"/>
        <v>0.60678224606796527</v>
      </c>
      <c r="AA19" s="3">
        <v>0.5</v>
      </c>
      <c r="AB19" s="14">
        <f t="shared" si="12"/>
        <v>0.1189274823768168</v>
      </c>
      <c r="AC19" s="14"/>
      <c r="AD19" s="14">
        <f t="shared" si="12"/>
        <v>0.58739450689597883</v>
      </c>
      <c r="AE19" s="14"/>
      <c r="AF19" s="14">
        <f t="shared" si="12"/>
        <v>0.5809569581198869</v>
      </c>
    </row>
    <row r="20" spans="2:32" x14ac:dyDescent="0.3">
      <c r="B20" t="str">
        <f t="shared" si="5"/>
        <v>MarinusSnowyYallourn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83" t="s">
        <v>80</v>
      </c>
      <c r="H20" s="20" cm="1">
        <f t="array" ref="H20">INDEX(Financials!$B$5:$AI$260,FinancialWalk!K20,FinancialWalk!L20)</f>
        <v>12244832.078969067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83" t="s">
        <v>134</v>
      </c>
      <c r="Q20">
        <f t="shared" si="7"/>
        <v>21</v>
      </c>
      <c r="T20" s="3">
        <v>0.25</v>
      </c>
      <c r="U20" s="14">
        <f t="shared" si="11"/>
        <v>-0.105805280931241</v>
      </c>
      <c r="V20" s="14"/>
      <c r="W20" s="14">
        <f t="shared" si="11"/>
        <v>-0.1495603358143284</v>
      </c>
      <c r="X20" s="14"/>
      <c r="Y20" s="14">
        <f t="shared" si="11"/>
        <v>0.49345731407043281</v>
      </c>
      <c r="AA20" s="3">
        <v>0.25</v>
      </c>
      <c r="AB20" s="14">
        <f t="shared" si="12"/>
        <v>-9.7674380473179834E-2</v>
      </c>
      <c r="AC20" s="14"/>
      <c r="AD20" s="14">
        <f t="shared" si="12"/>
        <v>-0.14027039592909599</v>
      </c>
      <c r="AE20" s="14"/>
      <c r="AF20" s="14">
        <f t="shared" si="12"/>
        <v>0.48571418633468266</v>
      </c>
    </row>
    <row r="21" spans="2:32" x14ac:dyDescent="0.3">
      <c r="B21" t="str">
        <f t="shared" si="5"/>
        <v>MarinusSnowyYallourn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83" t="s">
        <v>80</v>
      </c>
      <c r="H21" s="20" cm="1">
        <f t="array" ref="H21">INDEX(Financials!$B$5:$AI$260,FinancialWalk!K21,FinancialWalk!L21)</f>
        <v>12244832.078969067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83" t="s">
        <v>135</v>
      </c>
      <c r="Q21">
        <f t="shared" si="7"/>
        <v>22</v>
      </c>
      <c r="T21" s="3">
        <v>0.05</v>
      </c>
      <c r="U21" s="14">
        <f t="shared" si="11"/>
        <v>-0.41304528319439471</v>
      </c>
      <c r="V21" s="14"/>
      <c r="W21" s="14">
        <f t="shared" si="11"/>
        <v>-1.0762784792233171</v>
      </c>
      <c r="X21" s="14"/>
      <c r="Y21" s="14">
        <f t="shared" si="11"/>
        <v>0.43181015198164413</v>
      </c>
      <c r="AA21" s="3">
        <v>0.05</v>
      </c>
      <c r="AB21" s="14">
        <f t="shared" si="12"/>
        <v>-0.36790801089386654</v>
      </c>
      <c r="AC21" s="14"/>
      <c r="AD21" s="14">
        <f t="shared" si="12"/>
        <v>-1.013572644258194</v>
      </c>
      <c r="AE21" s="14"/>
      <c r="AF21" s="14">
        <f t="shared" si="12"/>
        <v>-0.10544452127325325</v>
      </c>
    </row>
    <row r="22" spans="2:32" x14ac:dyDescent="0.3">
      <c r="B22" t="str">
        <f t="shared" si="5"/>
        <v>MarinusSnowyYallourn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83" t="s">
        <v>80</v>
      </c>
      <c r="H22" s="20" cm="1">
        <f t="array" ref="H22">INDEX(Financials!$B$5:$AI$260,FinancialWalk!K22,FinancialWalk!L22)</f>
        <v>8037580.3971739002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83" t="s">
        <v>91</v>
      </c>
      <c r="Q22">
        <f t="shared" si="7"/>
        <v>23</v>
      </c>
      <c r="T22" s="3">
        <v>0</v>
      </c>
      <c r="U22" s="14">
        <f t="shared" si="11"/>
        <v>-0.82477678009120692</v>
      </c>
      <c r="V22" s="14"/>
      <c r="W22" s="14">
        <f t="shared" si="11"/>
        <v>-2.1212147027356933</v>
      </c>
      <c r="X22" s="14"/>
      <c r="Y22" s="14">
        <f t="shared" si="11"/>
        <v>2.0040760377497347E-2</v>
      </c>
      <c r="AA22" s="3">
        <v>0</v>
      </c>
      <c r="AB22" s="14">
        <f t="shared" si="12"/>
        <v>-0.68143252292495671</v>
      </c>
      <c r="AC22" s="14"/>
      <c r="AD22" s="14">
        <f t="shared" si="12"/>
        <v>-1.9021620015913561</v>
      </c>
      <c r="AE22" s="14"/>
      <c r="AF22" s="14">
        <f t="shared" si="12"/>
        <v>-0.71099904687782567</v>
      </c>
    </row>
    <row r="23" spans="2:32" x14ac:dyDescent="0.3">
      <c r="B23" t="str">
        <f t="shared" si="5"/>
        <v>MarinusSnowyYallourn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83" t="s">
        <v>80</v>
      </c>
      <c r="H23" s="20" cm="1">
        <f t="array" ref="H23">INDEX(Financials!$B$5:$AI$260,FinancialWalk!K23,FinancialWalk!L23)</f>
        <v>8037580.3971739002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83" t="s">
        <v>92</v>
      </c>
      <c r="Q23">
        <f t="shared" si="7"/>
        <v>24</v>
      </c>
    </row>
    <row r="24" spans="2:32" x14ac:dyDescent="0.3">
      <c r="B24" t="str">
        <f t="shared" si="5"/>
        <v>MarinusSnowyYallourn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83" t="s">
        <v>80</v>
      </c>
      <c r="H24" s="20" cm="1">
        <f t="array" ref="H24">INDEX(Financials!$B$5:$AI$260,FinancialWalk!K24,FinancialWalk!L24)</f>
        <v>8037580.3971739002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83" t="s">
        <v>93</v>
      </c>
      <c r="Q24">
        <f t="shared" si="7"/>
        <v>25</v>
      </c>
    </row>
    <row r="25" spans="2:32" x14ac:dyDescent="0.3">
      <c r="B25" t="str">
        <f t="shared" si="5"/>
        <v>MarinusSnowyYallourn</v>
      </c>
      <c r="C25" t="s">
        <v>64</v>
      </c>
      <c r="D25">
        <v>0</v>
      </c>
      <c r="E25" t="str">
        <f t="shared" si="6"/>
        <v>Cal-37</v>
      </c>
      <c r="F25" t="s">
        <v>34</v>
      </c>
      <c r="G25" s="83" t="s">
        <v>80</v>
      </c>
      <c r="H25" s="20" cm="1">
        <f t="array" ref="H25">INDEX(Financials!$B$5:$AI$260,FinancialWalk!K25,FinancialWalk!L25)</f>
        <v>2399453.786032096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83" t="s">
        <v>136</v>
      </c>
      <c r="Q25">
        <f t="shared" si="7"/>
        <v>26</v>
      </c>
      <c r="T25" s="1" t="s">
        <v>146</v>
      </c>
      <c r="AA25" s="1" t="s">
        <v>146</v>
      </c>
    </row>
    <row r="26" spans="2:32" ht="45.2" x14ac:dyDescent="0.3">
      <c r="B26" t="str">
        <f t="shared" si="5"/>
        <v>MarinusSnowyYallourn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83" t="s">
        <v>80</v>
      </c>
      <c r="H26" s="20" cm="1">
        <f t="array" ref="H26">INDEX(Financials!$B$5:$AI$260,FinancialWalk!K26,FinancialWalk!L26)</f>
        <v>15556563.217815401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8" t="s">
        <v>34</v>
      </c>
      <c r="U26" s="98" t="str">
        <f>$P$16</f>
        <v>Merchant NPV</v>
      </c>
      <c r="V26" s="98" t="s">
        <v>134</v>
      </c>
      <c r="W26" s="98" t="str">
        <f>$P$24</f>
        <v>Merchant with PPA NPV</v>
      </c>
      <c r="X26" s="98" t="s">
        <v>139</v>
      </c>
      <c r="Y26" s="98" t="str">
        <f>$P$32</f>
        <v>Merchant with PPA and Sold Swap NPV</v>
      </c>
      <c r="AA26" s="121" t="s">
        <v>44</v>
      </c>
      <c r="AB26" s="121" t="str">
        <f>$P$16</f>
        <v>Merchant NPV</v>
      </c>
      <c r="AC26" s="98" t="s">
        <v>134</v>
      </c>
      <c r="AD26" s="98" t="str">
        <f>$P$24</f>
        <v>Merchant with PPA NPV</v>
      </c>
      <c r="AE26" s="98" t="s">
        <v>139</v>
      </c>
      <c r="AF26" s="121" t="str">
        <f>$P$32</f>
        <v>Merchant with PPA and Sold Swap NPV</v>
      </c>
    </row>
    <row r="27" spans="2:32" x14ac:dyDescent="0.3">
      <c r="B27" t="str">
        <f>$B$2</f>
        <v>MarinusSnowyYallourn</v>
      </c>
      <c r="C27" t="s">
        <v>64</v>
      </c>
      <c r="D27">
        <v>1</v>
      </c>
      <c r="E27" t="s">
        <v>18</v>
      </c>
      <c r="F27" t="s">
        <v>44</v>
      </c>
      <c r="G27" s="83" t="s">
        <v>80</v>
      </c>
      <c r="H27" s="20" cm="1">
        <f t="array" ref="H27">INDEX(Financials!$B$5:$AI$260,FinancialWalk!K27,FinancialWalk!L27)</f>
        <v>26415981.233452346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28.753079502029138</v>
      </c>
      <c r="V27" s="4">
        <f>V5/SUM(PPAcfd!E17:T17)</f>
        <v>26.057776574119085</v>
      </c>
      <c r="W27" s="4">
        <f>W5/(SUM(DualFuelMWh!E17:T17)+SUM(PPAcfd!E17:T17))</f>
        <v>26.912461492833586</v>
      </c>
      <c r="X27" s="4">
        <f>X5/SUM(SwapSold!E17:T17)</f>
        <v>-32.790892987852899</v>
      </c>
      <c r="Y27" s="4">
        <f>Y5/(SUM(DualFuelMWh!E17:T17)+SUM(PPAcfd!E17:T17)+SUM(SwapSold!E17:T17))</f>
        <v>4.7079507672094261</v>
      </c>
      <c r="AA27" s="3">
        <v>1</v>
      </c>
      <c r="AB27" s="4">
        <f>AB5/SUM('2hBatteryMWh'!E17:T17)</f>
        <v>82.866324196744472</v>
      </c>
      <c r="AC27" s="4">
        <f>AC5/SUM(PPAcfd!E17:T17)</f>
        <v>26.057776574119085</v>
      </c>
      <c r="AD27" s="4">
        <f>AD5/(SUM('2hBatteryMWh'!E17:T17)+SUM(PPAcfd!E17:T17))</f>
        <v>32.426858771546705</v>
      </c>
      <c r="AE27" s="4">
        <f>AE5/SUM(SwapSold!E17:T17)</f>
        <v>-32.790892987852899</v>
      </c>
      <c r="AF27" s="4">
        <f>AF5/(SUM('2hBatteryMWh'!E17:T17)+SUM(PPAcfd!E17:T17)+SUM(SwapSold!E17:T17))</f>
        <v>4.0577558088742043</v>
      </c>
    </row>
    <row r="28" spans="2:32" x14ac:dyDescent="0.3">
      <c r="B28" t="str">
        <f>B27</f>
        <v>MarinusSnowyYallourn</v>
      </c>
      <c r="C28" t="s">
        <v>64</v>
      </c>
      <c r="D28">
        <v>0.95</v>
      </c>
      <c r="E28" t="str">
        <f>E27</f>
        <v>Cal-37</v>
      </c>
      <c r="F28" t="s">
        <v>44</v>
      </c>
      <c r="G28" s="83" t="s">
        <v>80</v>
      </c>
      <c r="H28" s="20" cm="1">
        <f t="array" ref="H28">INDEX(Financials!$B$5:$AI$260,FinancialWalk!K28,FinancialWalk!L28)</f>
        <v>18803559.300796978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16.328673302620953</v>
      </c>
      <c r="V28" s="4">
        <f>V6/SUM(PPAcfd!E18:T18)</f>
        <v>15.094936931129862</v>
      </c>
      <c r="W28" s="4">
        <f>W6/(SUM(DualFuelMWh!E18:T18)+SUM(PPAcfd!E18:T18))</f>
        <v>15.444659635928925</v>
      </c>
      <c r="X28" s="4">
        <f>X6/SUM(SwapSold!E18:T18)</f>
        <v>-13.845373238795274</v>
      </c>
      <c r="Y28" s="4">
        <f>Y6/(SUM(DualFuelMWh!E18:T18)+SUM(PPAcfd!E18:T18)+SUM(SwapSold!E18:T18))</f>
        <v>3.9000256626104601</v>
      </c>
      <c r="AA28" s="3">
        <v>0.95</v>
      </c>
      <c r="AB28" s="4">
        <f>AB6/SUM('2hBatteryMWh'!E18:T18)</f>
        <v>45.309096425675428</v>
      </c>
      <c r="AC28" s="4">
        <f>AC6/SUM(PPAcfd!E18:T18)</f>
        <v>15.094936931129862</v>
      </c>
      <c r="AD28" s="4">
        <f>AD6/(SUM('2hBatteryMWh'!E18:T18)+SUM(PPAcfd!E18:T18))</f>
        <v>18.176814859528882</v>
      </c>
      <c r="AE28" s="4">
        <f>AE6/SUM(SwapSold!E18:T18)</f>
        <v>-13.845373238795274</v>
      </c>
      <c r="AF28" s="4">
        <f>AF6/(SUM('2hBatteryMWh'!E18:T18)+SUM(PPAcfd!E18:T18)+SUM(SwapSold!E18:T18))</f>
        <v>3.794495322551402</v>
      </c>
    </row>
    <row r="29" spans="2:32" x14ac:dyDescent="0.3">
      <c r="B29" t="str">
        <f t="shared" ref="B29:B48" si="13">B28</f>
        <v>MarinusSnowyYallourn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83" t="s">
        <v>80</v>
      </c>
      <c r="H29" s="20" cm="1">
        <f t="array" ref="H29">INDEX(Financials!$B$5:$AI$260,FinancialWalk!K29,FinancialWalk!L29)</f>
        <v>18803559.300796978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8.9095977017957964</v>
      </c>
      <c r="V29" s="4">
        <f>V7/SUM(PPAcfd!E19:T19)</f>
        <v>9.2061783764944671</v>
      </c>
      <c r="W29" s="4">
        <f>W7/(SUM(DualFuelMWh!E19:T19)+SUM(PPAcfd!E19:T19))</f>
        <v>9.1258307030418937</v>
      </c>
      <c r="X29" s="4">
        <f>X7/SUM(SwapSold!E19:T19)</f>
        <v>-5.8975878468485723</v>
      </c>
      <c r="Y29" s="4">
        <f>Y7/(SUM(DualFuelMWh!E19:T19)+SUM(PPAcfd!E19:T19)+SUM(SwapSold!E19:T19))</f>
        <v>3.0366820460339747</v>
      </c>
      <c r="AA29" s="3">
        <v>0.75</v>
      </c>
      <c r="AB29" s="4">
        <f>AB7/SUM('2hBatteryMWh'!E19:T19)</f>
        <v>27.854871238404183</v>
      </c>
      <c r="AC29" s="4">
        <f>AC7/SUM(PPAcfd!E19:T19)</f>
        <v>9.2061783764944671</v>
      </c>
      <c r="AD29" s="4">
        <f>AD7/(SUM('2hBatteryMWh'!E19:T19)+SUM(PPAcfd!E19:T19))</f>
        <v>10.97772019715954</v>
      </c>
      <c r="AE29" s="4">
        <f>AE7/SUM(SwapSold!E19:T19)</f>
        <v>-5.8975878468485723</v>
      </c>
      <c r="AF29" s="4">
        <f>AF7/(SUM('2hBatteryMWh'!E19:T19)+SUM(PPAcfd!E19:T19)+SUM(SwapSold!E19:T19))</f>
        <v>3.2439777746164777</v>
      </c>
    </row>
    <row r="30" spans="2:32" x14ac:dyDescent="0.3">
      <c r="B30" t="str">
        <f t="shared" si="13"/>
        <v>MarinusSnowyYallourn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83" t="s">
        <v>80</v>
      </c>
      <c r="H30" s="20" cm="1">
        <f t="array" ref="H30">INDEX(Financials!$B$5:$AI$260,FinancialWalk!K30,FinancialWalk!L30)</f>
        <v>18803559.300796978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83" t="s">
        <v>94</v>
      </c>
      <c r="Q30">
        <f t="shared" si="7"/>
        <v>31</v>
      </c>
      <c r="T30" s="3">
        <v>0.5</v>
      </c>
      <c r="U30" s="4">
        <f>U8/SUM(DualFuelMWh!E20:T20)</f>
        <v>3.5165038893839768</v>
      </c>
      <c r="V30" s="4">
        <f>V8/SUM(PPAcfd!E20:T20)</f>
        <v>4.5353996223712274</v>
      </c>
      <c r="W30" s="4">
        <f>W8/(SUM(DualFuelMWh!E20:T20)+SUM(PPAcfd!E20:T20))</f>
        <v>4.2688615198420692</v>
      </c>
      <c r="X30" s="4">
        <f>X8/SUM(SwapSold!E20:T20)</f>
        <v>-6.5265657425895948E-2</v>
      </c>
      <c r="Y30" s="4">
        <f>Y8/(SUM(DualFuelMWh!E20:T20)+SUM(PPAcfd!E20:T20)+SUM(SwapSold!E20:T20))</f>
        <v>2.4765560753671378</v>
      </c>
      <c r="AA30" s="3">
        <v>0.5</v>
      </c>
      <c r="AB30" s="4">
        <f>AB8/SUM('2hBatteryMWh'!E20:T20)</f>
        <v>12.0755558224994</v>
      </c>
      <c r="AC30" s="4">
        <f>AC8/SUM(PPAcfd!E20:T20)</f>
        <v>4.5353996223712274</v>
      </c>
      <c r="AD30" s="4">
        <f>AD8/(SUM('2hBatteryMWh'!E20:T20)+SUM(PPAcfd!E20:T20))</f>
        <v>5.1917562095980481</v>
      </c>
      <c r="AE30" s="4">
        <f>AE8/SUM(SwapSold!E20:T20)</f>
        <v>-6.5265657425895948E-2</v>
      </c>
      <c r="AF30" s="4">
        <f>AF8/(SUM('2hBatteryMWh'!E20:T20)+SUM(PPAcfd!E20:T20)+SUM(SwapSold!E20:T20))</f>
        <v>2.7432624533971071</v>
      </c>
    </row>
    <row r="31" spans="2:32" x14ac:dyDescent="0.3">
      <c r="B31" t="str">
        <f t="shared" si="13"/>
        <v>MarinusSnowyYallourn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83" t="s">
        <v>80</v>
      </c>
      <c r="H31" s="20" cm="1">
        <f t="array" ref="H31">INDEX(Financials!$B$5:$AI$260,FinancialWalk!K31,FinancialWalk!L31)</f>
        <v>15781287.262187313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83" t="s">
        <v>95</v>
      </c>
      <c r="Q31">
        <f t="shared" si="7"/>
        <v>32</v>
      </c>
      <c r="T31" s="3">
        <v>0.25</v>
      </c>
      <c r="U31" s="4">
        <f>U9/SUM(DualFuelMWh!E21:T21)</f>
        <v>-3.1178917500023497</v>
      </c>
      <c r="V31" s="4">
        <f>V9/SUM(PPAcfd!E21:T21)</f>
        <v>-0.42159346616405274</v>
      </c>
      <c r="W31" s="4">
        <f>W9/(SUM(DualFuelMWh!E21:T21)+SUM(PPAcfd!E21:T21))</f>
        <v>-1.0859753550073417</v>
      </c>
      <c r="X31" s="4">
        <f>X9/SUM(SwapSold!E21:T21)</f>
        <v>6.3464055529413308</v>
      </c>
      <c r="Y31" s="4">
        <f>Y9/(SUM(DualFuelMWh!E21:T21)+SUM(PPAcfd!E21:T21)+SUM(SwapSold!E21:T21))</f>
        <v>2.0643311900644936</v>
      </c>
      <c r="AA31" s="3">
        <v>0.25</v>
      </c>
      <c r="AB31" s="4">
        <f>AB9/SUM('2hBatteryMWh'!E21:T21)</f>
        <v>-11.725991633455493</v>
      </c>
      <c r="AC31" s="4">
        <f>AC9/SUM(PPAcfd!E21:T21)</f>
        <v>-0.42159346616405274</v>
      </c>
      <c r="AD31" s="4">
        <f>AD9/(SUM('2hBatteryMWh'!E21:T21)+SUM(PPAcfd!E21:T21))</f>
        <v>-1.28258369648829</v>
      </c>
      <c r="AE31" s="4">
        <f>AE9/SUM(SwapSold!E21:T21)</f>
        <v>6.3464055529413308</v>
      </c>
      <c r="AF31" s="4">
        <f>AF9/(SUM('2hBatteryMWh'!E21:T21)+SUM(PPAcfd!E21:T21)+SUM(SwapSold!E21:T21))</f>
        <v>2.335146689344235</v>
      </c>
    </row>
    <row r="32" spans="2:32" x14ac:dyDescent="0.3">
      <c r="B32" t="str">
        <f t="shared" si="13"/>
        <v>MarinusSnowyYallourn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83" t="s">
        <v>80</v>
      </c>
      <c r="H32" s="20" cm="1">
        <f t="array" ref="H32">INDEX(Financials!$B$5:$AI$260,FinancialWalk!K32,FinancialWalk!L32)</f>
        <v>15781287.262187313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83" t="s">
        <v>96</v>
      </c>
      <c r="Q32">
        <f t="shared" si="7"/>
        <v>33</v>
      </c>
      <c r="T32" s="3">
        <v>0.05</v>
      </c>
      <c r="U32" s="4">
        <f>U10/SUM(DualFuelMWh!E22:T22)</f>
        <v>-14.278836469748592</v>
      </c>
      <c r="V32" s="4">
        <f>V10/SUM(PPAcfd!E22:T22)</f>
        <v>-6.6047335453667699</v>
      </c>
      <c r="W32" s="4">
        <f>W10/(SUM(DualFuelMWh!E22:T22)+SUM(PPAcfd!E22:T22))</f>
        <v>-8.3209931215308277</v>
      </c>
      <c r="X32" s="4">
        <f>X10/SUM(SwapSold!E22:T22)</f>
        <v>14.884415793442248</v>
      </c>
      <c r="Y32" s="4">
        <f>Y10/(SUM(DualFuelMWh!E22:T22)+SUM(PPAcfd!E22:T22)+SUM(SwapSold!E22:T22))</f>
        <v>1.8720234279353989</v>
      </c>
      <c r="AA32" s="3">
        <v>0.05</v>
      </c>
      <c r="AB32" s="4">
        <f>AB10/SUM('2hBatteryMWh'!E22:T22)</f>
        <v>-57.912042364809658</v>
      </c>
      <c r="AC32" s="4">
        <f>AC10/SUM(PPAcfd!E22:T22)</f>
        <v>-6.6047335453667699</v>
      </c>
      <c r="AD32" s="4">
        <f>AD10/(SUM('2hBatteryMWh'!E22:T22)+SUM(PPAcfd!E22:T22))</f>
        <v>-9.7355245163145145</v>
      </c>
      <c r="AE32" s="4">
        <f>AE10/SUM(SwapSold!E22:T22)</f>
        <v>9.2068551299642785</v>
      </c>
      <c r="AF32" s="4">
        <f>AF10/(SUM('2hBatteryMWh'!E22:T22)+SUM(PPAcfd!E22:T22)+SUM(SwapSold!E22:T22))</f>
        <v>-0.52007977662729943</v>
      </c>
    </row>
    <row r="33" spans="2:32" x14ac:dyDescent="0.3">
      <c r="B33" t="str">
        <f t="shared" si="13"/>
        <v>MarinusSnowyYallourn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83" t="s">
        <v>80</v>
      </c>
      <c r="H33" s="20" cm="1">
        <f t="array" ref="H33">INDEX(Financials!$B$5:$AI$260,FinancialWalk!K33,FinancialWalk!L33)</f>
        <v>15781287.262187313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83" t="s">
        <v>141</v>
      </c>
      <c r="Q33">
        <f t="shared" si="7"/>
        <v>34</v>
      </c>
      <c r="T33" s="3">
        <v>0</v>
      </c>
      <c r="U33" s="4">
        <f>U11/SUM(DualFuelMWh!E23:T23)</f>
        <v>-38.067656827817515</v>
      </c>
      <c r="V33" s="4">
        <f>V11/SUM(PPAcfd!E23:T23)</f>
        <v>-13.572201778225798</v>
      </c>
      <c r="W33" s="4">
        <f>W11/(SUM(DualFuelMWh!E23:T23)+SUM(PPAcfd!E23:T23))</f>
        <v>-18.101010573294751</v>
      </c>
      <c r="X33" s="4">
        <f>X11/SUM(SwapSold!E23:T23)</f>
        <v>21.133596509835964</v>
      </c>
      <c r="Y33" s="4">
        <f>Y11/(SUM(DualFuelMWh!E23:T23)+SUM(PPAcfd!E23:T23)+SUM(SwapSold!E23:T23))</f>
        <v>9.1716531013786393E-2</v>
      </c>
      <c r="AA33" s="3">
        <v>0</v>
      </c>
      <c r="AB33" s="4">
        <f>AB11/SUM('2hBatteryMWh'!E23:T23)</f>
        <v>-153.5639519790131</v>
      </c>
      <c r="AC33" s="4">
        <f>AC11/SUM(PPAcfd!E23:T23)</f>
        <v>-13.127356229663526</v>
      </c>
      <c r="AD33" s="4">
        <f>AD11/(SUM('2hBatteryMWh'!E23:T23)+SUM(PPAcfd!E23:T23))</f>
        <v>-19.523627667477218</v>
      </c>
      <c r="AE33" s="4">
        <f>AE11/SUM(SwapSold!E23:T23)</f>
        <v>12.076340862763407</v>
      </c>
      <c r="AF33" s="4">
        <f>AF11/(SUM('2hBatteryMWh'!E23:T23)+SUM(PPAcfd!E23:T23)+SUM(SwapSold!E23:T23))</f>
        <v>-3.6263472439300419</v>
      </c>
    </row>
    <row r="34" spans="2:32" x14ac:dyDescent="0.3">
      <c r="B34" t="str">
        <f t="shared" si="13"/>
        <v>MarinusSnowyYallourn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83" t="s">
        <v>80</v>
      </c>
      <c r="H34" s="20" cm="1">
        <f t="array" ref="H34">INDEX(Financials!$B$5:$AI$260,FinancialWalk!K34,FinancialWalk!L34)</f>
        <v>15781287.262187313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3.6643471127642786</v>
      </c>
      <c r="V34" s="4">
        <f>V12/SUM(PPAcfd!E24:T24)</f>
        <v>4.5950354092779842</v>
      </c>
      <c r="W34" s="4">
        <f>W12/(SUM(DualFuelMWh!E24:T24)+SUM(PPAcfd!E24:T24))</f>
        <v>4.3537671989779234</v>
      </c>
      <c r="X34" s="4">
        <f>X12/SUM(SwapSold!E24:T24)</f>
        <v>0.29187528139789215</v>
      </c>
      <c r="Y34" s="4">
        <f>Y12/(SUM(DualFuelMWh!E24:T24)+SUM(PPAcfd!E24:T24)+SUM(SwapSold!E24:T24))</f>
        <v>2.6707278674584849</v>
      </c>
      <c r="AA34" t="s">
        <v>24</v>
      </c>
      <c r="AB34" s="4">
        <f>AB12/SUM('2hBatteryMWh'!E24:T24)</f>
        <v>11.015209873454751</v>
      </c>
      <c r="AC34" s="4">
        <f>AC12/SUM(PPAcfd!E24:T24)</f>
        <v>4.5950354092779842</v>
      </c>
      <c r="AD34" s="4">
        <f>AD12/(SUM('2hBatteryMWh'!E24:T24)+SUM(PPAcfd!E24:T24))</f>
        <v>5.1435483832435702</v>
      </c>
      <c r="AE34" s="4">
        <f>AE12/SUM(SwapSold!E24:T24)</f>
        <v>0.29187528139789215</v>
      </c>
      <c r="AF34" s="4">
        <f>AF12/(SUM('2hBatteryMWh'!E24:T24)+SUM(PPAcfd!E24:T24)+SUM(SwapSold!E24:T24))</f>
        <v>2.8815106277008229</v>
      </c>
    </row>
    <row r="35" spans="2:32" x14ac:dyDescent="0.3">
      <c r="B35" t="str">
        <f t="shared" si="13"/>
        <v>MarinusSnowyYallourn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83" t="s">
        <v>80</v>
      </c>
      <c r="H35" s="20" cm="1">
        <f t="array" ref="H35">INDEX(Financials!$B$5:$AI$260,FinancialWalk!K35,FinancialWalk!L35)</f>
        <v>13494815.124182137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MarinusSnowyYallourn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83" t="s">
        <v>80</v>
      </c>
      <c r="H36" s="20" cm="1">
        <f t="array" ref="H36">INDEX(Financials!$B$5:$AI$260,FinancialWalk!K36,FinancialWalk!L36)</f>
        <v>13494815.124182137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MarinusSnowyYallourn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83" t="s">
        <v>80</v>
      </c>
      <c r="H37" s="20" cm="1">
        <f t="array" ref="H37">INDEX(Financials!$B$5:$AI$260,FinancialWalk!K37,FinancialWalk!L37)</f>
        <v>13494815.124182137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MarinusSnowyYallourn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83" t="s">
        <v>80</v>
      </c>
      <c r="H38" s="20" cm="1">
        <f t="array" ref="H38">INDEX(Financials!$B$5:$AI$260,FinancialWalk!K38,FinancialWalk!L38)</f>
        <v>13494815.124182137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MarinusSnowyYallourn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83" t="s">
        <v>80</v>
      </c>
      <c r="H39" s="20" cm="1">
        <f t="array" ref="H39">INDEX(Financials!$B$5:$AI$260,FinancialWalk!K39,FinancialWalk!L39)</f>
        <v>13494815.124182137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MarinusSnowyYallourn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83" t="s">
        <v>80</v>
      </c>
      <c r="H40" s="20" cm="1">
        <f t="array" ref="H40">INDEX(Financials!$B$5:$AI$260,FinancialWalk!K40,FinancialWalk!L40)</f>
        <v>10882490.249914913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MarinusSnowyYallourn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83" t="s">
        <v>80</v>
      </c>
      <c r="H41" s="20" cm="1">
        <f t="array" ref="H41">INDEX(Financials!$B$5:$AI$260,FinancialWalk!K41,FinancialWalk!L41)</f>
        <v>10882490.249914913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MarinusSnowyYallourn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83" t="s">
        <v>80</v>
      </c>
      <c r="H42" s="20" cm="1">
        <f t="array" ref="H42">INDEX(Financials!$B$5:$AI$260,FinancialWalk!K42,FinancialWalk!L42)</f>
        <v>10882490.249914913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MarinusSnowyYallourn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83" t="s">
        <v>80</v>
      </c>
      <c r="H43" s="20" cm="1">
        <f t="array" ref="H43">INDEX(Financials!$B$5:$AI$260,FinancialWalk!K43,FinancialWalk!L43)</f>
        <v>10882490.249914913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MarinusSnowyYallourn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83" t="s">
        <v>80</v>
      </c>
      <c r="H44" s="20" cm="1">
        <f t="array" ref="H44">INDEX(Financials!$B$5:$AI$260,FinancialWalk!K44,FinancialWalk!L44)</f>
        <v>7623339.9114878615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MarinusSnowyYallourn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83" t="s">
        <v>80</v>
      </c>
      <c r="H45" s="20" cm="1">
        <f t="array" ref="H45">INDEX(Financials!$B$5:$AI$260,FinancialWalk!K45,FinancialWalk!L45)</f>
        <v>7623339.9114878615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MarinusSnowyYallourn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83" t="s">
        <v>80</v>
      </c>
      <c r="H46" s="20" cm="1">
        <f t="array" ref="H46">INDEX(Financials!$B$5:$AI$260,FinancialWalk!K46,FinancialWalk!L46)</f>
        <v>7623339.9114878615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MarinusSnowyYallourn</v>
      </c>
      <c r="C47" t="s">
        <v>64</v>
      </c>
      <c r="D47">
        <v>0</v>
      </c>
      <c r="E47" t="str">
        <f t="shared" si="14"/>
        <v>Cal-37</v>
      </c>
      <c r="F47" t="s">
        <v>44</v>
      </c>
      <c r="G47" s="83" t="s">
        <v>80</v>
      </c>
      <c r="H47" s="20" cm="1">
        <f t="array" ref="H47">INDEX(Financials!$B$5:$AI$260,FinancialWalk!K47,FinancialWalk!L47)</f>
        <v>3842080.2736678869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MarinusSnowyYallourn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83" t="s">
        <v>80</v>
      </c>
      <c r="H48" s="20" cm="1">
        <f t="array" ref="H48">INDEX(Financials!$B$5:$AI$260,FinancialWalk!K48,FinancialWalk!L48)</f>
        <v>13342150.078655249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MarinusSnowyYallourn</v>
      </c>
      <c r="C49" t="s">
        <v>64</v>
      </c>
      <c r="D49">
        <v>1</v>
      </c>
      <c r="E49" t="s">
        <v>18</v>
      </c>
      <c r="F49" t="s">
        <v>34</v>
      </c>
      <c r="G49" s="83" t="str">
        <f>$P$16</f>
        <v>Merchant NPV</v>
      </c>
      <c r="H49" s="20" cm="1">
        <f t="array" ref="H49">INDEX(Financials!$B$5:$AI$260,FinancialWalk!K49,FinancialWalk!L49)</f>
        <v>107981895.05802535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MarinusSnowyYallourn</v>
      </c>
      <c r="C50" t="s">
        <v>64</v>
      </c>
      <c r="D50">
        <v>0.95</v>
      </c>
      <c r="E50" t="str">
        <f>E49</f>
        <v>Cal-37</v>
      </c>
      <c r="F50" t="s">
        <v>34</v>
      </c>
      <c r="G50" s="83" t="str">
        <f t="shared" ref="G50:G92" si="15">$P$16</f>
        <v>Merchant NPV</v>
      </c>
      <c r="H50" s="20" cm="1">
        <f t="array" ref="H50">INDEX(Financials!$B$5:$AI$260,FinancialWalk!K50,FinancialWalk!L50)</f>
        <v>49894125.139184192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MarinusSnowyYallourn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83" t="str">
        <f t="shared" si="15"/>
        <v>Merchant NPV</v>
      </c>
      <c r="H51" s="20" cm="1">
        <f t="array" ref="H51">INDEX(Financials!$B$5:$AI$260,FinancialWalk!K51,FinancialWalk!L51)</f>
        <v>49894125.139184192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MarinusSnowyYallourn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83" t="str">
        <f t="shared" si="15"/>
        <v>Merchant NPV</v>
      </c>
      <c r="H52" s="20" cm="1">
        <f t="array" ref="H52">INDEX(Financials!$B$5:$AI$260,FinancialWalk!K52,FinancialWalk!L52)</f>
        <v>49894125.139184192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MarinusSnowyYallourn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83" t="str">
        <f t="shared" si="15"/>
        <v>Merchant NPV</v>
      </c>
      <c r="H53" s="20" cm="1">
        <f t="array" ref="H53">INDEX(Financials!$B$5:$AI$260,FinancialWalk!K53,FinancialWalk!L53)</f>
        <v>24836048.311276246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MarinusSnowyYallourn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83" t="str">
        <f t="shared" si="15"/>
        <v>Merchant NPV</v>
      </c>
      <c r="H54" s="20" cm="1">
        <f t="array" ref="H54">INDEX(Financials!$B$5:$AI$260,FinancialWalk!K54,FinancialWalk!L54)</f>
        <v>24836048.311276246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MarinusSnowyYallourn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83" t="str">
        <f t="shared" si="15"/>
        <v>Merchant NPV</v>
      </c>
      <c r="H55" s="20" cm="1">
        <f t="array" ref="H55">INDEX(Financials!$B$5:$AI$260,FinancialWalk!K55,FinancialWalk!L55)</f>
        <v>24836048.311276246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MarinusSnowyYallourn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83" t="str">
        <f t="shared" si="15"/>
        <v>Merchant NPV</v>
      </c>
      <c r="H56" s="20" cm="1">
        <f t="array" ref="H56">INDEX(Financials!$B$5:$AI$260,FinancialWalk!K56,FinancialWalk!L56)</f>
        <v>24836048.311276246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MarinusSnowyYallourn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83" t="str">
        <f t="shared" si="15"/>
        <v>Merchant NPV</v>
      </c>
      <c r="H57" s="20" cm="1">
        <f t="array" ref="H57">INDEX(Financials!$B$5:$AI$260,FinancialWalk!K57,FinancialWalk!L57)</f>
        <v>9148822.0037520863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MarinusSnowyYallourn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83" t="str">
        <f t="shared" si="15"/>
        <v>Merchant NPV</v>
      </c>
      <c r="H58" s="20" cm="1">
        <f t="array" ref="H58">INDEX(Financials!$B$5:$AI$260,FinancialWalk!K58,FinancialWalk!L58)</f>
        <v>9148822.0037520863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MarinusSnowyYallourn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83" t="str">
        <f t="shared" si="15"/>
        <v>Merchant NPV</v>
      </c>
      <c r="H59" s="20" cm="1">
        <f t="array" ref="H59">INDEX(Financials!$B$5:$AI$260,FinancialWalk!K59,FinancialWalk!L59)</f>
        <v>9148822.0037520863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MarinusSnowyYallourn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83" t="str">
        <f t="shared" si="15"/>
        <v>Merchant NPV</v>
      </c>
      <c r="H60" s="20" cm="1">
        <f t="array" ref="H60">INDEX(Financials!$B$5:$AI$260,FinancialWalk!K60,FinancialWalk!L60)</f>
        <v>9148822.0037520863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MarinusSnowyYallourn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83" t="str">
        <f t="shared" si="15"/>
        <v>Merchant NPV</v>
      </c>
      <c r="H61" s="20" cm="1">
        <f t="array" ref="H61">INDEX(Financials!$B$5:$AI$260,FinancialWalk!K61,FinancialWalk!L61)</f>
        <v>9148822.0037520863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MarinusSnowyYallourn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83" t="str">
        <f t="shared" si="15"/>
        <v>Merchant NPV</v>
      </c>
      <c r="H62" s="20" cm="1">
        <f t="array" ref="H62">INDEX(Financials!$B$5:$AI$260,FinancialWalk!K62,FinancialWalk!L62)</f>
        <v>-7323247.7259665839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MarinusSnowyYallourn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83" t="str">
        <f t="shared" si="15"/>
        <v>Merchant NPV</v>
      </c>
      <c r="H63" s="20" cm="1">
        <f t="array" ref="H63">INDEX(Financials!$B$5:$AI$260,FinancialWalk!K63,FinancialWalk!L63)</f>
        <v>-7323247.7259665839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MarinusSnowyYallourn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83" t="str">
        <f t="shared" si="15"/>
        <v>Merchant NPV</v>
      </c>
      <c r="H64" s="20" cm="1">
        <f t="array" ref="H64">INDEX(Financials!$B$5:$AI$260,FinancialWalk!K64,FinancialWalk!L64)</f>
        <v>-7323247.7259665839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MarinusSnowyYallourn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83" t="str">
        <f t="shared" si="15"/>
        <v>Merchant NPV</v>
      </c>
      <c r="H65" s="20" cm="1">
        <f t="array" ref="H65">INDEX(Financials!$B$5:$AI$260,FinancialWalk!K65,FinancialWalk!L65)</f>
        <v>-7323247.7259665839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MarinusSnowyYallourn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83" t="str">
        <f t="shared" si="15"/>
        <v>Merchant NPV</v>
      </c>
      <c r="H66" s="20" cm="1">
        <f t="array" ref="H66">INDEX(Financials!$B$5:$AI$260,FinancialWalk!K66,FinancialWalk!L66)</f>
        <v>-28588676.333086845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MarinusSnowyYallourn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83" t="str">
        <f t="shared" si="15"/>
        <v>Merchant NPV</v>
      </c>
      <c r="H67" s="20" cm="1">
        <f t="array" ref="H67">INDEX(Financials!$B$5:$AI$260,FinancialWalk!K67,FinancialWalk!L67)</f>
        <v>-28588676.333086845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MarinusSnowyYallourn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83" t="str">
        <f t="shared" si="15"/>
        <v>Merchant NPV</v>
      </c>
      <c r="H68" s="20" cm="1">
        <f t="array" ref="H68">INDEX(Financials!$B$5:$AI$260,FinancialWalk!K68,FinancialWalk!L68)</f>
        <v>-28588676.333086845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MarinusSnowyYallourn</v>
      </c>
      <c r="C69" t="s">
        <v>64</v>
      </c>
      <c r="D69">
        <v>0</v>
      </c>
      <c r="E69" t="str">
        <f t="shared" si="17"/>
        <v>Cal-37</v>
      </c>
      <c r="F69" t="s">
        <v>34</v>
      </c>
      <c r="G69" s="83" t="str">
        <f t="shared" si="15"/>
        <v>Merchant NPV</v>
      </c>
      <c r="H69" s="20" cm="1">
        <f t="array" ref="H69">INDEX(Financials!$B$5:$AI$260,FinancialWalk!K69,FinancialWalk!L69)</f>
        <v>-57086419.75213106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MarinusSnowyYallourn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83" t="str">
        <f t="shared" si="15"/>
        <v>Merchant NPV</v>
      </c>
      <c r="H70" s="20" cm="1">
        <f t="array" ref="H70">INDEX(Financials!$B$5:$AI$260,FinancialWalk!K70,FinancialWalk!L70)</f>
        <v>9415798.9072180577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MarinusSnowyYallourn</v>
      </c>
      <c r="C71" t="s">
        <v>64</v>
      </c>
      <c r="D71">
        <v>1</v>
      </c>
      <c r="E71" t="s">
        <v>18</v>
      </c>
      <c r="F71" t="s">
        <v>44</v>
      </c>
      <c r="G71" s="83" t="str">
        <f t="shared" si="15"/>
        <v>Merchant NPV</v>
      </c>
      <c r="H71" s="20" cm="1">
        <f t="array" ref="H71">INDEX(Financials!$B$5:$AI$260,FinancialWalk!K71,FinancialWalk!L71)</f>
        <v>84626944.257945731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MarinusSnowyYallourn</v>
      </c>
      <c r="C72" t="s">
        <v>64</v>
      </c>
      <c r="D72">
        <v>0.95</v>
      </c>
      <c r="E72" t="str">
        <f>E71</f>
        <v>Cal-37</v>
      </c>
      <c r="F72" t="s">
        <v>44</v>
      </c>
      <c r="G72" s="83" t="str">
        <f t="shared" si="15"/>
        <v>Merchant NPV</v>
      </c>
      <c r="H72" s="20" cm="1">
        <f t="array" ref="H72">INDEX(Financials!$B$5:$AI$260,FinancialWalk!K72,FinancialWalk!L72)</f>
        <v>39751011.228108041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MarinusSnowyYallourn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83" t="str">
        <f t="shared" si="15"/>
        <v>Merchant NPV</v>
      </c>
      <c r="H73" s="20" cm="1">
        <f t="array" ref="H73">INDEX(Financials!$B$5:$AI$260,FinancialWalk!K73,FinancialWalk!L73)</f>
        <v>39751011.228108041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MarinusSnowyYallourn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83" t="str">
        <f t="shared" si="15"/>
        <v>Merchant NPV</v>
      </c>
      <c r="H74" s="20" cm="1">
        <f t="array" ref="H74">INDEX(Financials!$B$5:$AI$260,FinancialWalk!K74,FinancialWalk!L74)</f>
        <v>39751011.228108041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MarinusSnowyYallourn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83" t="str">
        <f t="shared" si="15"/>
        <v>Merchant NPV</v>
      </c>
      <c r="H75" s="20" cm="1">
        <f t="array" ref="H75">INDEX(Financials!$B$5:$AI$260,FinancialWalk!K75,FinancialWalk!L75)</f>
        <v>21934437.369952403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MarinusSnowyYallourn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83" t="str">
        <f t="shared" si="15"/>
        <v>Merchant NPV</v>
      </c>
      <c r="H76" s="20" cm="1">
        <f t="array" ref="H76">INDEX(Financials!$B$5:$AI$260,FinancialWalk!K76,FinancialWalk!L76)</f>
        <v>21934437.369952403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MarinusSnowyYallourn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83" t="str">
        <f t="shared" si="15"/>
        <v>Merchant NPV</v>
      </c>
      <c r="H77" s="20" cm="1">
        <f t="array" ref="H77">INDEX(Financials!$B$5:$AI$260,FinancialWalk!K77,FinancialWalk!L77)</f>
        <v>21934437.369952403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MarinusSnowyYallourn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83" t="str">
        <f t="shared" si="15"/>
        <v>Merchant NPV</v>
      </c>
      <c r="H78" s="20" cm="1">
        <f t="array" ref="H78">INDEX(Financials!$B$5:$AI$260,FinancialWalk!K78,FinancialWalk!L78)</f>
        <v>21934437.369952403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MarinusSnowyYallourn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83" t="str">
        <f t="shared" si="15"/>
        <v>Merchant NPV</v>
      </c>
      <c r="H79" s="20" cm="1">
        <f t="array" ref="H79">INDEX(Financials!$B$5:$AI$260,FinancialWalk!K79,FinancialWalk!L79)</f>
        <v>8455472.1408247873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MarinusSnowyYallourn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83" t="str">
        <f t="shared" si="15"/>
        <v>Merchant NPV</v>
      </c>
      <c r="H80" s="20" cm="1">
        <f t="array" ref="H80">INDEX(Financials!$B$5:$AI$260,FinancialWalk!K80,FinancialWalk!L80)</f>
        <v>8455472.1408247873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MarinusSnowyYallourn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83" t="str">
        <f t="shared" si="15"/>
        <v>Merchant NPV</v>
      </c>
      <c r="H81" s="20" cm="1">
        <f t="array" ref="H81">INDEX(Financials!$B$5:$AI$260,FinancialWalk!K81,FinancialWalk!L81)</f>
        <v>8455472.1408247873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MarinusSnowyYallourn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83" t="str">
        <f t="shared" si="15"/>
        <v>Merchant NPV</v>
      </c>
      <c r="H82" s="20" cm="1">
        <f t="array" ref="H82">INDEX(Financials!$B$5:$AI$260,FinancialWalk!K82,FinancialWalk!L82)</f>
        <v>8455472.1408247873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MarinusSnowyYallourn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83" t="str">
        <f t="shared" si="15"/>
        <v>Merchant NPV</v>
      </c>
      <c r="H83" s="20" cm="1">
        <f t="array" ref="H83">INDEX(Financials!$B$5:$AI$260,FinancialWalk!K83,FinancialWalk!L83)</f>
        <v>8455472.1408247873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MarinusSnowyYallourn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83" t="str">
        <f t="shared" si="15"/>
        <v>Merchant NPV</v>
      </c>
      <c r="H84" s="20" cm="1">
        <f t="array" ref="H84">INDEX(Financials!$B$5:$AI$260,FinancialWalk!K84,FinancialWalk!L84)</f>
        <v>-6944425.1779123396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MarinusSnowyYallourn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83" t="str">
        <f t="shared" si="15"/>
        <v>Merchant NPV</v>
      </c>
      <c r="H85" s="20" cm="1">
        <f t="array" ref="H85">INDEX(Financials!$B$5:$AI$260,FinancialWalk!K85,FinancialWalk!L85)</f>
        <v>-6944425.1779123396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MarinusSnowyYallourn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83" t="str">
        <f t="shared" si="15"/>
        <v>Merchant NPV</v>
      </c>
      <c r="H86" s="20" cm="1">
        <f t="array" ref="H86">INDEX(Financials!$B$5:$AI$260,FinancialWalk!K86,FinancialWalk!L86)</f>
        <v>-6944425.1779123396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MarinusSnowyYallourn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83" t="str">
        <f t="shared" si="15"/>
        <v>Merchant NPV</v>
      </c>
      <c r="H87" s="20" cm="1">
        <f t="array" ref="H87">INDEX(Financials!$B$5:$AI$260,FinancialWalk!K87,FinancialWalk!L87)</f>
        <v>-6944425.1779123396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MarinusSnowyYallourn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83" t="str">
        <f t="shared" si="15"/>
        <v>Merchant NPV</v>
      </c>
      <c r="H88" s="20" cm="1">
        <f t="array" ref="H88">INDEX(Financials!$B$5:$AI$260,FinancialWalk!K88,FinancialWalk!L88)</f>
        <v>-26157418.574142486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MarinusSnowyYallourn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83" t="str">
        <f t="shared" si="15"/>
        <v>Merchant NPV</v>
      </c>
      <c r="H89" s="20" cm="1">
        <f t="array" ref="H89">INDEX(Financials!$B$5:$AI$260,FinancialWalk!K89,FinancialWalk!L89)</f>
        <v>-26157418.574142486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MarinusSnowyYallourn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83" t="str">
        <f t="shared" si="15"/>
        <v>Merchant NPV</v>
      </c>
      <c r="H90" s="20" cm="1">
        <f t="array" ref="H90">INDEX(Financials!$B$5:$AI$260,FinancialWalk!K90,FinancialWalk!L90)</f>
        <v>-26157418.574142486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MarinusSnowyYallourn</v>
      </c>
      <c r="C91" t="s">
        <v>64</v>
      </c>
      <c r="D91">
        <v>0</v>
      </c>
      <c r="E91" t="str">
        <f t="shared" si="20"/>
        <v>Cal-37</v>
      </c>
      <c r="F91" t="s">
        <v>44</v>
      </c>
      <c r="G91" s="83" t="str">
        <f t="shared" si="15"/>
        <v>Merchant NPV</v>
      </c>
      <c r="H91" s="20" cm="1">
        <f t="array" ref="H91">INDEX(Financials!$B$5:$AI$260,FinancialWalk!K91,FinancialWalk!L91)</f>
        <v>-48448294.694306128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MarinusSnowyYallourn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83" t="str">
        <f t="shared" si="15"/>
        <v>Merchant NPV</v>
      </c>
      <c r="H92" s="20" cm="1">
        <f t="array" ref="H92">INDEX(Financials!$B$5:$AI$260,FinancialWalk!K92,FinancialWalk!L92)</f>
        <v>7555497.5440840647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MarinusSnowyYallourn</v>
      </c>
      <c r="C93" t="s">
        <v>64</v>
      </c>
      <c r="D93">
        <v>1</v>
      </c>
      <c r="E93" t="s">
        <v>18</v>
      </c>
      <c r="F93" t="s">
        <v>34</v>
      </c>
      <c r="G93" s="83" t="str">
        <f>$P$17</f>
        <v>Merchant ROI</v>
      </c>
      <c r="H93" s="13" cm="1">
        <f t="array" ref="H93">INDEX(Financials!$B$5:$AI$260,FinancialWalk!K93,FinancialWalk!L93)</f>
        <v>1.5601076420768194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MarinusSnowyYallourn</v>
      </c>
      <c r="C94" t="s">
        <v>64</v>
      </c>
      <c r="D94">
        <v>0.95</v>
      </c>
      <c r="E94" t="str">
        <f>E93</f>
        <v>Cal-37</v>
      </c>
      <c r="F94" t="s">
        <v>34</v>
      </c>
      <c r="G94" s="83" t="str">
        <f t="shared" ref="G94:G136" si="21">$P$17</f>
        <v>Merchant ROI</v>
      </c>
      <c r="H94" s="13" cm="1">
        <f t="array" ref="H94">INDEX(Financials!$B$5:$AI$260,FinancialWalk!K94,FinancialWalk!L94)</f>
        <v>0.72086349181545717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MarinusSnowyYallourn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83" t="str">
        <f t="shared" si="21"/>
        <v>Merchant ROI</v>
      </c>
      <c r="H95" s="13" cm="1">
        <f t="array" ref="H95">INDEX(Financials!$B$5:$AI$260,FinancialWalk!K95,FinancialWalk!L95)</f>
        <v>0.72086349181545717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MarinusSnowyYallourn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83" t="str">
        <f t="shared" si="21"/>
        <v>Merchant ROI</v>
      </c>
      <c r="H96" s="13" cm="1">
        <f t="array" ref="H96">INDEX(Financials!$B$5:$AI$260,FinancialWalk!K96,FinancialWalk!L96)</f>
        <v>0.72086349181545717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MarinusSnowyYallourn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83" t="str">
        <f t="shared" si="21"/>
        <v>Merchant ROI</v>
      </c>
      <c r="H97" s="13" cm="1">
        <f t="array" ref="H97">INDEX(Financials!$B$5:$AI$260,FinancialWalk!K97,FinancialWalk!L97)</f>
        <v>0.3588278270962928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MarinusSnowyYallourn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83" t="str">
        <f t="shared" si="21"/>
        <v>Merchant ROI</v>
      </c>
      <c r="H98" s="13" cm="1">
        <f t="array" ref="H98">INDEX(Financials!$B$5:$AI$260,FinancialWalk!K98,FinancialWalk!L98)</f>
        <v>0.3588278270962928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MarinusSnowyYallourn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83" t="str">
        <f t="shared" si="21"/>
        <v>Merchant ROI</v>
      </c>
      <c r="H99" s="13" cm="1">
        <f t="array" ref="H99">INDEX(Financials!$B$5:$AI$260,FinancialWalk!K99,FinancialWalk!L99)</f>
        <v>0.3588278270962928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MarinusSnowyYallourn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83" t="str">
        <f t="shared" si="21"/>
        <v>Merchant ROI</v>
      </c>
      <c r="H100" s="13" cm="1">
        <f t="array" ref="H100">INDEX(Financials!$B$5:$AI$260,FinancialWalk!K100,FinancialWalk!L100)</f>
        <v>0.3588278270962928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MarinusSnowyYallourn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83" t="str">
        <f t="shared" si="21"/>
        <v>Merchant ROI</v>
      </c>
      <c r="H101" s="13" cm="1">
        <f t="array" ref="H101">INDEX(Financials!$B$5:$AI$260,FinancialWalk!K101,FinancialWalk!L101)</f>
        <v>0.13218092826009717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MarinusSnowyYallourn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83" t="str">
        <f t="shared" si="21"/>
        <v>Merchant ROI</v>
      </c>
      <c r="H102" s="13" cm="1">
        <f t="array" ref="H102">INDEX(Financials!$B$5:$AI$260,FinancialWalk!K102,FinancialWalk!L102)</f>
        <v>0.13218092826009717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MarinusSnowyYallourn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83" t="str">
        <f t="shared" si="21"/>
        <v>Merchant ROI</v>
      </c>
      <c r="H103" s="13" cm="1">
        <f t="array" ref="H103">INDEX(Financials!$B$5:$AI$260,FinancialWalk!K103,FinancialWalk!L103)</f>
        <v>0.13218092826009717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MarinusSnowyYallourn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83" t="str">
        <f t="shared" si="21"/>
        <v>Merchant ROI</v>
      </c>
      <c r="H104" s="13" cm="1">
        <f t="array" ref="H104">INDEX(Financials!$B$5:$AI$260,FinancialWalk!K104,FinancialWalk!L104)</f>
        <v>0.13218092826009717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MarinusSnowyYallourn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83" t="str">
        <f t="shared" si="21"/>
        <v>Merchant ROI</v>
      </c>
      <c r="H105" s="13" cm="1">
        <f t="array" ref="H105">INDEX(Financials!$B$5:$AI$260,FinancialWalk!K105,FinancialWalk!L105)</f>
        <v>0.13218092826009717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MarinusSnowyYallourn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83" t="str">
        <f t="shared" si="21"/>
        <v>Merchant ROI</v>
      </c>
      <c r="H106" s="13" cm="1">
        <f t="array" ref="H106">INDEX(Financials!$B$5:$AI$260,FinancialWalk!K106,FinancialWalk!L106)</f>
        <v>-0.105805280931241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MarinusSnowyYallourn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83" t="str">
        <f t="shared" si="21"/>
        <v>Merchant ROI</v>
      </c>
      <c r="H107" s="13" cm="1">
        <f t="array" ref="H107">INDEX(Financials!$B$5:$AI$260,FinancialWalk!K107,FinancialWalk!L107)</f>
        <v>-0.105805280931241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MarinusSnowyYallourn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83" t="str">
        <f t="shared" si="21"/>
        <v>Merchant ROI</v>
      </c>
      <c r="H108" s="13" cm="1">
        <f t="array" ref="H108">INDEX(Financials!$B$5:$AI$260,FinancialWalk!K108,FinancialWalk!L108)</f>
        <v>-0.105805280931241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MarinusSnowyYallourn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83" t="str">
        <f t="shared" si="21"/>
        <v>Merchant ROI</v>
      </c>
      <c r="H109" s="13" cm="1">
        <f t="array" ref="H109">INDEX(Financials!$B$5:$AI$260,FinancialWalk!K109,FinancialWalk!L109)</f>
        <v>-0.105805280931241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MarinusSnowyYallourn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83" t="str">
        <f t="shared" si="21"/>
        <v>Merchant ROI</v>
      </c>
      <c r="H110" s="13" cm="1">
        <f t="array" ref="H110">INDEX(Financials!$B$5:$AI$260,FinancialWalk!K110,FinancialWalk!L110)</f>
        <v>-0.41304528319439471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MarinusSnowyYallourn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83" t="str">
        <f t="shared" si="21"/>
        <v>Merchant ROI</v>
      </c>
      <c r="H111" s="13" cm="1">
        <f t="array" ref="H111">INDEX(Financials!$B$5:$AI$260,FinancialWalk!K111,FinancialWalk!L111)</f>
        <v>-0.41304528319439471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MarinusSnowyYallourn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83" t="str">
        <f t="shared" si="21"/>
        <v>Merchant ROI</v>
      </c>
      <c r="H112" s="13" cm="1">
        <f t="array" ref="H112">INDEX(Financials!$B$5:$AI$260,FinancialWalk!K112,FinancialWalk!L112)</f>
        <v>-0.41304528319439471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MarinusSnowyYallourn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83" t="str">
        <f t="shared" si="21"/>
        <v>Merchant ROI</v>
      </c>
      <c r="H113" s="13" cm="1">
        <f t="array" ref="H113">INDEX(Financials!$B$5:$AI$260,FinancialWalk!K113,FinancialWalk!L113)</f>
        <v>-0.82477678009120692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MarinusSnowyYallourn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83" t="str">
        <f t="shared" si="21"/>
        <v>Merchant ROI</v>
      </c>
      <c r="H114" s="13" cm="1">
        <f t="array" ref="H114">INDEX(Financials!$B$5:$AI$260,FinancialWalk!K114,FinancialWalk!L114)</f>
        <v>0.13603817402459731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MarinusSnowyYallourn</v>
      </c>
      <c r="C115" t="s">
        <v>64</v>
      </c>
      <c r="D115">
        <v>1</v>
      </c>
      <c r="E115" t="s">
        <v>18</v>
      </c>
      <c r="F115" t="s">
        <v>44</v>
      </c>
      <c r="G115" s="83" t="str">
        <f t="shared" si="21"/>
        <v>Merchant ROI</v>
      </c>
      <c r="H115" s="13" cm="1">
        <f t="array" ref="H115">INDEX(Financials!$B$5:$AI$260,FinancialWalk!K115,FinancialWalk!L115)</f>
        <v>1.1902906489688891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MarinusSnowyYallourn</v>
      </c>
      <c r="C116" t="s">
        <v>64</v>
      </c>
      <c r="D116">
        <v>0.95</v>
      </c>
      <c r="E116" t="str">
        <f>E115</f>
        <v>Cal-37</v>
      </c>
      <c r="F116" t="s">
        <v>44</v>
      </c>
      <c r="G116" s="83" t="str">
        <f t="shared" si="21"/>
        <v>Merchant ROI</v>
      </c>
      <c r="H116" s="13" cm="1">
        <f t="array" ref="H116">INDEX(Financials!$B$5:$AI$260,FinancialWalk!K116,FinancialWalk!L116)</f>
        <v>0.55910392803095732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MarinusSnowyYallourn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83" t="str">
        <f t="shared" si="21"/>
        <v>Merchant ROI</v>
      </c>
      <c r="H117" s="13" cm="1">
        <f t="array" ref="H117">INDEX(Financials!$B$5:$AI$260,FinancialWalk!K117,FinancialWalk!L117)</f>
        <v>0.55910392803095732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MarinusSnowyYallourn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83" t="str">
        <f t="shared" si="21"/>
        <v>Merchant ROI</v>
      </c>
      <c r="H118" s="13" cm="1">
        <f t="array" ref="H118">INDEX(Financials!$B$5:$AI$260,FinancialWalk!K118,FinancialWalk!L118)</f>
        <v>0.55910392803095732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MarinusSnowyYallourn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83" t="str">
        <f t="shared" si="21"/>
        <v>Merchant ROI</v>
      </c>
      <c r="H119" s="13" cm="1">
        <f t="array" ref="H119">INDEX(Financials!$B$5:$AI$260,FinancialWalk!K119,FinancialWalk!L119)</f>
        <v>0.30851114761120252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MarinusSnowyYallourn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83" t="str">
        <f t="shared" si="21"/>
        <v>Merchant ROI</v>
      </c>
      <c r="H120" s="13" cm="1">
        <f t="array" ref="H120">INDEX(Financials!$B$5:$AI$260,FinancialWalk!K120,FinancialWalk!L120)</f>
        <v>0.30851114761120252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MarinusSnowyYallourn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83" t="str">
        <f t="shared" si="21"/>
        <v>Merchant ROI</v>
      </c>
      <c r="H121" s="13" cm="1">
        <f t="array" ref="H121">INDEX(Financials!$B$5:$AI$260,FinancialWalk!K121,FinancialWalk!L121)</f>
        <v>0.30851114761120252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MarinusSnowyYallourn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83" t="str">
        <f t="shared" si="21"/>
        <v>Merchant ROI</v>
      </c>
      <c r="H122" s="13" cm="1">
        <f t="array" ref="H122">INDEX(Financials!$B$5:$AI$260,FinancialWalk!K122,FinancialWalk!L122)</f>
        <v>0.30851114761120252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MarinusSnowyYallourn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83" t="str">
        <f t="shared" si="21"/>
        <v>Merchant ROI</v>
      </c>
      <c r="H123" s="13" cm="1">
        <f t="array" ref="H123">INDEX(Financials!$B$5:$AI$260,FinancialWalk!K123,FinancialWalk!L123)</f>
        <v>0.1189274823768168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MarinusSnowyYallourn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83" t="str">
        <f t="shared" si="21"/>
        <v>Merchant ROI</v>
      </c>
      <c r="H124" s="13" cm="1">
        <f t="array" ref="H124">INDEX(Financials!$B$5:$AI$260,FinancialWalk!K124,FinancialWalk!L124)</f>
        <v>0.1189274823768168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MarinusSnowyYallourn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83" t="str">
        <f t="shared" si="21"/>
        <v>Merchant ROI</v>
      </c>
      <c r="H125" s="13" cm="1">
        <f t="array" ref="H125">INDEX(Financials!$B$5:$AI$260,FinancialWalk!K125,FinancialWalk!L125)</f>
        <v>0.1189274823768168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MarinusSnowyYallourn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83" t="str">
        <f t="shared" si="21"/>
        <v>Merchant ROI</v>
      </c>
      <c r="H126" s="13" cm="1">
        <f t="array" ref="H126">INDEX(Financials!$B$5:$AI$260,FinancialWalk!K126,FinancialWalk!L126)</f>
        <v>0.1189274823768168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MarinusSnowyYallourn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83" t="str">
        <f t="shared" si="21"/>
        <v>Merchant ROI</v>
      </c>
      <c r="H127" s="13" cm="1">
        <f t="array" ref="H127">INDEX(Financials!$B$5:$AI$260,FinancialWalk!K127,FinancialWalk!L127)</f>
        <v>0.1189274823768168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MarinusSnowyYallourn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83" t="str">
        <f t="shared" si="21"/>
        <v>Merchant ROI</v>
      </c>
      <c r="H128" s="13" cm="1">
        <f t="array" ref="H128">INDEX(Financials!$B$5:$AI$260,FinancialWalk!K128,FinancialWalk!L128)</f>
        <v>-9.7674380473179834E-2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MarinusSnowyYallourn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83" t="str">
        <f t="shared" si="21"/>
        <v>Merchant ROI</v>
      </c>
      <c r="H129" s="13" cm="1">
        <f t="array" ref="H129">INDEX(Financials!$B$5:$AI$260,FinancialWalk!K129,FinancialWalk!L129)</f>
        <v>-9.7674380473179834E-2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MarinusSnowyYallourn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83" t="str">
        <f t="shared" si="21"/>
        <v>Merchant ROI</v>
      </c>
      <c r="H130" s="13" cm="1">
        <f t="array" ref="H130">INDEX(Financials!$B$5:$AI$260,FinancialWalk!K130,FinancialWalk!L130)</f>
        <v>-9.7674380473179834E-2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MarinusSnowyYallourn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83" t="str">
        <f t="shared" si="21"/>
        <v>Merchant ROI</v>
      </c>
      <c r="H131" s="13" cm="1">
        <f t="array" ref="H131">INDEX(Financials!$B$5:$AI$260,FinancialWalk!K131,FinancialWalk!L131)</f>
        <v>-9.7674380473179834E-2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MarinusSnowyYallourn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83" t="str">
        <f t="shared" si="21"/>
        <v>Merchant ROI</v>
      </c>
      <c r="H132" s="13" cm="1">
        <f t="array" ref="H132">INDEX(Financials!$B$5:$AI$260,FinancialWalk!K132,FinancialWalk!L132)</f>
        <v>-0.36790801089386654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MarinusSnowyYallourn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83" t="str">
        <f t="shared" si="21"/>
        <v>Merchant ROI</v>
      </c>
      <c r="H133" s="13" cm="1">
        <f t="array" ref="H133">INDEX(Financials!$B$5:$AI$260,FinancialWalk!K133,FinancialWalk!L133)</f>
        <v>-0.36790801089386654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MarinusSnowyYallourn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83" t="str">
        <f t="shared" si="21"/>
        <v>Merchant ROI</v>
      </c>
      <c r="H134" s="13" cm="1">
        <f t="array" ref="H134">INDEX(Financials!$B$5:$AI$260,FinancialWalk!K134,FinancialWalk!L134)</f>
        <v>-0.36790801089386654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MarinusSnowyYallourn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83" t="str">
        <f t="shared" si="21"/>
        <v>Merchant ROI</v>
      </c>
      <c r="H135" s="13" cm="1">
        <f t="array" ref="H135">INDEX(Financials!$B$5:$AI$260,FinancialWalk!K135,FinancialWalk!L135)</f>
        <v>-0.68143252292495671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MarinusSnowyYallourn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83" t="str">
        <f t="shared" si="21"/>
        <v>Merchant ROI</v>
      </c>
      <c r="H136" s="13" cm="1">
        <f t="array" ref="H136">INDEX(Financials!$B$5:$AI$260,FinancialWalk!K136,FinancialWalk!L136)</f>
        <v>0.10626920484826892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MarinusSnowyYallourn</v>
      </c>
      <c r="C137" t="s">
        <v>64</v>
      </c>
      <c r="D137">
        <v>1</v>
      </c>
      <c r="E137" t="s">
        <v>18</v>
      </c>
      <c r="F137" t="s">
        <v>34</v>
      </c>
      <c r="G137" s="83" t="str">
        <f t="shared" ref="G137:G180" si="27">$P$23</f>
        <v>Merchant with PPA EBIT Discounted</v>
      </c>
      <c r="H137" s="20" cm="1">
        <f t="array" ref="H137">INDEX(Financials!$B$5:$AI$260,FinancialWalk!K137,FinancialWalk!L137)</f>
        <v>245804417.98665708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MarinusSnowyYallourn</v>
      </c>
      <c r="C138" t="s">
        <v>64</v>
      </c>
      <c r="D138">
        <v>0.95</v>
      </c>
      <c r="E138" t="str">
        <f>E137</f>
        <v>Cal-37</v>
      </c>
      <c r="F138" t="s">
        <v>34</v>
      </c>
      <c r="G138" s="83" t="str">
        <f t="shared" si="27"/>
        <v>Merchant with PPA EBIT Discounted</v>
      </c>
      <c r="H138" s="20" cm="1">
        <f t="array" ref="H138">INDEX(Financials!$B$5:$AI$260,FinancialWalk!K138,FinancialWalk!L138)</f>
        <v>140155967.66269961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MarinusSnowyYallourn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83" t="str">
        <f t="shared" si="27"/>
        <v>Merchant with PPA EBIT Discounted</v>
      </c>
      <c r="H139" s="20" cm="1">
        <f t="array" ref="H139">INDEX(Financials!$B$5:$AI$260,FinancialWalk!K139,FinancialWalk!L139)</f>
        <v>140155967.66269961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MarinusSnowyYallourn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83" t="str">
        <f t="shared" si="27"/>
        <v>Merchant with PPA EBIT Discounted</v>
      </c>
      <c r="H140" s="20" cm="1">
        <f t="array" ref="H140">INDEX(Financials!$B$5:$AI$260,FinancialWalk!K140,FinancialWalk!L140)</f>
        <v>140155967.66269961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MarinusSnowyYallourn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83" t="str">
        <f t="shared" si="27"/>
        <v>Merchant with PPA EBIT Discounted</v>
      </c>
      <c r="H141" s="20" cm="1">
        <f t="array" ref="H141">INDEX(Financials!$B$5:$AI$260,FinancialWalk!K141,FinancialWalk!L141)</f>
        <v>87671493.322156638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MarinusSnowyYallourn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83" t="str">
        <f t="shared" si="27"/>
        <v>Merchant with PPA EBIT Discounted</v>
      </c>
      <c r="H142" s="20" cm="1">
        <f t="array" ref="H142">INDEX(Financials!$B$5:$AI$260,FinancialWalk!K142,FinancialWalk!L142)</f>
        <v>87671493.322156638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MarinusSnowyYallourn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83" t="str">
        <f t="shared" si="27"/>
        <v>Merchant with PPA EBIT Discounted</v>
      </c>
      <c r="H143" s="20" cm="1">
        <f t="array" ref="H143">INDEX(Financials!$B$5:$AI$260,FinancialWalk!K143,FinancialWalk!L143)</f>
        <v>87671493.322156638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MarinusSnowyYallourn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83" t="str">
        <f t="shared" si="27"/>
        <v>Merchant with PPA EBIT Discounted</v>
      </c>
      <c r="H144" s="20" cm="1">
        <f t="array" ref="H144">INDEX(Financials!$B$5:$AI$260,FinancialWalk!K144,FinancialWalk!L144)</f>
        <v>87671493.322156638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MarinusSnowyYallourn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83" t="str">
        <f t="shared" si="27"/>
        <v>Merchant with PPA EBIT Discounted</v>
      </c>
      <c r="H145" s="20" cm="1">
        <f t="array" ref="H145">INDEX(Financials!$B$5:$AI$260,FinancialWalk!K145,FinancialWalk!L145)</f>
        <v>48810677.835936517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MarinusSnowyYallourn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83" t="str">
        <f t="shared" si="27"/>
        <v>Merchant with PPA EBIT Discounted</v>
      </c>
      <c r="H146" s="20" cm="1">
        <f t="array" ref="H146">INDEX(Financials!$B$5:$AI$260,FinancialWalk!K146,FinancialWalk!L146)</f>
        <v>48810677.835936517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MarinusSnowyYallourn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83" t="str">
        <f t="shared" si="27"/>
        <v>Merchant with PPA EBIT Discounted</v>
      </c>
      <c r="H147" s="20" cm="1">
        <f t="array" ref="H147">INDEX(Financials!$B$5:$AI$260,FinancialWalk!K147,FinancialWalk!L147)</f>
        <v>48810677.835936517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MarinusSnowyYallourn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83" t="str">
        <f t="shared" si="27"/>
        <v>Merchant with PPA EBIT Discounted</v>
      </c>
      <c r="H148" s="20" cm="1">
        <f t="array" ref="H148">INDEX(Financials!$B$5:$AI$260,FinancialWalk!K148,FinancialWalk!L148)</f>
        <v>48810677.835936517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MarinusSnowyYallourn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83" t="str">
        <f t="shared" si="27"/>
        <v>Merchant with PPA EBIT Discounted</v>
      </c>
      <c r="H149" s="20" cm="1">
        <f t="array" ref="H149">INDEX(Financials!$B$5:$AI$260,FinancialWalk!K149,FinancialWalk!L149)</f>
        <v>48810677.835936517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MarinusSnowyYallourn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83" t="str">
        <f t="shared" si="27"/>
        <v>Merchant with PPA EBIT Discounted</v>
      </c>
      <c r="H150" s="20" cm="1">
        <f t="array" ref="H150">INDEX(Financials!$B$5:$AI$260,FinancialWalk!K150,FinancialWalk!L150)</f>
        <v>9216352.7502260339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MarinusSnowyYallourn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83" t="str">
        <f t="shared" si="27"/>
        <v>Merchant with PPA EBIT Discounted</v>
      </c>
      <c r="H151" s="20" cm="1">
        <f t="array" ref="H151">INDEX(Financials!$B$5:$AI$260,FinancialWalk!K151,FinancialWalk!L151)</f>
        <v>9216352.7502260339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MarinusSnowyYallourn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83" t="str">
        <f t="shared" si="27"/>
        <v>Merchant with PPA EBIT Discounted</v>
      </c>
      <c r="H152" s="20" cm="1">
        <f t="array" ref="H152">INDEX(Financials!$B$5:$AI$260,FinancialWalk!K152,FinancialWalk!L152)</f>
        <v>9216352.7502260339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MarinusSnowyYallourn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83" t="str">
        <f t="shared" si="27"/>
        <v>Merchant with PPA EBIT Discounted</v>
      </c>
      <c r="H153" s="20" cm="1">
        <f t="array" ref="H153">INDEX(Financials!$B$5:$AI$260,FinancialWalk!K153,FinancialWalk!L153)</f>
        <v>9216352.7502260339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MarinusSnowyYallourn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83" t="str">
        <f t="shared" si="27"/>
        <v>Merchant with PPA EBIT Discounted</v>
      </c>
      <c r="H154" s="20" cm="1">
        <f t="array" ref="H154">INDEX(Financials!$B$5:$AI$260,FinancialWalk!K154,FinancialWalk!L154)</f>
        <v>-37867699.111140594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MarinusSnowyYallourn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83" t="str">
        <f t="shared" si="27"/>
        <v>Merchant with PPA EBIT Discounted</v>
      </c>
      <c r="H155" s="20" cm="1">
        <f t="array" ref="H155">INDEX(Financials!$B$5:$AI$260,FinancialWalk!K155,FinancialWalk!L155)</f>
        <v>-37867699.111140594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MarinusSnowyYallourn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83" t="str">
        <f t="shared" si="27"/>
        <v>Merchant with PPA EBIT Discounted</v>
      </c>
      <c r="H156" s="20" cm="1">
        <f t="array" ref="H156">INDEX(Financials!$B$5:$AI$260,FinancialWalk!K156,FinancialWalk!L156)</f>
        <v>-37867699.111140594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MarinusSnowyYallourn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83" t="str">
        <f t="shared" si="27"/>
        <v>Merchant with PPA EBIT Discounted</v>
      </c>
      <c r="H157" s="20" cm="1">
        <f t="array" ref="H157">INDEX(Financials!$B$5:$AI$260,FinancialWalk!K157,FinancialWalk!L157)</f>
        <v>-87332703.109170228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MarinusSnowyYallourn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83" t="str">
        <f t="shared" si="27"/>
        <v>Merchant with PPA EBIT Discounted</v>
      </c>
      <c r="H158" s="20" cm="1">
        <f t="array" ref="H158">INDEX(Financials!$B$5:$AI$260,FinancialWalk!K158,FinancialWalk!L158)</f>
        <v>49295645.116503865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MarinusSnowyYallourn</v>
      </c>
      <c r="C159" t="s">
        <v>64</v>
      </c>
      <c r="D159">
        <v>1</v>
      </c>
      <c r="E159" t="s">
        <v>18</v>
      </c>
      <c r="F159" t="s">
        <v>44</v>
      </c>
      <c r="G159" s="83" t="str">
        <f t="shared" si="27"/>
        <v>Merchant with PPA EBIT Discounted</v>
      </c>
      <c r="H159" s="20" cm="1">
        <f t="array" ref="H159">INDEX(Financials!$B$5:$AI$260,FinancialWalk!K159,FinancialWalk!L159)</f>
        <v>237163059.34455869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MarinusSnowyYallourn</v>
      </c>
      <c r="C160" t="s">
        <v>64</v>
      </c>
      <c r="D160">
        <v>0.95</v>
      </c>
      <c r="E160" t="str">
        <f>E159</f>
        <v>Cal-37</v>
      </c>
      <c r="F160" t="s">
        <v>44</v>
      </c>
      <c r="G160" s="83" t="str">
        <f t="shared" si="27"/>
        <v>Merchant with PPA EBIT Discounted</v>
      </c>
      <c r="H160" s="20" cm="1">
        <f t="array" ref="H160">INDEX(Financials!$B$5:$AI$260,FinancialWalk!K160,FinancialWalk!L160)</f>
        <v>135394542.6946862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MarinusSnowyYallourn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83" t="str">
        <f t="shared" si="27"/>
        <v>Merchant with PPA EBIT Discounted</v>
      </c>
      <c r="H161" s="20" cm="1">
        <f t="array" ref="H161">INDEX(Financials!$B$5:$AI$260,FinancialWalk!K161,FinancialWalk!L161)</f>
        <v>135394542.6946862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MarinusSnowyYallourn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83" t="str">
        <f t="shared" si="27"/>
        <v>Merchant with PPA EBIT Discounted</v>
      </c>
      <c r="H162" s="20" cm="1">
        <f t="array" ref="H162">INDEX(Financials!$B$5:$AI$260,FinancialWalk!K162,FinancialWalk!L162)</f>
        <v>135394542.6946862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MarinusSnowyYallourn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83" t="str">
        <f t="shared" si="27"/>
        <v>Merchant with PPA EBIT Discounted</v>
      </c>
      <c r="H163" s="20" cm="1">
        <f t="array" ref="H163">INDEX(Financials!$B$5:$AI$260,FinancialWalk!K163,FinancialWalk!L163)</f>
        <v>84845403.228825152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MarinusSnowyYallourn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83" t="str">
        <f t="shared" si="27"/>
        <v>Merchant with PPA EBIT Discounted</v>
      </c>
      <c r="H164" s="20" cm="1">
        <f t="array" ref="H164">INDEX(Financials!$B$5:$AI$260,FinancialWalk!K164,FinancialWalk!L164)</f>
        <v>84845403.228825152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MarinusSnowyYallourn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83" t="str">
        <f t="shared" si="27"/>
        <v>Merchant with PPA EBIT Discounted</v>
      </c>
      <c r="H165" s="20" cm="1">
        <f t="array" ref="H165">INDEX(Financials!$B$5:$AI$260,FinancialWalk!K165,FinancialWalk!L165)</f>
        <v>84845403.228825152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MarinusSnowyYallourn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83" t="str">
        <f t="shared" si="27"/>
        <v>Merchant with PPA EBIT Discounted</v>
      </c>
      <c r="H166" s="20" cm="1">
        <f t="array" ref="H166">INDEX(Financials!$B$5:$AI$260,FinancialWalk!K166,FinancialWalk!L166)</f>
        <v>84845403.228825152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MarinusSnowyYallourn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83" t="str">
        <f t="shared" si="27"/>
        <v>Merchant with PPA EBIT Discounted</v>
      </c>
      <c r="H167" s="20" cm="1">
        <f t="array" ref="H167">INDEX(Financials!$B$5:$AI$260,FinancialWalk!K167,FinancialWalk!L167)</f>
        <v>46801749.699373461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MarinusSnowyYallourn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83" t="str">
        <f t="shared" si="27"/>
        <v>Merchant with PPA EBIT Discounted</v>
      </c>
      <c r="H168" s="20" cm="1">
        <f t="array" ref="H168">INDEX(Financials!$B$5:$AI$260,FinancialWalk!K168,FinancialWalk!L168)</f>
        <v>46801749.699373461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MarinusSnowyYallourn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83" t="str">
        <f t="shared" si="27"/>
        <v>Merchant with PPA EBIT Discounted</v>
      </c>
      <c r="H169" s="20" cm="1">
        <f t="array" ref="H169">INDEX(Financials!$B$5:$AI$260,FinancialWalk!K169,FinancialWalk!L169)</f>
        <v>46801749.699373461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MarinusSnowyYallourn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83" t="str">
        <f t="shared" si="27"/>
        <v>Merchant with PPA EBIT Discounted</v>
      </c>
      <c r="H170" s="20" cm="1">
        <f t="array" ref="H170">INDEX(Financials!$B$5:$AI$260,FinancialWalk!K170,FinancialWalk!L170)</f>
        <v>46801749.699373461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MarinusSnowyYallourn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83" t="str">
        <f t="shared" si="27"/>
        <v>Merchant with PPA EBIT Discounted</v>
      </c>
      <c r="H171" s="20" cm="1">
        <f t="array" ref="H171">INDEX(Financials!$B$5:$AI$260,FinancialWalk!K171,FinancialWalk!L171)</f>
        <v>46801749.699373461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MarinusSnowyYallourn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83" t="str">
        <f t="shared" si="27"/>
        <v>Merchant with PPA EBIT Discounted</v>
      </c>
      <c r="H172" s="20" cm="1">
        <f t="array" ref="H172">INDEX(Financials!$B$5:$AI$260,FinancialWalk!K172,FinancialWalk!L172)</f>
        <v>7854010.9211718794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MarinusSnowyYallourn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83" t="str">
        <f t="shared" si="27"/>
        <v>Merchant with PPA EBIT Discounted</v>
      </c>
      <c r="H173" s="20" cm="1">
        <f t="array" ref="H173">INDEX(Financials!$B$5:$AI$260,FinancialWalk!K173,FinancialWalk!L173)</f>
        <v>7854010.9211718794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MarinusSnowyYallourn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83" t="str">
        <f t="shared" si="27"/>
        <v>Merchant with PPA EBIT Discounted</v>
      </c>
      <c r="H174" s="20" cm="1">
        <f t="array" ref="H174">INDEX(Financials!$B$5:$AI$260,FinancialWalk!K174,FinancialWalk!L174)</f>
        <v>7854010.9211718794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MarinusSnowyYallourn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83" t="str">
        <f t="shared" si="27"/>
        <v>Merchant with PPA EBIT Discounted</v>
      </c>
      <c r="H175" s="20" cm="1">
        <f t="array" ref="H175">INDEX(Financials!$B$5:$AI$260,FinancialWalk!K175,FinancialWalk!L175)</f>
        <v>7854010.9211718794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MarinusSnowyYallourn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83" t="str">
        <f t="shared" si="27"/>
        <v>Merchant with PPA EBIT Discounted</v>
      </c>
      <c r="H176" s="20" cm="1">
        <f t="array" ref="H176">INDEX(Financials!$B$5:$AI$260,FinancialWalk!K176,FinancialWalk!L176)</f>
        <v>-38281939.596826628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MarinusSnowyYallourn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83" t="str">
        <f t="shared" si="27"/>
        <v>Merchant with PPA EBIT Discounted</v>
      </c>
      <c r="H177" s="20" cm="1">
        <f t="array" ref="H177">INDEX(Financials!$B$5:$AI$260,FinancialWalk!K177,FinancialWalk!L177)</f>
        <v>-38281939.596826628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MarinusSnowyYallourn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83" t="str">
        <f t="shared" si="27"/>
        <v>Merchant with PPA EBIT Discounted</v>
      </c>
      <c r="H178" s="20" cm="1">
        <f t="array" ref="H178">INDEX(Financials!$B$5:$AI$260,FinancialWalk!K178,FinancialWalk!L178)</f>
        <v>-38281939.596826628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MarinusSnowyYallourn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83" t="str">
        <f t="shared" si="27"/>
        <v>Merchant with PPA EBIT Discounted</v>
      </c>
      <c r="H179" s="20" cm="1">
        <f t="array" ref="H179">INDEX(Financials!$B$5:$AI$260,FinancialWalk!K179,FinancialWalk!L179)</f>
        <v>-82948995.195692256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MarinusSnowyYallourn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83" t="str">
        <f t="shared" si="27"/>
        <v>Merchant with PPA EBIT Discounted</v>
      </c>
      <c r="H180" s="20" cm="1">
        <f t="array" ref="H180">INDEX(Financials!$B$5:$AI$260,FinancialWalk!K180,FinancialWalk!L180)</f>
        <v>47081231.977343716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MarinusSnowyYallourn</v>
      </c>
      <c r="C181" t="s">
        <v>64</v>
      </c>
      <c r="D181">
        <v>1</v>
      </c>
      <c r="E181" t="s">
        <v>18</v>
      </c>
      <c r="F181" t="s">
        <v>34</v>
      </c>
      <c r="G181" s="83" t="str">
        <f t="shared" ref="G181:G224" si="32">$P$24</f>
        <v>Merchant with PPA NPV</v>
      </c>
      <c r="H181" s="20" cm="1">
        <f t="array" ref="H181">INDEX(Financials!$B$5:$AI$260,FinancialWalk!K181,FinancialWalk!L181)</f>
        <v>318728973.1691317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MarinusSnowyYallourn</v>
      </c>
      <c r="C182" t="s">
        <v>64</v>
      </c>
      <c r="D182">
        <v>0.95</v>
      </c>
      <c r="E182" t="str">
        <f>E181</f>
        <v>Cal-37</v>
      </c>
      <c r="F182" t="s">
        <v>34</v>
      </c>
      <c r="G182" s="83" t="str">
        <f t="shared" si="32"/>
        <v>Merchant with PPA NPV</v>
      </c>
      <c r="H182" s="20" cm="1">
        <f t="array" ref="H182">INDEX(Financials!$B$5:$AI$260,FinancialWalk!K182,FinancialWalk!L182)</f>
        <v>166485108.53307343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MarinusSnowyYallourn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83" t="str">
        <f t="shared" si="32"/>
        <v>Merchant with PPA NPV</v>
      </c>
      <c r="H183" s="20" cm="1">
        <f t="array" ref="H183">INDEX(Financials!$B$5:$AI$260,FinancialWalk!K183,FinancialWalk!L183)</f>
        <v>166485108.53307343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MarinusSnowyYallourn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83" t="str">
        <f t="shared" si="32"/>
        <v>Merchant with PPA NPV</v>
      </c>
      <c r="H184" s="20" cm="1">
        <f t="array" ref="H184">INDEX(Financials!$B$5:$AI$260,FinancialWalk!K184,FinancialWalk!L184)</f>
        <v>166485108.53307343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MarinusSnowyYallourn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83" t="str">
        <f t="shared" si="32"/>
        <v>Merchant with PPA NPV</v>
      </c>
      <c r="H185" s="20" cm="1">
        <f t="array" ref="H185">INDEX(Financials!$B$5:$AI$260,FinancialWalk!K185,FinancialWalk!L185)</f>
        <v>93900164.277914077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MarinusSnowyYallourn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83" t="str">
        <f t="shared" si="32"/>
        <v>Merchant with PPA NPV</v>
      </c>
      <c r="H186" s="20" cm="1">
        <f t="array" ref="H186">INDEX(Financials!$B$5:$AI$260,FinancialWalk!K186,FinancialWalk!L186)</f>
        <v>93900164.277914077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MarinusSnowyYallourn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83" t="str">
        <f t="shared" si="32"/>
        <v>Merchant with PPA NPV</v>
      </c>
      <c r="H187" s="20" cm="1">
        <f t="array" ref="H187">INDEX(Financials!$B$5:$AI$260,FinancialWalk!K187,FinancialWalk!L187)</f>
        <v>93900164.277914077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MarinusSnowyYallourn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83" t="str">
        <f t="shared" si="32"/>
        <v>Merchant with PPA NPV</v>
      </c>
      <c r="H188" s="20" cm="1">
        <f t="array" ref="H188">INDEX(Financials!$B$5:$AI$260,FinancialWalk!K188,FinancialWalk!L188)</f>
        <v>93900164.277914077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MarinusSnowyYallourn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83" t="str">
        <f t="shared" si="32"/>
        <v>Merchant with PPA NPV</v>
      </c>
      <c r="H189" s="20" cm="1">
        <f t="array" ref="H189">INDEX(Financials!$B$5:$AI$260,FinancialWalk!K189,FinancialWalk!L189)</f>
        <v>42455756.578943409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MarinusSnowyYallourn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83" t="str">
        <f t="shared" si="32"/>
        <v>Merchant with PPA NPV</v>
      </c>
      <c r="H190" s="20" cm="1">
        <f t="array" ref="H190">INDEX(Financials!$B$5:$AI$260,FinancialWalk!K190,FinancialWalk!L190)</f>
        <v>42455756.578943409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MarinusSnowyYallourn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83" t="str">
        <f t="shared" si="32"/>
        <v>Merchant with PPA NPV</v>
      </c>
      <c r="H191" s="20" cm="1">
        <f t="array" ref="H191">INDEX(Financials!$B$5:$AI$260,FinancialWalk!K191,FinancialWalk!L191)</f>
        <v>42455756.578943409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MarinusSnowyYallourn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83" t="str">
        <f t="shared" si="32"/>
        <v>Merchant with PPA NPV</v>
      </c>
      <c r="H192" s="20" cm="1">
        <f t="array" ref="H192">INDEX(Financials!$B$5:$AI$260,FinancialWalk!K192,FinancialWalk!L192)</f>
        <v>42455756.578943409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MarinusSnowyYallourn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83" t="str">
        <f t="shared" si="32"/>
        <v>Merchant with PPA NPV</v>
      </c>
      <c r="H193" s="20" cm="1">
        <f t="array" ref="H193">INDEX(Financials!$B$5:$AI$260,FinancialWalk!K193,FinancialWalk!L193)</f>
        <v>42455756.578943409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MarinusSnowyYallourn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83" t="str">
        <f t="shared" si="32"/>
        <v>Merchant with PPA NPV</v>
      </c>
      <c r="H194" s="20" cm="1">
        <f t="array" ref="H194">INDEX(Financials!$B$5:$AI$260,FinancialWalk!K194,FinancialWalk!L194)</f>
        <v>-10351727.054709617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MarinusSnowyYallourn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83" t="str">
        <f t="shared" si="32"/>
        <v>Merchant with PPA NPV</v>
      </c>
      <c r="H195" s="20" cm="1">
        <f t="array" ref="H195">INDEX(Financials!$B$5:$AI$260,FinancialWalk!K195,FinancialWalk!L195)</f>
        <v>-10351727.054709617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MarinusSnowyYallourn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83" t="str">
        <f t="shared" si="32"/>
        <v>Merchant with PPA NPV</v>
      </c>
      <c r="H196" s="20" cm="1">
        <f t="array" ref="H196">INDEX(Financials!$B$5:$AI$260,FinancialWalk!K196,FinancialWalk!L196)</f>
        <v>-10351727.054709617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MarinusSnowyYallourn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83" t="str">
        <f t="shared" si="32"/>
        <v>Merchant with PPA NPV</v>
      </c>
      <c r="H197" s="20" cm="1">
        <f t="array" ref="H197">INDEX(Financials!$B$5:$AI$260,FinancialWalk!K197,FinancialWalk!L197)</f>
        <v>-10351727.054709617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MarinusSnowyYallourn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83" t="str">
        <f t="shared" si="32"/>
        <v>Merchant with PPA NPV</v>
      </c>
      <c r="H198" s="20" cm="1">
        <f t="array" ref="H198">INDEX(Financials!$B$5:$AI$260,FinancialWalk!K198,FinancialWalk!L198)</f>
        <v>-74493955.841401339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MarinusSnowyYallourn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83" t="str">
        <f t="shared" si="32"/>
        <v>Merchant with PPA NPV</v>
      </c>
      <c r="H199" s="20" cm="1">
        <f t="array" ref="H199">INDEX(Financials!$B$5:$AI$260,FinancialWalk!K199,FinancialWalk!L199)</f>
        <v>-74493955.841401339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MarinusSnowyYallourn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83" t="str">
        <f t="shared" si="32"/>
        <v>Merchant with PPA NPV</v>
      </c>
      <c r="H200" s="20" cm="1">
        <f t="array" ref="H200">INDEX(Financials!$B$5:$AI$260,FinancialWalk!K200,FinancialWalk!L200)</f>
        <v>-74493955.841401339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MarinusSnowyYallourn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83" t="str">
        <f t="shared" si="32"/>
        <v>Merchant with PPA NPV</v>
      </c>
      <c r="H201" s="20" cm="1">
        <f t="array" ref="H201">INDEX(Financials!$B$5:$AI$260,FinancialWalk!K201,FinancialWalk!L201)</f>
        <v>-146818576.64733338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MarinusSnowyYallourn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83" t="str">
        <f t="shared" si="32"/>
        <v>Merchant with PPA NPV</v>
      </c>
      <c r="H202" s="20" cm="1">
        <f t="array" ref="H202">INDEX(Financials!$B$5:$AI$260,FinancialWalk!K202,FinancialWalk!L202)</f>
        <v>43154880.805906519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MarinusSnowyYallourn</v>
      </c>
      <c r="C203" t="s">
        <v>64</v>
      </c>
      <c r="D203">
        <v>1</v>
      </c>
      <c r="E203" t="s">
        <v>18</v>
      </c>
      <c r="F203" t="s">
        <v>44</v>
      </c>
      <c r="G203" s="83" t="str">
        <f t="shared" si="32"/>
        <v>Merchant with PPA NPV</v>
      </c>
      <c r="H203" s="20" cm="1">
        <f t="array" ref="H203">INDEX(Financials!$B$5:$AI$260,FinancialWalk!K203,FinancialWalk!L203)</f>
        <v>295374022.36905205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MarinusSnowyYallourn</v>
      </c>
      <c r="C204" t="s">
        <v>64</v>
      </c>
      <c r="D204">
        <v>0.95</v>
      </c>
      <c r="E204" t="str">
        <f>E203</f>
        <v>Cal-37</v>
      </c>
      <c r="F204" t="s">
        <v>44</v>
      </c>
      <c r="G204" s="83" t="str">
        <f t="shared" si="32"/>
        <v>Merchant with PPA NPV</v>
      </c>
      <c r="H204" s="20" cm="1">
        <f t="array" ref="H204">INDEX(Financials!$B$5:$AI$260,FinancialWalk!K204,FinancialWalk!L204)</f>
        <v>156341994.62199727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MarinusSnowyYallourn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83" t="str">
        <f t="shared" si="32"/>
        <v>Merchant with PPA NPV</v>
      </c>
      <c r="H205" s="20" cm="1">
        <f t="array" ref="H205">INDEX(Financials!$B$5:$AI$260,FinancialWalk!K205,FinancialWalk!L205)</f>
        <v>156341994.62199727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MarinusSnowyYallourn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83" t="str">
        <f t="shared" si="32"/>
        <v>Merchant with PPA NPV</v>
      </c>
      <c r="H206" s="20" cm="1">
        <f t="array" ref="H206">INDEX(Financials!$B$5:$AI$260,FinancialWalk!K206,FinancialWalk!L206)</f>
        <v>156341994.62199727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MarinusSnowyYallourn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83" t="str">
        <f t="shared" si="32"/>
        <v>Merchant with PPA NPV</v>
      </c>
      <c r="H207" s="20" cm="1">
        <f t="array" ref="H207">INDEX(Financials!$B$5:$AI$260,FinancialWalk!K207,FinancialWalk!L207)</f>
        <v>90998553.33659023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MarinusSnowyYallourn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83" t="str">
        <f t="shared" si="32"/>
        <v>Merchant with PPA NPV</v>
      </c>
      <c r="H208" s="20" cm="1">
        <f t="array" ref="H208">INDEX(Financials!$B$5:$AI$260,FinancialWalk!K208,FinancialWalk!L208)</f>
        <v>90998553.33659023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MarinusSnowyYallourn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83" t="str">
        <f t="shared" si="32"/>
        <v>Merchant with PPA NPV</v>
      </c>
      <c r="H209" s="20" cm="1">
        <f t="array" ref="H209">INDEX(Financials!$B$5:$AI$260,FinancialWalk!K209,FinancialWalk!L209)</f>
        <v>90998553.33659023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MarinusSnowyYallourn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83" t="str">
        <f t="shared" si="32"/>
        <v>Merchant with PPA NPV</v>
      </c>
      <c r="H210" s="20" cm="1">
        <f t="array" ref="H210">INDEX(Financials!$B$5:$AI$260,FinancialWalk!K210,FinancialWalk!L210)</f>
        <v>90998553.33659023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MarinusSnowyYallourn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83" t="str">
        <f t="shared" si="32"/>
        <v>Merchant with PPA NPV</v>
      </c>
      <c r="H211" s="20" cm="1">
        <f t="array" ref="H211">INDEX(Financials!$B$5:$AI$260,FinancialWalk!K211,FinancialWalk!L211)</f>
        <v>41762406.716016114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MarinusSnowyYallourn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83" t="str">
        <f t="shared" si="32"/>
        <v>Merchant with PPA NPV</v>
      </c>
      <c r="H212" s="20" cm="1">
        <f t="array" ref="H212">INDEX(Financials!$B$5:$AI$260,FinancialWalk!K212,FinancialWalk!L212)</f>
        <v>41762406.716016114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MarinusSnowyYallourn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83" t="str">
        <f t="shared" si="32"/>
        <v>Merchant with PPA NPV</v>
      </c>
      <c r="H213" s="20" cm="1">
        <f t="array" ref="H213">INDEX(Financials!$B$5:$AI$260,FinancialWalk!K213,FinancialWalk!L213)</f>
        <v>41762406.716016114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MarinusSnowyYallourn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83" t="str">
        <f t="shared" si="32"/>
        <v>Merchant with PPA NPV</v>
      </c>
      <c r="H214" s="20" cm="1">
        <f t="array" ref="H214">INDEX(Financials!$B$5:$AI$260,FinancialWalk!K214,FinancialWalk!L214)</f>
        <v>41762406.716016114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MarinusSnowyYallourn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83" t="str">
        <f t="shared" si="32"/>
        <v>Merchant with PPA NPV</v>
      </c>
      <c r="H215" s="20" cm="1">
        <f t="array" ref="H215">INDEX(Financials!$B$5:$AI$260,FinancialWalk!K215,FinancialWalk!L215)</f>
        <v>41762406.716016114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MarinusSnowyYallourn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83" t="str">
        <f t="shared" si="32"/>
        <v>Merchant with PPA NPV</v>
      </c>
      <c r="H216" s="20" cm="1">
        <f t="array" ref="H216">INDEX(Financials!$B$5:$AI$260,FinancialWalk!K216,FinancialWalk!L216)</f>
        <v>-9972904.5066553727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MarinusSnowyYallourn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83" t="str">
        <f t="shared" si="32"/>
        <v>Merchant with PPA NPV</v>
      </c>
      <c r="H217" s="20" cm="1">
        <f t="array" ref="H217">INDEX(Financials!$B$5:$AI$260,FinancialWalk!K217,FinancialWalk!L217)</f>
        <v>-9972904.5066553727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MarinusSnowyYallourn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83" t="str">
        <f t="shared" si="32"/>
        <v>Merchant with PPA NPV</v>
      </c>
      <c r="H218" s="20" cm="1">
        <f t="array" ref="H218">INDEX(Financials!$B$5:$AI$260,FinancialWalk!K218,FinancialWalk!L218)</f>
        <v>-9972904.5066553727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MarinusSnowyYallourn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83" t="str">
        <f t="shared" si="32"/>
        <v>Merchant with PPA NPV</v>
      </c>
      <c r="H219" s="20" cm="1">
        <f t="array" ref="H219">INDEX(Financials!$B$5:$AI$260,FinancialWalk!K219,FinancialWalk!L219)</f>
        <v>-9972904.5066553727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MarinusSnowyYallourn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83" t="str">
        <f t="shared" si="32"/>
        <v>Merchant with PPA NPV</v>
      </c>
      <c r="H220" s="20" cm="1">
        <f t="array" ref="H220">INDEX(Financials!$B$5:$AI$260,FinancialWalk!K220,FinancialWalk!L220)</f>
        <v>-72062698.082456976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MarinusSnowyYallourn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83" t="str">
        <f t="shared" si="32"/>
        <v>Merchant with PPA NPV</v>
      </c>
      <c r="H221" s="20" cm="1">
        <f t="array" ref="H221">INDEX(Financials!$B$5:$AI$260,FinancialWalk!K221,FinancialWalk!L221)</f>
        <v>-72062698.082456976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MarinusSnowyYallourn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83" t="str">
        <f t="shared" si="32"/>
        <v>Merchant with PPA NPV</v>
      </c>
      <c r="H222" s="20" cm="1">
        <f t="array" ref="H222">INDEX(Financials!$B$5:$AI$260,FinancialWalk!K222,FinancialWalk!L222)</f>
        <v>-72062698.082456976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MarinusSnowyYallourn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83" t="str">
        <f t="shared" si="32"/>
        <v>Merchant with PPA NPV</v>
      </c>
      <c r="H223" s="20" cm="1">
        <f t="array" ref="H223">INDEX(Financials!$B$5:$AI$260,FinancialWalk!K223,FinancialWalk!L223)</f>
        <v>-135239370.16366628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MarinusSnowyYallourn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83" t="str">
        <f t="shared" si="32"/>
        <v>Merchant with PPA NPV</v>
      </c>
      <c r="H224" s="20" cm="1">
        <f t="array" ref="H224">INDEX(Financials!$B$5:$AI$260,FinancialWalk!K224,FinancialWalk!L224)</f>
        <v>41294579.44277253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MarinusSnowyYallourn</v>
      </c>
      <c r="C225" t="s">
        <v>64</v>
      </c>
      <c r="D225">
        <v>1</v>
      </c>
      <c r="E225" t="s">
        <v>18</v>
      </c>
      <c r="F225" t="s">
        <v>34</v>
      </c>
      <c r="G225" s="83" t="str">
        <f t="shared" ref="G225:G268" si="38">$P$25</f>
        <v>Merchant with PPA ROI</v>
      </c>
      <c r="H225" s="13" cm="1">
        <f t="array" ref="H225">INDEX(Financials!$B$5:$AI$260,FinancialWalk!K225,FinancialWalk!L225)</f>
        <v>4.6049525851093458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MarinusSnowyYallourn</v>
      </c>
      <c r="C226" t="s">
        <v>64</v>
      </c>
      <c r="D226">
        <v>0.95</v>
      </c>
      <c r="E226" t="str">
        <f>E225</f>
        <v>Cal-37</v>
      </c>
      <c r="F226" t="s">
        <v>34</v>
      </c>
      <c r="G226" s="83" t="str">
        <f t="shared" si="38"/>
        <v>Merchant with PPA ROI</v>
      </c>
      <c r="H226" s="13" cm="1">
        <f t="array" ref="H226">INDEX(Financials!$B$5:$AI$260,FinancialWalk!K226,FinancialWalk!L226)</f>
        <v>2.4053540639832729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MarinusSnowyYallourn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83" t="str">
        <f t="shared" si="38"/>
        <v>Merchant with PPA ROI</v>
      </c>
      <c r="H227" s="13" cm="1">
        <f t="array" ref="H227">INDEX(Financials!$B$5:$AI$260,FinancialWalk!K227,FinancialWalk!L227)</f>
        <v>2.4053540639832729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MarinusSnowyYallourn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83" t="str">
        <f t="shared" si="38"/>
        <v>Merchant with PPA ROI</v>
      </c>
      <c r="H228" s="13" cm="1">
        <f t="array" ref="H228">INDEX(Financials!$B$5:$AI$260,FinancialWalk!K228,FinancialWalk!L228)</f>
        <v>2.4053540639832729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MarinusSnowyYallourn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83" t="str">
        <f t="shared" si="38"/>
        <v>Merchant with PPA ROI</v>
      </c>
      <c r="H229" s="13" cm="1">
        <f t="array" ref="H229">INDEX(Financials!$B$5:$AI$260,FinancialWalk!K229,FinancialWalk!L229)</f>
        <v>1.3566567229026869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MarinusSnowyYallourn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83" t="str">
        <f t="shared" si="38"/>
        <v>Merchant with PPA ROI</v>
      </c>
      <c r="H230" s="13" cm="1">
        <f t="array" ref="H230">INDEX(Financials!$B$5:$AI$260,FinancialWalk!K230,FinancialWalk!L230)</f>
        <v>1.3566567229026869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MarinusSnowyYallourn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83" t="str">
        <f t="shared" si="38"/>
        <v>Merchant with PPA ROI</v>
      </c>
      <c r="H231" s="13" cm="1">
        <f t="array" ref="H231">INDEX(Financials!$B$5:$AI$260,FinancialWalk!K231,FinancialWalk!L231)</f>
        <v>1.3566567229026869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MarinusSnowyYallourn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83" t="str">
        <f t="shared" si="38"/>
        <v>Merchant with PPA ROI</v>
      </c>
      <c r="H232" s="13" cm="1">
        <f t="array" ref="H232">INDEX(Financials!$B$5:$AI$260,FinancialWalk!K232,FinancialWalk!L232)</f>
        <v>1.3566567229026869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MarinusSnowyYallourn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83" t="str">
        <f t="shared" si="38"/>
        <v>Merchant with PPA ROI</v>
      </c>
      <c r="H233" s="13" cm="1">
        <f t="array" ref="H233">INDEX(Financials!$B$5:$AI$260,FinancialWalk!K233,FinancialWalk!L233)</f>
        <v>0.61339496082533429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MarinusSnowyYallourn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83" t="str">
        <f t="shared" si="38"/>
        <v>Merchant with PPA ROI</v>
      </c>
      <c r="H234" s="13" cm="1">
        <f t="array" ref="H234">INDEX(Financials!$B$5:$AI$260,FinancialWalk!K234,FinancialWalk!L234)</f>
        <v>0.61339496082533429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MarinusSnowyYallourn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83" t="str">
        <f t="shared" si="38"/>
        <v>Merchant with PPA ROI</v>
      </c>
      <c r="H235" s="13" cm="1">
        <f t="array" ref="H235">INDEX(Financials!$B$5:$AI$260,FinancialWalk!K235,FinancialWalk!L235)</f>
        <v>0.61339496082533429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MarinusSnowyYallourn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83" t="str">
        <f t="shared" si="38"/>
        <v>Merchant with PPA ROI</v>
      </c>
      <c r="H236" s="13" cm="1">
        <f t="array" ref="H236">INDEX(Financials!$B$5:$AI$260,FinancialWalk!K236,FinancialWalk!L236)</f>
        <v>0.61339496082533429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MarinusSnowyYallourn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83" t="str">
        <f t="shared" si="38"/>
        <v>Merchant with PPA ROI</v>
      </c>
      <c r="H237" s="13" cm="1">
        <f t="array" ref="H237">INDEX(Financials!$B$5:$AI$260,FinancialWalk!K237,FinancialWalk!L237)</f>
        <v>0.61339496082533429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MarinusSnowyYallourn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83" t="str">
        <f t="shared" si="38"/>
        <v>Merchant with PPA ROI</v>
      </c>
      <c r="H238" s="13" cm="1">
        <f t="array" ref="H238">INDEX(Financials!$B$5:$AI$260,FinancialWalk!K238,FinancialWalk!L238)</f>
        <v>-0.1495603358143284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MarinusSnowyYallourn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83" t="str">
        <f t="shared" si="38"/>
        <v>Merchant with PPA ROI</v>
      </c>
      <c r="H239" s="13" cm="1">
        <f t="array" ref="H239">INDEX(Financials!$B$5:$AI$260,FinancialWalk!K239,FinancialWalk!L239)</f>
        <v>-0.1495603358143284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MarinusSnowyYallourn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83" t="str">
        <f t="shared" si="38"/>
        <v>Merchant with PPA ROI</v>
      </c>
      <c r="H240" s="13" cm="1">
        <f t="array" ref="H240">INDEX(Financials!$B$5:$AI$260,FinancialWalk!K240,FinancialWalk!L240)</f>
        <v>-0.1495603358143284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MarinusSnowyYallourn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83" t="str">
        <f t="shared" si="38"/>
        <v>Merchant with PPA ROI</v>
      </c>
      <c r="H241" s="13" cm="1">
        <f t="array" ref="H241">INDEX(Financials!$B$5:$AI$260,FinancialWalk!K241,FinancialWalk!L241)</f>
        <v>-0.1495603358143284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MarinusSnowyYallourn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83" t="str">
        <f t="shared" si="38"/>
        <v>Merchant with PPA ROI</v>
      </c>
      <c r="H242" s="13" cm="1">
        <f t="array" ref="H242">INDEX(Financials!$B$5:$AI$260,FinancialWalk!K242,FinancialWalk!L242)</f>
        <v>-1.0762784792233171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MarinusSnowyYallourn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83" t="str">
        <f t="shared" si="38"/>
        <v>Merchant with PPA ROI</v>
      </c>
      <c r="H243" s="13" cm="1">
        <f t="array" ref="H243">INDEX(Financials!$B$5:$AI$260,FinancialWalk!K243,FinancialWalk!L243)</f>
        <v>-1.0762784792233171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MarinusSnowyYallourn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83" t="str">
        <f t="shared" si="38"/>
        <v>Merchant with PPA ROI</v>
      </c>
      <c r="H244" s="13" cm="1">
        <f t="array" ref="H244">INDEX(Financials!$B$5:$AI$260,FinancialWalk!K244,FinancialWalk!L244)</f>
        <v>-1.0762784792233171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MarinusSnowyYallourn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83" t="str">
        <f t="shared" si="38"/>
        <v>Merchant with PPA ROI</v>
      </c>
      <c r="H245" s="13" cm="1">
        <f t="array" ref="H245">INDEX(Financials!$B$5:$AI$260,FinancialWalk!K245,FinancialWalk!L245)</f>
        <v>-2.1212147027356933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MarinusSnowyYallourn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83" t="str">
        <f t="shared" si="38"/>
        <v>Merchant with PPA ROI</v>
      </c>
      <c r="H246" s="13" cm="1">
        <f t="array" ref="H246">INDEX(Financials!$B$5:$AI$260,FinancialWalk!K246,FinancialWalk!L246)</f>
        <v>0.62349581197876225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MarinusSnowyYallourn</v>
      </c>
      <c r="C247" t="s">
        <v>64</v>
      </c>
      <c r="D247">
        <v>1</v>
      </c>
      <c r="E247" t="s">
        <v>18</v>
      </c>
      <c r="F247" t="s">
        <v>44</v>
      </c>
      <c r="G247" s="83" t="str">
        <f t="shared" si="38"/>
        <v>Merchant with PPA ROI</v>
      </c>
      <c r="H247" s="13" cm="1">
        <f t="array" ref="H247">INDEX(Financials!$B$5:$AI$260,FinancialWalk!K247,FinancialWalk!L247)</f>
        <v>4.1544798746671017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MarinusSnowyYallourn</v>
      </c>
      <c r="C248" t="s">
        <v>64</v>
      </c>
      <c r="D248">
        <v>0.95</v>
      </c>
      <c r="E248" t="str">
        <f>E247</f>
        <v>Cal-37</v>
      </c>
      <c r="F248" t="s">
        <v>44</v>
      </c>
      <c r="G248" s="83" t="str">
        <f t="shared" si="38"/>
        <v>Merchant with PPA ROI</v>
      </c>
      <c r="H248" s="13" cm="1">
        <f t="array" ref="H248">INDEX(Financials!$B$5:$AI$260,FinancialWalk!K248,FinancialWalk!L248)</f>
        <v>2.1989735759865305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MarinusSnowyYallourn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83" t="str">
        <f t="shared" si="38"/>
        <v>Merchant with PPA ROI</v>
      </c>
      <c r="H249" s="13" cm="1">
        <f t="array" ref="H249">INDEX(Financials!$B$5:$AI$260,FinancialWalk!K249,FinancialWalk!L249)</f>
        <v>2.1989735759865305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MarinusSnowyYallourn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83" t="str">
        <f t="shared" si="38"/>
        <v>Merchant with PPA ROI</v>
      </c>
      <c r="H250" s="13" cm="1">
        <f t="array" ref="H250">INDEX(Financials!$B$5:$AI$260,FinancialWalk!K250,FinancialWalk!L250)</f>
        <v>2.1989735759865305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MarinusSnowyYallourn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83" t="str">
        <f t="shared" si="38"/>
        <v>Merchant with PPA ROI</v>
      </c>
      <c r="H251" s="13" cm="1">
        <f t="array" ref="H251">INDEX(Financials!$B$5:$AI$260,FinancialWalk!K251,FinancialWalk!L251)</f>
        <v>1.2799082851921628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MarinusSnowyYallourn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83" t="str">
        <f t="shared" si="38"/>
        <v>Merchant with PPA ROI</v>
      </c>
      <c r="H252" s="13" cm="1">
        <f t="array" ref="H252">INDEX(Financials!$B$5:$AI$260,FinancialWalk!K252,FinancialWalk!L252)</f>
        <v>1.2799082851921628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MarinusSnowyYallourn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83" t="str">
        <f t="shared" si="38"/>
        <v>Merchant with PPA ROI</v>
      </c>
      <c r="H253" s="13" cm="1">
        <f t="array" ref="H253">INDEX(Financials!$B$5:$AI$260,FinancialWalk!K253,FinancialWalk!L253)</f>
        <v>1.2799082851921628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MarinusSnowyYallourn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83" t="str">
        <f t="shared" si="38"/>
        <v>Merchant with PPA ROI</v>
      </c>
      <c r="H254" s="13" cm="1">
        <f t="array" ref="H254">INDEX(Financials!$B$5:$AI$260,FinancialWalk!K254,FinancialWalk!L254)</f>
        <v>1.2799082851921628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MarinusSnowyYallourn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83" t="str">
        <f t="shared" si="38"/>
        <v>Merchant with PPA ROI</v>
      </c>
      <c r="H255" s="13" cm="1">
        <f t="array" ref="H255">INDEX(Financials!$B$5:$AI$260,FinancialWalk!K255,FinancialWalk!L255)</f>
        <v>0.58739450689597883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MarinusSnowyYallourn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83" t="str">
        <f t="shared" si="38"/>
        <v>Merchant with PPA ROI</v>
      </c>
      <c r="H256" s="13" cm="1">
        <f t="array" ref="H256">INDEX(Financials!$B$5:$AI$260,FinancialWalk!K256,FinancialWalk!L256)</f>
        <v>0.58739450689597883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MarinusSnowyYallourn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83" t="str">
        <f t="shared" si="38"/>
        <v>Merchant with PPA ROI</v>
      </c>
      <c r="H257" s="13" cm="1">
        <f t="array" ref="H257">INDEX(Financials!$B$5:$AI$260,FinancialWalk!K257,FinancialWalk!L257)</f>
        <v>0.58739450689597883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MarinusSnowyYallourn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83" t="str">
        <f t="shared" si="38"/>
        <v>Merchant with PPA ROI</v>
      </c>
      <c r="H258" s="13" cm="1">
        <f t="array" ref="H258">INDEX(Financials!$B$5:$AI$260,FinancialWalk!K258,FinancialWalk!L258)</f>
        <v>0.58739450689597883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MarinusSnowyYallourn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83" t="str">
        <f t="shared" si="38"/>
        <v>Merchant with PPA ROI</v>
      </c>
      <c r="H259" s="13" cm="1">
        <f t="array" ref="H259">INDEX(Financials!$B$5:$AI$260,FinancialWalk!K259,FinancialWalk!L259)</f>
        <v>0.58739450689597883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MarinusSnowyYallourn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83" t="str">
        <f t="shared" si="38"/>
        <v>Merchant with PPA ROI</v>
      </c>
      <c r="H260" s="13" cm="1">
        <f t="array" ref="H260">INDEX(Financials!$B$5:$AI$260,FinancialWalk!K260,FinancialWalk!L260)</f>
        <v>-0.14027039592909599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MarinusSnowyYallourn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83" t="str">
        <f t="shared" si="38"/>
        <v>Merchant with PPA ROI</v>
      </c>
      <c r="H261" s="13" cm="1">
        <f t="array" ref="H261">INDEX(Financials!$B$5:$AI$260,FinancialWalk!K261,FinancialWalk!L261)</f>
        <v>-0.14027039592909599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MarinusSnowyYallourn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83" t="str">
        <f t="shared" si="38"/>
        <v>Merchant with PPA ROI</v>
      </c>
      <c r="H262" s="13" cm="1">
        <f t="array" ref="H262">INDEX(Financials!$B$5:$AI$260,FinancialWalk!K262,FinancialWalk!L262)</f>
        <v>-0.14027039592909599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MarinusSnowyYallourn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83" t="str">
        <f t="shared" si="38"/>
        <v>Merchant with PPA ROI</v>
      </c>
      <c r="H263" s="13" cm="1">
        <f t="array" ref="H263">INDEX(Financials!$B$5:$AI$260,FinancialWalk!K263,FinancialWalk!L263)</f>
        <v>-0.14027039592909599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MarinusSnowyYallourn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83" t="str">
        <f t="shared" si="38"/>
        <v>Merchant with PPA ROI</v>
      </c>
      <c r="H264" s="13" cm="1">
        <f t="array" ref="H264">INDEX(Financials!$B$5:$AI$260,FinancialWalk!K264,FinancialWalk!L264)</f>
        <v>-1.013572644258194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MarinusSnowyYallourn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83" t="str">
        <f t="shared" si="38"/>
        <v>Merchant with PPA ROI</v>
      </c>
      <c r="H265" s="13" cm="1">
        <f t="array" ref="H265">INDEX(Financials!$B$5:$AI$260,FinancialWalk!K265,FinancialWalk!L265)</f>
        <v>-1.013572644258194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MarinusSnowyYallourn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83" t="str">
        <f t="shared" si="38"/>
        <v>Merchant with PPA ROI</v>
      </c>
      <c r="H266" s="13" cm="1">
        <f t="array" ref="H266">INDEX(Financials!$B$5:$AI$260,FinancialWalk!K266,FinancialWalk!L266)</f>
        <v>-1.013572644258194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MarinusSnowyYallourn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83" t="str">
        <f t="shared" si="38"/>
        <v>Merchant with PPA ROI</v>
      </c>
      <c r="H267" s="13" cm="1">
        <f t="array" ref="H267">INDEX(Financials!$B$5:$AI$260,FinancialWalk!K267,FinancialWalk!L267)</f>
        <v>-1.9021620015913561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MarinusSnowyYallourn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83" t="str">
        <f t="shared" si="38"/>
        <v>Merchant with PPA ROI</v>
      </c>
      <c r="H268" s="13" cm="1">
        <f t="array" ref="H268">INDEX(Financials!$B$5:$AI$260,FinancialWalk!K268,FinancialWalk!L268)</f>
        <v>0.58081444621250244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MarinusSnowyYallourn</v>
      </c>
      <c r="C269" t="s">
        <v>64</v>
      </c>
      <c r="D269">
        <v>1</v>
      </c>
      <c r="E269" t="s">
        <v>18</v>
      </c>
      <c r="F269" t="s">
        <v>34</v>
      </c>
      <c r="G269" s="83" t="str">
        <f>FinancialWalk!$P$31</f>
        <v>Merchant with PPA and Sold Swap EBIT Discounted</v>
      </c>
      <c r="H269" s="20" cm="1">
        <f t="array" ref="H269">INDEX(Financials!$B$5:$AI$260,FinancialWalk!K269,FinancialWalk!L269)</f>
        <v>15848443.641442269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MarinusSnowyYallourn</v>
      </c>
      <c r="C270" t="s">
        <v>64</v>
      </c>
      <c r="D270">
        <v>0.95</v>
      </c>
      <c r="E270" t="str">
        <f>E269</f>
        <v>Cal-37</v>
      </c>
      <c r="F270" t="s">
        <v>34</v>
      </c>
      <c r="G270" s="83" t="str">
        <f>FinancialWalk!$P$31</f>
        <v>Merchant with PPA and Sold Swap EBIT Discounted</v>
      </c>
      <c r="H270" s="20" cm="1">
        <f t="array" ref="H270">INDEX(Financials!$B$5:$AI$260,FinancialWalk!K270,FinancialWalk!L270)</f>
        <v>43061134.21367611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MarinusSnowyYallourn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83" t="str">
        <f>FinancialWalk!$P$31</f>
        <v>Merchant with PPA and Sold Swap EBIT Discounted</v>
      </c>
      <c r="H271" s="20" cm="1">
        <f t="array" ref="H271">INDEX(Financials!$B$5:$AI$260,FinancialWalk!K271,FinancialWalk!L271)</f>
        <v>43061134.21367611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MarinusSnowyYallourn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83" t="str">
        <f>FinancialWalk!$P$31</f>
        <v>Merchant with PPA and Sold Swap EBIT Discounted</v>
      </c>
      <c r="H272" s="20" cm="1">
        <f t="array" ref="H272">INDEX(Financials!$B$5:$AI$260,FinancialWalk!K272,FinancialWalk!L272)</f>
        <v>43061134.21367611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MarinusSnowyYallourn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83" t="str">
        <f>FinancialWalk!$P$31</f>
        <v>Merchant with PPA and Sold Swap EBIT Discounted</v>
      </c>
      <c r="H273" s="20" cm="1">
        <f t="array" ref="H273">INDEX(Financials!$B$5:$AI$260,FinancialWalk!K273,FinancialWalk!L273)</f>
        <v>46312889.26977697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MarinusSnowyYallourn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83" t="str">
        <f>FinancialWalk!$P$31</f>
        <v>Merchant with PPA and Sold Swap EBIT Discounted</v>
      </c>
      <c r="H274" s="20" cm="1">
        <f t="array" ref="H274">INDEX(Financials!$B$5:$AI$260,FinancialWalk!K274,FinancialWalk!L274)</f>
        <v>46312889.26977697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MarinusSnowyYallourn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83" t="str">
        <f>FinancialWalk!$P$31</f>
        <v>Merchant with PPA and Sold Swap EBIT Discounted</v>
      </c>
      <c r="H275" s="20" cm="1">
        <f t="array" ref="H275">INDEX(Financials!$B$5:$AI$260,FinancialWalk!K275,FinancialWalk!L275)</f>
        <v>46312889.26977697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MarinusSnowyYallourn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83" t="str">
        <f>FinancialWalk!$P$31</f>
        <v>Merchant with PPA and Sold Swap EBIT Discounted</v>
      </c>
      <c r="H276" s="20" cm="1">
        <f t="array" ref="H276">INDEX(Financials!$B$5:$AI$260,FinancialWalk!K276,FinancialWalk!L276)</f>
        <v>46312889.26977697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MarinusSnowyYallourn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83" t="str">
        <f>FinancialWalk!$P$31</f>
        <v>Merchant with PPA and Sold Swap EBIT Discounted</v>
      </c>
      <c r="H277" s="20" cm="1">
        <f t="array" ref="H277">INDEX(Financials!$B$5:$AI$260,FinancialWalk!K277,FinancialWalk!L277)</f>
        <v>48352982.833540194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MarinusSnowyYallourn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83" t="str">
        <f>FinancialWalk!$P$31</f>
        <v>Merchant with PPA and Sold Swap EBIT Discounted</v>
      </c>
      <c r="H278" s="20" cm="1">
        <f t="array" ref="H278">INDEX(Financials!$B$5:$AI$260,FinancialWalk!K278,FinancialWalk!L278)</f>
        <v>48352982.833540194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MarinusSnowyYallourn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83" t="str">
        <f>FinancialWalk!$P$31</f>
        <v>Merchant with PPA and Sold Swap EBIT Discounted</v>
      </c>
      <c r="H279" s="20" cm="1">
        <f t="array" ref="H279">INDEX(Financials!$B$5:$AI$260,FinancialWalk!K279,FinancialWalk!L279)</f>
        <v>48352982.833540194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MarinusSnowyYallourn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83" t="str">
        <f>FinancialWalk!$P$31</f>
        <v>Merchant with PPA and Sold Swap EBIT Discounted</v>
      </c>
      <c r="H280" s="20" cm="1">
        <f t="array" ref="H280">INDEX(Financials!$B$5:$AI$260,FinancialWalk!K280,FinancialWalk!L280)</f>
        <v>48352982.833540194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MarinusSnowyYallourn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83" t="str">
        <f>FinancialWalk!$P$31</f>
        <v>Merchant with PPA and Sold Swap EBIT Discounted</v>
      </c>
      <c r="H281" s="20" cm="1">
        <f t="array" ref="H281">INDEX(Financials!$B$5:$AI$260,FinancialWalk!K281,FinancialWalk!L281)</f>
        <v>48352982.833540194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MarinusSnowyYallourn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83" t="str">
        <f>FinancialWalk!$P$31</f>
        <v>Merchant with PPA and Sold Swap EBIT Discounted</v>
      </c>
      <c r="H282" s="20" cm="1">
        <f t="array" ref="H282">INDEX(Financials!$B$5:$AI$260,FinancialWalk!K282,FinancialWalk!L282)</f>
        <v>53722425.611892998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MarinusSnowyYallourn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83" t="str">
        <f>FinancialWalk!$P$31</f>
        <v>Merchant with PPA and Sold Swap EBIT Discounted</v>
      </c>
      <c r="H283" s="20" cm="1">
        <f t="array" ref="H283">INDEX(Financials!$B$5:$AI$260,FinancialWalk!K283,FinancialWalk!L283)</f>
        <v>53722425.611892998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MarinusSnowyYallourn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83" t="str">
        <f>FinancialWalk!$P$31</f>
        <v>Merchant with PPA and Sold Swap EBIT Discounted</v>
      </c>
      <c r="H284" s="20" cm="1">
        <f t="array" ref="H284">INDEX(Financials!$B$5:$AI$260,FinancialWalk!K284,FinancialWalk!L284)</f>
        <v>53722425.611892998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MarinusSnowyYallourn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83" t="str">
        <f>FinancialWalk!$P$31</f>
        <v>Merchant with PPA and Sold Swap EBIT Discounted</v>
      </c>
      <c r="H285" s="20" cm="1">
        <f t="array" ref="H285">INDEX(Financials!$B$5:$AI$260,FinancialWalk!K285,FinancialWalk!L285)</f>
        <v>53722425.611892998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MarinusSnowyYallourn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83" t="str">
        <f>FinancialWalk!$P$31</f>
        <v>Merchant with PPA and Sold Swap EBIT Discounted</v>
      </c>
      <c r="H286" s="20" cm="1">
        <f t="array" ref="H286">INDEX(Financials!$B$5:$AI$260,FinancialWalk!K286,FinancialWalk!L286)</f>
        <v>66513731.965111196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MarinusSnowyYallourn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83" t="str">
        <f>FinancialWalk!$P$31</f>
        <v>Merchant with PPA and Sold Swap EBIT Discounted</v>
      </c>
      <c r="H287" s="20" cm="1">
        <f t="array" ref="H287">INDEX(Financials!$B$5:$AI$260,FinancialWalk!K287,FinancialWalk!L287)</f>
        <v>66513731.965111196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MarinusSnowyYallourn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83" t="str">
        <f>FinancialWalk!$P$31</f>
        <v>Merchant with PPA and Sold Swap EBIT Discounted</v>
      </c>
      <c r="H288" s="20" cm="1">
        <f t="array" ref="H288">INDEX(Financials!$B$5:$AI$260,FinancialWalk!K288,FinancialWalk!L288)</f>
        <v>66513731.965111196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MarinusSnowyYallourn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83" t="str">
        <f>FinancialWalk!$P$31</f>
        <v>Merchant with PPA and Sold Swap EBIT Discounted</v>
      </c>
      <c r="H289" s="20" cm="1">
        <f t="array" ref="H289">INDEX(Financials!$B$5:$AI$260,FinancialWalk!K289,FinancialWalk!L289)</f>
        <v>60872982.495007426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MarinusSnowyYallourn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83" t="str">
        <f>FinancialWalk!$P$31</f>
        <v>Merchant with PPA and Sold Swap EBIT Discounted</v>
      </c>
      <c r="H290" s="20" cm="1">
        <f t="array" ref="H290">INDEX(Financials!$B$5:$AI$260,FinancialWalk!K290,FinancialWalk!L290)</f>
        <v>51342508.089891002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MarinusSnowyYallourn</v>
      </c>
      <c r="C291" t="s">
        <v>64</v>
      </c>
      <c r="D291">
        <v>1</v>
      </c>
      <c r="E291" t="s">
        <v>18</v>
      </c>
      <c r="F291" t="s">
        <v>44</v>
      </c>
      <c r="G291" s="83" t="str">
        <f>FinancialWalk!$P$31</f>
        <v>Merchant with PPA and Sold Swap EBIT Discounted</v>
      </c>
      <c r="H291" s="20" cm="1">
        <f t="array" ref="H291">INDEX(Financials!$B$5:$AI$260,FinancialWalk!K291,FinancialWalk!L291)</f>
        <v>7207084.9993438721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MarinusSnowyYallourn</v>
      </c>
      <c r="C292" t="s">
        <v>64</v>
      </c>
      <c r="D292">
        <v>0.95</v>
      </c>
      <c r="E292" t="str">
        <f>E291</f>
        <v>Cal-37</v>
      </c>
      <c r="F292" t="s">
        <v>44</v>
      </c>
      <c r="G292" s="83" t="str">
        <f>FinancialWalk!$P$31</f>
        <v>Merchant with PPA and Sold Swap EBIT Discounted</v>
      </c>
      <c r="H292" s="20" cm="1">
        <f t="array" ref="H292">INDEX(Financials!$B$5:$AI$260,FinancialWalk!K292,FinancialWalk!L292)</f>
        <v>38299709.245662704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MarinusSnowyYallourn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83" t="str">
        <f>FinancialWalk!$P$31</f>
        <v>Merchant with PPA and Sold Swap EBIT Discounted</v>
      </c>
      <c r="H293" s="20" cm="1">
        <f t="array" ref="H293">INDEX(Financials!$B$5:$AI$260,FinancialWalk!K293,FinancialWalk!L293)</f>
        <v>38299709.245662704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MarinusSnowyYallourn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83" t="str">
        <f>FinancialWalk!$P$31</f>
        <v>Merchant with PPA and Sold Swap EBIT Discounted</v>
      </c>
      <c r="H294" s="20" cm="1">
        <f t="array" ref="H294">INDEX(Financials!$B$5:$AI$260,FinancialWalk!K294,FinancialWalk!L294)</f>
        <v>38299709.245662704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MarinusSnowyYallourn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83" t="str">
        <f>FinancialWalk!$P$31</f>
        <v>Merchant with PPA and Sold Swap EBIT Discounted</v>
      </c>
      <c r="H295" s="20" cm="1">
        <f t="array" ref="H295">INDEX(Financials!$B$5:$AI$260,FinancialWalk!K295,FinancialWalk!L295)</f>
        <v>43486799.176445484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MarinusSnowyYallourn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83" t="str">
        <f>FinancialWalk!$P$31</f>
        <v>Merchant with PPA and Sold Swap EBIT Discounted</v>
      </c>
      <c r="H296" s="20" cm="1">
        <f t="array" ref="H296">INDEX(Financials!$B$5:$AI$260,FinancialWalk!K296,FinancialWalk!L296)</f>
        <v>43486799.176445484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MarinusSnowyYallourn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83" t="str">
        <f>FinancialWalk!$P$31</f>
        <v>Merchant with PPA and Sold Swap EBIT Discounted</v>
      </c>
      <c r="H297" s="20" cm="1">
        <f t="array" ref="H297">INDEX(Financials!$B$5:$AI$260,FinancialWalk!K297,FinancialWalk!L297)</f>
        <v>43486799.176445484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MarinusSnowyYallourn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83" t="str">
        <f>FinancialWalk!$P$31</f>
        <v>Merchant with PPA and Sold Swap EBIT Discounted</v>
      </c>
      <c r="H298" s="20" cm="1">
        <f t="array" ref="H298">INDEX(Financials!$B$5:$AI$260,FinancialWalk!K298,FinancialWalk!L298)</f>
        <v>43486799.176445484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MarinusSnowyYallourn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83" t="str">
        <f>FinancialWalk!$P$31</f>
        <v>Merchant with PPA and Sold Swap EBIT Discounted</v>
      </c>
      <c r="H299" s="20" cm="1">
        <f t="array" ref="H299">INDEX(Financials!$B$5:$AI$260,FinancialWalk!K299,FinancialWalk!L299)</f>
        <v>46344054.696977139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MarinusSnowyYallourn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83" t="str">
        <f>FinancialWalk!$P$31</f>
        <v>Merchant with PPA and Sold Swap EBIT Discounted</v>
      </c>
      <c r="H300" s="20" cm="1">
        <f t="array" ref="H300">INDEX(Financials!$B$5:$AI$260,FinancialWalk!K300,FinancialWalk!L300)</f>
        <v>46344054.696977139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MarinusSnowyYallourn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83" t="str">
        <f>FinancialWalk!$P$31</f>
        <v>Merchant with PPA and Sold Swap EBIT Discounted</v>
      </c>
      <c r="H301" s="20" cm="1">
        <f t="array" ref="H301">INDEX(Financials!$B$5:$AI$260,FinancialWalk!K301,FinancialWalk!L301)</f>
        <v>46344054.696977139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MarinusSnowyYallourn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83" t="str">
        <f>FinancialWalk!$P$31</f>
        <v>Merchant with PPA and Sold Swap EBIT Discounted</v>
      </c>
      <c r="H302" s="20" cm="1">
        <f t="array" ref="H302">INDEX(Financials!$B$5:$AI$260,FinancialWalk!K302,FinancialWalk!L302)</f>
        <v>46344054.696977139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MarinusSnowyYallourn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83" t="str">
        <f>FinancialWalk!$P$31</f>
        <v>Merchant with PPA and Sold Swap EBIT Discounted</v>
      </c>
      <c r="H303" s="20" cm="1">
        <f t="array" ref="H303">INDEX(Financials!$B$5:$AI$260,FinancialWalk!K303,FinancialWalk!L303)</f>
        <v>46344054.696977139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MarinusSnowyYallourn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83" t="str">
        <f>FinancialWalk!$P$31</f>
        <v>Merchant with PPA and Sold Swap EBIT Discounted</v>
      </c>
      <c r="H304" s="20" cm="1">
        <f t="array" ref="H304">INDEX(Financials!$B$5:$AI$260,FinancialWalk!K304,FinancialWalk!L304)</f>
        <v>52360083.782838844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MarinusSnowyYallourn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83" t="str">
        <f>FinancialWalk!$P$31</f>
        <v>Merchant with PPA and Sold Swap EBIT Discounted</v>
      </c>
      <c r="H305" s="20" cm="1">
        <f t="array" ref="H305">INDEX(Financials!$B$5:$AI$260,FinancialWalk!K305,FinancialWalk!L305)</f>
        <v>52360083.782838844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MarinusSnowyYallourn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83" t="str">
        <f>FinancialWalk!$P$31</f>
        <v>Merchant with PPA and Sold Swap EBIT Discounted</v>
      </c>
      <c r="H306" s="20" cm="1">
        <f t="array" ref="H306">INDEX(Financials!$B$5:$AI$260,FinancialWalk!K306,FinancialWalk!L306)</f>
        <v>52360083.782838844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MarinusSnowyYallourn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83" t="str">
        <f>FinancialWalk!$P$31</f>
        <v>Merchant with PPA and Sold Swap EBIT Discounted</v>
      </c>
      <c r="H307" s="20" cm="1">
        <f t="array" ref="H307">INDEX(Financials!$B$5:$AI$260,FinancialWalk!K307,FinancialWalk!L307)</f>
        <v>52360083.782838844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MarinusSnowyYallourn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83" t="str">
        <f>FinancialWalk!$P$31</f>
        <v>Merchant with PPA and Sold Swap EBIT Discounted</v>
      </c>
      <c r="H308" s="20" cm="1">
        <f t="array" ref="H308">INDEX(Financials!$B$5:$AI$260,FinancialWalk!K308,FinancialWalk!L308)</f>
        <v>26283894.058586858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MarinusSnowyYallourn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83" t="str">
        <f>FinancialWalk!$P$31</f>
        <v>Merchant with PPA and Sold Swap EBIT Discounted</v>
      </c>
      <c r="H309" s="20" cm="1">
        <f t="array" ref="H309">INDEX(Financials!$B$5:$AI$260,FinancialWalk!K309,FinancialWalk!L309)</f>
        <v>26283894.058586858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MarinusSnowyYallourn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83" t="str">
        <f>FinancialWalk!$P$31</f>
        <v>Merchant with PPA and Sold Swap EBIT Discounted</v>
      </c>
      <c r="H310" s="20" cm="1">
        <f t="array" ref="H310">INDEX(Financials!$B$5:$AI$260,FinancialWalk!K310,FinancialWalk!L310)</f>
        <v>26283894.058586858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MarinusSnowyYallourn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83" t="str">
        <f>FinancialWalk!$P$31</f>
        <v>Merchant with PPA and Sold Swap EBIT Discounted</v>
      </c>
      <c r="H311" s="20" cm="1">
        <f t="array" ref="H311">INDEX(Financials!$B$5:$AI$260,FinancialWalk!K311,FinancialWalk!L311)</f>
        <v>1739968.0066949725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MarinusSnowyYallourn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83" t="str">
        <f>FinancialWalk!$P$31</f>
        <v>Merchant with PPA and Sold Swap EBIT Discounted</v>
      </c>
      <c r="H312" s="20" cm="1">
        <f t="array" ref="H312">INDEX(Financials!$B$5:$AI$260,FinancialWalk!K312,FinancialWalk!L312)</f>
        <v>49128094.950730853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MarinusSnowyYallourn</v>
      </c>
      <c r="C313" t="s">
        <v>64</v>
      </c>
      <c r="D313">
        <v>1</v>
      </c>
      <c r="E313" t="s">
        <v>18</v>
      </c>
      <c r="F313" t="s">
        <v>34</v>
      </c>
      <c r="G313" s="83" t="str">
        <f t="shared" ref="G313:G356" si="48">$P$32</f>
        <v>Merchant with PPA and Sold Swap NPV</v>
      </c>
      <c r="H313" s="20" cm="1">
        <f t="array" ref="H313">INDEX(Financials!$B$5:$AI$260,FinancialWalk!K313,FinancialWalk!L313)</f>
        <v>88772998.823916882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MarinusSnowyYallourn</v>
      </c>
      <c r="C314" t="s">
        <v>64</v>
      </c>
      <c r="D314">
        <v>0.95</v>
      </c>
      <c r="E314" t="str">
        <f>E313</f>
        <v>Cal-37</v>
      </c>
      <c r="F314" t="s">
        <v>34</v>
      </c>
      <c r="G314" s="83" t="str">
        <f t="shared" si="48"/>
        <v>Merchant with PPA and Sold Swap NPV</v>
      </c>
      <c r="H314" s="20" cm="1">
        <f t="array" ref="H314">INDEX(Financials!$B$5:$AI$260,FinancialWalk!K314,FinancialWalk!L314)</f>
        <v>69390275.084049925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MarinusSnowyYallourn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83" t="str">
        <f t="shared" si="48"/>
        <v>Merchant with PPA and Sold Swap NPV</v>
      </c>
      <c r="H315" s="20" cm="1">
        <f t="array" ref="H315">INDEX(Financials!$B$5:$AI$260,FinancialWalk!K315,FinancialWalk!L315)</f>
        <v>69390275.084049925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MarinusSnowyYallourn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83" t="str">
        <f t="shared" si="48"/>
        <v>Merchant with PPA and Sold Swap NPV</v>
      </c>
      <c r="H316" s="20" cm="1">
        <f t="array" ref="H316">INDEX(Financials!$B$5:$AI$260,FinancialWalk!K316,FinancialWalk!L316)</f>
        <v>69390275.084049925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MarinusSnowyYallourn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83" t="str">
        <f t="shared" si="48"/>
        <v>Merchant with PPA and Sold Swap NPV</v>
      </c>
      <c r="H317" s="20" cm="1">
        <f t="array" ref="H317">INDEX(Financials!$B$5:$AI$260,FinancialWalk!K317,FinancialWalk!L317)</f>
        <v>52541560.225534409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MarinusSnowyYallourn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83" t="str">
        <f t="shared" si="48"/>
        <v>Merchant with PPA and Sold Swap NPV</v>
      </c>
      <c r="H318" s="20" cm="1">
        <f t="array" ref="H318">INDEX(Financials!$B$5:$AI$260,FinancialWalk!K318,FinancialWalk!L318)</f>
        <v>52541560.225534409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MarinusSnowyYallourn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83" t="str">
        <f t="shared" si="48"/>
        <v>Merchant with PPA and Sold Swap NPV</v>
      </c>
      <c r="H319" s="20" cm="1">
        <f t="array" ref="H319">INDEX(Financials!$B$5:$AI$260,FinancialWalk!K319,FinancialWalk!L319)</f>
        <v>52541560.225534409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MarinusSnowyYallourn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83" t="str">
        <f t="shared" si="48"/>
        <v>Merchant with PPA and Sold Swap NPV</v>
      </c>
      <c r="H320" s="20" cm="1">
        <f t="array" ref="H320">INDEX(Financials!$B$5:$AI$260,FinancialWalk!K320,FinancialWalk!L320)</f>
        <v>52541560.225534409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MarinusSnowyYallourn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83" t="str">
        <f t="shared" si="48"/>
        <v>Merchant with PPA and Sold Swap NPV</v>
      </c>
      <c r="H321" s="20" cm="1">
        <f t="array" ref="H321">INDEX(Financials!$B$5:$AI$260,FinancialWalk!K321,FinancialWalk!L321)</f>
        <v>41998061.576547086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MarinusSnowyYallourn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83" t="str">
        <f t="shared" si="48"/>
        <v>Merchant with PPA and Sold Swap NPV</v>
      </c>
      <c r="H322" s="20" cm="1">
        <f t="array" ref="H322">INDEX(Financials!$B$5:$AI$260,FinancialWalk!K322,FinancialWalk!L322)</f>
        <v>41998061.576547086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MarinusSnowyYallourn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83" t="str">
        <f t="shared" si="48"/>
        <v>Merchant with PPA and Sold Swap NPV</v>
      </c>
      <c r="H323" s="20" cm="1">
        <f t="array" ref="H323">INDEX(Financials!$B$5:$AI$260,FinancialWalk!K323,FinancialWalk!L323)</f>
        <v>41998061.576547086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MarinusSnowyYallourn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83" t="str">
        <f t="shared" si="48"/>
        <v>Merchant with PPA and Sold Swap NPV</v>
      </c>
      <c r="H324" s="20" cm="1">
        <f t="array" ref="H324">INDEX(Financials!$B$5:$AI$260,FinancialWalk!K324,FinancialWalk!L324)</f>
        <v>41998061.576547086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MarinusSnowyYallourn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83" t="str">
        <f t="shared" si="48"/>
        <v>Merchant with PPA and Sold Swap NPV</v>
      </c>
      <c r="H325" s="20" cm="1">
        <f t="array" ref="H325">INDEX(Financials!$B$5:$AI$260,FinancialWalk!K325,FinancialWalk!L325)</f>
        <v>41998061.576547086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MarinusSnowyYallourn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83" t="str">
        <f t="shared" si="48"/>
        <v>Merchant with PPA and Sold Swap NPV</v>
      </c>
      <c r="H326" s="20" cm="1">
        <f t="array" ref="H326">INDEX(Financials!$B$5:$AI$260,FinancialWalk!K326,FinancialWalk!L326)</f>
        <v>34154345.806957349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MarinusSnowyYallourn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83" t="str">
        <f t="shared" si="48"/>
        <v>Merchant with PPA and Sold Swap NPV</v>
      </c>
      <c r="H327" s="20" cm="1">
        <f t="array" ref="H327">INDEX(Financials!$B$5:$AI$260,FinancialWalk!K327,FinancialWalk!L327)</f>
        <v>34154345.806957349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MarinusSnowyYallourn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83" t="str">
        <f t="shared" si="48"/>
        <v>Merchant with PPA and Sold Swap NPV</v>
      </c>
      <c r="H328" s="20" cm="1">
        <f t="array" ref="H328">INDEX(Financials!$B$5:$AI$260,FinancialWalk!K328,FinancialWalk!L328)</f>
        <v>34154345.806957349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MarinusSnowyYallourn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83" t="str">
        <f t="shared" si="48"/>
        <v>Merchant with PPA and Sold Swap NPV</v>
      </c>
      <c r="H329" s="20" cm="1">
        <f t="array" ref="H329">INDEX(Financials!$B$5:$AI$260,FinancialWalk!K329,FinancialWalk!L329)</f>
        <v>34154345.806957349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MarinusSnowyYallourn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83" t="str">
        <f t="shared" si="48"/>
        <v>Merchant with PPA and Sold Swap NPV</v>
      </c>
      <c r="H330" s="20" cm="1">
        <f t="array" ref="H330">INDEX(Financials!$B$5:$AI$260,FinancialWalk!K330,FinancialWalk!L330)</f>
        <v>29887475.234850451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MarinusSnowyYallourn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83" t="str">
        <f t="shared" si="48"/>
        <v>Merchant with PPA and Sold Swap NPV</v>
      </c>
      <c r="H331" s="20" cm="1">
        <f t="array" ref="H331">INDEX(Financials!$B$5:$AI$260,FinancialWalk!K331,FinancialWalk!L331)</f>
        <v>29887475.234850451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MarinusSnowyYallourn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83" t="str">
        <f t="shared" si="48"/>
        <v>Merchant with PPA and Sold Swap NPV</v>
      </c>
      <c r="H332" s="20" cm="1">
        <f t="array" ref="H332">INDEX(Financials!$B$5:$AI$260,FinancialWalk!K332,FinancialWalk!L332)</f>
        <v>29887475.234850451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MarinusSnowyYallourn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83" t="str">
        <f t="shared" si="48"/>
        <v>Merchant with PPA and Sold Swap NPV</v>
      </c>
      <c r="H333" s="20" cm="1">
        <f t="array" ref="H333">INDEX(Financials!$B$5:$AI$260,FinancialWalk!K333,FinancialWalk!L333)</f>
        <v>1387108.9568442702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MarinusSnowyYallourn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83" t="str">
        <f t="shared" si="48"/>
        <v>Merchant with PPA and Sold Swap NPV</v>
      </c>
      <c r="H334" s="20" cm="1">
        <f t="array" ref="H334">INDEX(Financials!$B$5:$AI$260,FinancialWalk!K334,FinancialWalk!L334)</f>
        <v>45201743.779293656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MarinusSnowyYallourn</v>
      </c>
      <c r="C335" t="s">
        <v>64</v>
      </c>
      <c r="D335">
        <v>1</v>
      </c>
      <c r="E335" t="s">
        <v>18</v>
      </c>
      <c r="F335" t="s">
        <v>44</v>
      </c>
      <c r="G335" s="83" t="str">
        <f t="shared" si="48"/>
        <v>Merchant with PPA and Sold Swap NPV</v>
      </c>
      <c r="H335" s="20" cm="1">
        <f t="array" ref="H335">INDEX(Financials!$B$5:$AI$260,FinancialWalk!K335,FinancialWalk!L335)</f>
        <v>65418048.023837239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MarinusSnowyYallourn</v>
      </c>
      <c r="C336" t="s">
        <v>64</v>
      </c>
      <c r="D336">
        <v>0.95</v>
      </c>
      <c r="E336" t="str">
        <f>E335</f>
        <v>Cal-37</v>
      </c>
      <c r="F336" t="s">
        <v>44</v>
      </c>
      <c r="G336" s="83" t="str">
        <f t="shared" si="48"/>
        <v>Merchant with PPA and Sold Swap NPV</v>
      </c>
      <c r="H336" s="20" cm="1">
        <f t="array" ref="H336">INDEX(Financials!$B$5:$AI$260,FinancialWalk!K336,FinancialWalk!L336)</f>
        <v>59247161.172973767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MarinusSnowyYallourn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83" t="str">
        <f t="shared" si="48"/>
        <v>Merchant with PPA and Sold Swap NPV</v>
      </c>
      <c r="H337" s="20" cm="1">
        <f t="array" ref="H337">INDEX(Financials!$B$5:$AI$260,FinancialWalk!K337,FinancialWalk!L337)</f>
        <v>59247161.172973767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MarinusSnowyYallourn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83" t="str">
        <f t="shared" si="48"/>
        <v>Merchant with PPA and Sold Swap NPV</v>
      </c>
      <c r="H338" s="20" cm="1">
        <f t="array" ref="H338">INDEX(Financials!$B$5:$AI$260,FinancialWalk!K338,FinancialWalk!L338)</f>
        <v>59247161.172973767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MarinusSnowyYallourn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83" t="str">
        <f t="shared" si="48"/>
        <v>Merchant with PPA and Sold Swap NPV</v>
      </c>
      <c r="H339" s="20" cm="1">
        <f t="array" ref="H339">INDEX(Financials!$B$5:$AI$260,FinancialWalk!K339,FinancialWalk!L339)</f>
        <v>49639949.284210563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MarinusSnowyYallourn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83" t="str">
        <f t="shared" si="48"/>
        <v>Merchant with PPA and Sold Swap NPV</v>
      </c>
      <c r="H340" s="20" cm="1">
        <f t="array" ref="H340">INDEX(Financials!$B$5:$AI$260,FinancialWalk!K340,FinancialWalk!L340)</f>
        <v>49639949.284210563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MarinusSnowyYallourn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83" t="str">
        <f t="shared" si="48"/>
        <v>Merchant with PPA and Sold Swap NPV</v>
      </c>
      <c r="H341" s="20" cm="1">
        <f t="array" ref="H341">INDEX(Financials!$B$5:$AI$260,FinancialWalk!K341,FinancialWalk!L341)</f>
        <v>49639949.284210563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MarinusSnowyYallourn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83" t="str">
        <f t="shared" si="48"/>
        <v>Merchant with PPA and Sold Swap NPV</v>
      </c>
      <c r="H342" s="20" cm="1">
        <f t="array" ref="H342">INDEX(Financials!$B$5:$AI$260,FinancialWalk!K342,FinancialWalk!L342)</f>
        <v>49639949.284210563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MarinusSnowyYallourn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83" t="str">
        <f t="shared" si="48"/>
        <v>Merchant with PPA and Sold Swap NPV</v>
      </c>
      <c r="H343" s="20" cm="1">
        <f t="array" ref="H343">INDEX(Financials!$B$5:$AI$260,FinancialWalk!K343,FinancialWalk!L343)</f>
        <v>41304711.713619791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MarinusSnowyYallourn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83" t="str">
        <f t="shared" si="48"/>
        <v>Merchant with PPA and Sold Swap NPV</v>
      </c>
      <c r="H344" s="20" cm="1">
        <f t="array" ref="H344">INDEX(Financials!$B$5:$AI$260,FinancialWalk!K344,FinancialWalk!L344)</f>
        <v>41304711.713619791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MarinusSnowyYallourn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83" t="str">
        <f t="shared" si="48"/>
        <v>Merchant with PPA and Sold Swap NPV</v>
      </c>
      <c r="H345" s="20" cm="1">
        <f t="array" ref="H345">INDEX(Financials!$B$5:$AI$260,FinancialWalk!K345,FinancialWalk!L345)</f>
        <v>41304711.713619791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MarinusSnowyYallourn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83" t="str">
        <f t="shared" si="48"/>
        <v>Merchant with PPA and Sold Swap NPV</v>
      </c>
      <c r="H346" s="20" cm="1">
        <f t="array" ref="H346">INDEX(Financials!$B$5:$AI$260,FinancialWalk!K346,FinancialWalk!L346)</f>
        <v>41304711.713619791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MarinusSnowyYallourn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83" t="str">
        <f t="shared" si="48"/>
        <v>Merchant with PPA and Sold Swap NPV</v>
      </c>
      <c r="H347" s="20" cm="1">
        <f t="array" ref="H347">INDEX(Financials!$B$5:$AI$260,FinancialWalk!K347,FinancialWalk!L347)</f>
        <v>41304711.713619791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MarinusSnowyYallourn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83" t="str">
        <f t="shared" si="48"/>
        <v>Merchant with PPA and Sold Swap NPV</v>
      </c>
      <c r="H348" s="20" cm="1">
        <f t="array" ref="H348">INDEX(Financials!$B$5:$AI$260,FinancialWalk!K348,FinancialWalk!L348)</f>
        <v>34533168.35501159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MarinusSnowyYallourn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83" t="str">
        <f t="shared" si="48"/>
        <v>Merchant with PPA and Sold Swap NPV</v>
      </c>
      <c r="H349" s="20" cm="1">
        <f t="array" ref="H349">INDEX(Financials!$B$5:$AI$260,FinancialWalk!K349,FinancialWalk!L349)</f>
        <v>34533168.35501159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MarinusSnowyYallourn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83" t="str">
        <f t="shared" si="48"/>
        <v>Merchant with PPA and Sold Swap NPV</v>
      </c>
      <c r="H350" s="20" cm="1">
        <f t="array" ref="H350">INDEX(Financials!$B$5:$AI$260,FinancialWalk!K350,FinancialWalk!L350)</f>
        <v>34533168.35501159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MarinusSnowyYallourn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83" t="str">
        <f t="shared" si="48"/>
        <v>Merchant with PPA and Sold Swap NPV</v>
      </c>
      <c r="H351" s="20" cm="1">
        <f t="array" ref="H351">INDEX(Financials!$B$5:$AI$260,FinancialWalk!K351,FinancialWalk!L351)</f>
        <v>34533168.35501159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MarinusSnowyYallourn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83" t="str">
        <f t="shared" si="48"/>
        <v>Merchant with PPA and Sold Swap NPV</v>
      </c>
      <c r="H352" s="20" cm="1">
        <f t="array" ref="H352">INDEX(Financials!$B$5:$AI$260,FinancialWalk!K352,FinancialWalk!L352)</f>
        <v>-7496864.4270434901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MarinusSnowyYallourn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83" t="str">
        <f t="shared" si="48"/>
        <v>Merchant with PPA and Sold Swap NPV</v>
      </c>
      <c r="H353" s="20" cm="1">
        <f t="array" ref="H353">INDEX(Financials!$B$5:$AI$260,FinancialWalk!K353,FinancialWalk!L353)</f>
        <v>-7496864.4270434901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MarinusSnowyYallourn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83" t="str">
        <f t="shared" si="48"/>
        <v>Merchant with PPA and Sold Swap NPV</v>
      </c>
      <c r="H354" s="20" cm="1">
        <f t="array" ref="H354">INDEX(Financials!$B$5:$AI$260,FinancialWalk!K354,FinancialWalk!L354)</f>
        <v>-7496864.4270434901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MarinusSnowyYallourn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83" t="str">
        <f t="shared" si="48"/>
        <v>Merchant with PPA and Sold Swap NPV</v>
      </c>
      <c r="H355" s="20" cm="1">
        <f t="array" ref="H355">INDEX(Financials!$B$5:$AI$260,FinancialWalk!K355,FinancialWalk!L355)</f>
        <v>-50550406.96127905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MarinusSnowyYallourn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83" t="str">
        <f t="shared" si="48"/>
        <v>Merchant with PPA and Sold Swap NPV</v>
      </c>
      <c r="H356" s="20" cm="1">
        <f t="array" ref="H356">INDEX(Financials!$B$5:$AI$260,FinancialWalk!K356,FinancialWalk!L356)</f>
        <v>43341442.416159667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MarinusSnowyYallourn</v>
      </c>
      <c r="C357" t="s">
        <v>64</v>
      </c>
      <c r="D357">
        <v>1</v>
      </c>
      <c r="E357" t="s">
        <v>18</v>
      </c>
      <c r="F357" t="s">
        <v>34</v>
      </c>
      <c r="G357" s="83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1.2825801380948822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MarinusSnowyYallourn</v>
      </c>
      <c r="C358" t="s">
        <v>64</v>
      </c>
      <c r="D358">
        <v>0.95</v>
      </c>
      <c r="E358" t="str">
        <f>E357</f>
        <v>Cal-37</v>
      </c>
      <c r="F358" t="s">
        <v>34</v>
      </c>
      <c r="G358" s="83" t="str">
        <f t="shared" si="54"/>
        <v>Merchant with PPA and Sold Swap ROI</v>
      </c>
      <c r="H358" s="13" cm="1">
        <f t="array" ref="H358">INDEX(Financials!$B$5:$AI$260,FinancialWalk!K358,FinancialWalk!L358)</f>
        <v>1.0025411980986831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MarinusSnowyYallourn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83" t="str">
        <f t="shared" si="54"/>
        <v>Merchant with PPA and Sold Swap ROI</v>
      </c>
      <c r="H359" s="13" cm="1">
        <f t="array" ref="H359">INDEX(Financials!$B$5:$AI$260,FinancialWalk!K359,FinancialWalk!L359)</f>
        <v>1.0025411980986831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MarinusSnowyYallourn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83" t="str">
        <f t="shared" si="54"/>
        <v>Merchant with PPA and Sold Swap ROI</v>
      </c>
      <c r="H360" s="13" cm="1">
        <f t="array" ref="H360">INDEX(Financials!$B$5:$AI$260,FinancialWalk!K360,FinancialWalk!L360)</f>
        <v>1.0025411980986831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MarinusSnowyYallourn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83" t="str">
        <f t="shared" si="54"/>
        <v>Merchant with PPA and Sold Swap ROI</v>
      </c>
      <c r="H361" s="13" cm="1">
        <f t="array" ref="H361">INDEX(Financials!$B$5:$AI$260,FinancialWalk!K361,FinancialWalk!L361)</f>
        <v>0.75911327163176634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MarinusSnowyYallourn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83" t="str">
        <f t="shared" si="54"/>
        <v>Merchant with PPA and Sold Swap ROI</v>
      </c>
      <c r="H362" s="13" cm="1">
        <f t="array" ref="H362">INDEX(Financials!$B$5:$AI$260,FinancialWalk!K362,FinancialWalk!L362)</f>
        <v>0.75911327163176634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MarinusSnowyYallourn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83" t="str">
        <f t="shared" si="54"/>
        <v>Merchant with PPA and Sold Swap ROI</v>
      </c>
      <c r="H363" s="13" cm="1">
        <f t="array" ref="H363">INDEX(Financials!$B$5:$AI$260,FinancialWalk!K363,FinancialWalk!L363)</f>
        <v>0.75911327163176634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MarinusSnowyYallourn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83" t="str">
        <f t="shared" si="54"/>
        <v>Merchant with PPA and Sold Swap ROI</v>
      </c>
      <c r="H364" s="13" cm="1">
        <f t="array" ref="H364">INDEX(Financials!$B$5:$AI$260,FinancialWalk!K364,FinancialWalk!L364)</f>
        <v>0.75911327163176634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MarinusSnowyYallourn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83" t="str">
        <f t="shared" si="54"/>
        <v>Merchant with PPA and Sold Swap ROI</v>
      </c>
      <c r="H365" s="13" cm="1">
        <f t="array" ref="H365">INDEX(Financials!$B$5:$AI$260,FinancialWalk!K365,FinancialWalk!L365)</f>
        <v>0.60678224606796527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MarinusSnowyYallourn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83" t="str">
        <f t="shared" si="54"/>
        <v>Merchant with PPA and Sold Swap ROI</v>
      </c>
      <c r="H366" s="13" cm="1">
        <f t="array" ref="H366">INDEX(Financials!$B$5:$AI$260,FinancialWalk!K366,FinancialWalk!L366)</f>
        <v>0.60678224606796527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MarinusSnowyYallourn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83" t="str">
        <f t="shared" si="54"/>
        <v>Merchant with PPA and Sold Swap ROI</v>
      </c>
      <c r="H367" s="13" cm="1">
        <f t="array" ref="H367">INDEX(Financials!$B$5:$AI$260,FinancialWalk!K367,FinancialWalk!L367)</f>
        <v>0.60678224606796527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MarinusSnowyYallourn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83" t="str">
        <f t="shared" si="54"/>
        <v>Merchant with PPA and Sold Swap ROI</v>
      </c>
      <c r="H368" s="13" cm="1">
        <f t="array" ref="H368">INDEX(Financials!$B$5:$AI$260,FinancialWalk!K368,FinancialWalk!L368)</f>
        <v>0.60678224606796527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MarinusSnowyYallourn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83" t="str">
        <f t="shared" si="54"/>
        <v>Merchant with PPA and Sold Swap ROI</v>
      </c>
      <c r="H369" s="13" cm="1">
        <f t="array" ref="H369">INDEX(Financials!$B$5:$AI$260,FinancialWalk!K369,FinancialWalk!L369)</f>
        <v>0.60678224606796527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MarinusSnowyYallourn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83" t="str">
        <f t="shared" si="54"/>
        <v>Merchant with PPA and Sold Swap ROI</v>
      </c>
      <c r="H370" s="13" cm="1">
        <f t="array" ref="H370">INDEX(Financials!$B$5:$AI$260,FinancialWalk!K370,FinancialWalk!L370)</f>
        <v>0.49345731407043281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MarinusSnowyYallourn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83" t="str">
        <f t="shared" si="54"/>
        <v>Merchant with PPA and Sold Swap ROI</v>
      </c>
      <c r="H371" s="13" cm="1">
        <f t="array" ref="H371">INDEX(Financials!$B$5:$AI$260,FinancialWalk!K371,FinancialWalk!L371)</f>
        <v>0.49345731407043281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MarinusSnowyYallourn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83" t="str">
        <f t="shared" si="54"/>
        <v>Merchant with PPA and Sold Swap ROI</v>
      </c>
      <c r="H372" s="13" cm="1">
        <f t="array" ref="H372">INDEX(Financials!$B$5:$AI$260,FinancialWalk!K372,FinancialWalk!L372)</f>
        <v>0.49345731407043281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MarinusSnowyYallourn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83" t="str">
        <f t="shared" si="54"/>
        <v>Merchant with PPA and Sold Swap ROI</v>
      </c>
      <c r="H373" s="13" cm="1">
        <f t="array" ref="H373">INDEX(Financials!$B$5:$AI$260,FinancialWalk!K373,FinancialWalk!L373)</f>
        <v>0.49345731407043281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MarinusSnowyYallourn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83" t="str">
        <f t="shared" si="54"/>
        <v>Merchant with PPA and Sold Swap ROI</v>
      </c>
      <c r="H374" s="13" cm="1">
        <f t="array" ref="H374">INDEX(Financials!$B$5:$AI$260,FinancialWalk!K374,FinancialWalk!L374)</f>
        <v>0.43181015198164413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MarinusSnowyYallourn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83" t="str">
        <f t="shared" si="54"/>
        <v>Merchant with PPA and Sold Swap ROI</v>
      </c>
      <c r="H375" s="13" cm="1">
        <f t="array" ref="H375">INDEX(Financials!$B$5:$AI$260,FinancialWalk!K375,FinancialWalk!L375)</f>
        <v>0.43181015198164413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MarinusSnowyYallourn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83" t="str">
        <f t="shared" si="54"/>
        <v>Merchant with PPA and Sold Swap ROI</v>
      </c>
      <c r="H376" s="13" cm="1">
        <f t="array" ref="H376">INDEX(Financials!$B$5:$AI$260,FinancialWalk!K376,FinancialWalk!L376)</f>
        <v>0.43181015198164413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MarinusSnowyYallourn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83" t="str">
        <f t="shared" si="54"/>
        <v>Merchant with PPA and Sold Swap ROI</v>
      </c>
      <c r="H377" s="13" cm="1">
        <f t="array" ref="H377">INDEX(Financials!$B$5:$AI$260,FinancialWalk!K377,FinancialWalk!L377)</f>
        <v>2.0040760377497347E-2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MarinusSnowyYallourn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83" t="str">
        <f t="shared" si="54"/>
        <v>Merchant with PPA and Sold Swap ROI</v>
      </c>
      <c r="H378" s="13" cm="1">
        <f t="array" ref="H378">INDEX(Financials!$B$5:$AI$260,FinancialWalk!K378,FinancialWalk!L378)</f>
        <v>0.65306860809749478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MarinusSnowyYallourn</v>
      </c>
      <c r="C379" t="s">
        <v>64</v>
      </c>
      <c r="D379">
        <v>1</v>
      </c>
      <c r="E379" t="s">
        <v>18</v>
      </c>
      <c r="F379" t="s">
        <v>44</v>
      </c>
      <c r="G379" s="83" t="str">
        <f t="shared" si="54"/>
        <v>Merchant with PPA and Sold Swap ROI</v>
      </c>
      <c r="H379" s="13" cm="1">
        <f t="array" ref="H379">INDEX(Financials!$B$5:$AI$260,FinancialWalk!K379,FinancialWalk!L379)</f>
        <v>0.92011464574724033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MarinusSnowyYallourn</v>
      </c>
      <c r="C380" t="s">
        <v>64</v>
      </c>
      <c r="D380">
        <v>0.95</v>
      </c>
      <c r="E380" t="str">
        <f>E379</f>
        <v>Cal-37</v>
      </c>
      <c r="F380" t="s">
        <v>44</v>
      </c>
      <c r="G380" s="83" t="str">
        <f t="shared" si="54"/>
        <v>Merchant with PPA and Sold Swap ROI</v>
      </c>
      <c r="H380" s="13" cm="1">
        <f t="array" ref="H380">INDEX(Financials!$B$5:$AI$260,FinancialWalk!K380,FinancialWalk!L380)</f>
        <v>0.83332019772794741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MarinusSnowyYallourn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83" t="str">
        <f t="shared" si="54"/>
        <v>Merchant with PPA and Sold Swap ROI</v>
      </c>
      <c r="H381" s="13" cm="1">
        <f t="array" ref="H381">INDEX(Financials!$B$5:$AI$260,FinancialWalk!K381,FinancialWalk!L381)</f>
        <v>0.83332019772794741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MarinusSnowyYallourn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83" t="str">
        <f t="shared" si="54"/>
        <v>Merchant with PPA and Sold Swap ROI</v>
      </c>
      <c r="H382" s="13" cm="1">
        <f t="array" ref="H382">INDEX(Financials!$B$5:$AI$260,FinancialWalk!K382,FinancialWalk!L382)</f>
        <v>0.83332019772794741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MarinusSnowyYallourn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83" t="str">
        <f t="shared" si="54"/>
        <v>Merchant with PPA and Sold Swap ROI</v>
      </c>
      <c r="H383" s="13" cm="1">
        <f t="array" ref="H383">INDEX(Financials!$B$5:$AI$260,FinancialWalk!K383,FinancialWalk!L383)</f>
        <v>0.69819332325399519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MarinusSnowyYallourn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83" t="str">
        <f t="shared" si="54"/>
        <v>Merchant with PPA and Sold Swap ROI</v>
      </c>
      <c r="H384" s="13" cm="1">
        <f t="array" ref="H384">INDEX(Financials!$B$5:$AI$260,FinancialWalk!K384,FinancialWalk!L384)</f>
        <v>0.69819332325399519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MarinusSnowyYallourn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83" t="str">
        <f t="shared" si="54"/>
        <v>Merchant with PPA and Sold Swap ROI</v>
      </c>
      <c r="H385" s="13" cm="1">
        <f t="array" ref="H385">INDEX(Financials!$B$5:$AI$260,FinancialWalk!K385,FinancialWalk!L385)</f>
        <v>0.69819332325399519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MarinusSnowyYallourn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83" t="str">
        <f t="shared" si="54"/>
        <v>Merchant with PPA and Sold Swap ROI</v>
      </c>
      <c r="H386" s="13" cm="1">
        <f t="array" ref="H386">INDEX(Financials!$B$5:$AI$260,FinancialWalk!K386,FinancialWalk!L386)</f>
        <v>0.69819332325399519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MarinusSnowyYallourn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83" t="str">
        <f t="shared" si="54"/>
        <v>Merchant with PPA and Sold Swap ROI</v>
      </c>
      <c r="H387" s="13" cm="1">
        <f t="array" ref="H387">INDEX(Financials!$B$5:$AI$260,FinancialWalk!K387,FinancialWalk!L387)</f>
        <v>0.5809569581198869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MarinusSnowyYallourn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83" t="str">
        <f t="shared" si="54"/>
        <v>Merchant with PPA and Sold Swap ROI</v>
      </c>
      <c r="H388" s="13" cm="1">
        <f t="array" ref="H388">INDEX(Financials!$B$5:$AI$260,FinancialWalk!K388,FinancialWalk!L388)</f>
        <v>0.5809569581198869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MarinusSnowyYallourn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83" t="str">
        <f t="shared" si="54"/>
        <v>Merchant with PPA and Sold Swap ROI</v>
      </c>
      <c r="H389" s="13" cm="1">
        <f t="array" ref="H389">INDEX(Financials!$B$5:$AI$260,FinancialWalk!K389,FinancialWalk!L389)</f>
        <v>0.5809569581198869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MarinusSnowyYallourn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83" t="str">
        <f t="shared" si="54"/>
        <v>Merchant with PPA and Sold Swap ROI</v>
      </c>
      <c r="H390" s="13" cm="1">
        <f t="array" ref="H390">INDEX(Financials!$B$5:$AI$260,FinancialWalk!K390,FinancialWalk!L390)</f>
        <v>0.5809569581198869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MarinusSnowyYallourn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83" t="str">
        <f t="shared" si="54"/>
        <v>Merchant with PPA and Sold Swap ROI</v>
      </c>
      <c r="H391" s="13" cm="1">
        <f t="array" ref="H391">INDEX(Financials!$B$5:$AI$260,FinancialWalk!K391,FinancialWalk!L391)</f>
        <v>0.5809569581198869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MarinusSnowyYallourn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83" t="str">
        <f t="shared" si="54"/>
        <v>Merchant with PPA and Sold Swap ROI</v>
      </c>
      <c r="H392" s="13" cm="1">
        <f t="array" ref="H392">INDEX(Financials!$B$5:$AI$260,FinancialWalk!K392,FinancialWalk!L392)</f>
        <v>0.48571418633468266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MarinusSnowyYallourn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83" t="str">
        <f t="shared" si="54"/>
        <v>Merchant with PPA and Sold Swap ROI</v>
      </c>
      <c r="H393" s="13" cm="1">
        <f t="array" ref="H393">INDEX(Financials!$B$5:$AI$260,FinancialWalk!K393,FinancialWalk!L393)</f>
        <v>0.48571418633468266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MarinusSnowyYallourn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83" t="str">
        <f t="shared" si="54"/>
        <v>Merchant with PPA and Sold Swap ROI</v>
      </c>
      <c r="H394" s="13" cm="1">
        <f t="array" ref="H394">INDEX(Financials!$B$5:$AI$260,FinancialWalk!K394,FinancialWalk!L394)</f>
        <v>0.48571418633468266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MarinusSnowyYallourn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83" t="str">
        <f t="shared" si="54"/>
        <v>Merchant with PPA and Sold Swap ROI</v>
      </c>
      <c r="H395" s="13" cm="1">
        <f t="array" ref="H395">INDEX(Financials!$B$5:$AI$260,FinancialWalk!K395,FinancialWalk!L395)</f>
        <v>0.48571418633468266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MarinusSnowyYallourn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83" t="str">
        <f t="shared" si="54"/>
        <v>Merchant with PPA and Sold Swap ROI</v>
      </c>
      <c r="H396" s="13" cm="1">
        <f t="array" ref="H396">INDEX(Financials!$B$5:$AI$260,FinancialWalk!K396,FinancialWalk!L396)</f>
        <v>-0.10544452127325325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MarinusSnowyYallourn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83" t="str">
        <f t="shared" si="54"/>
        <v>Merchant with PPA and Sold Swap ROI</v>
      </c>
      <c r="H397" s="13" cm="1">
        <f t="array" ref="H397">INDEX(Financials!$B$5:$AI$260,FinancialWalk!K397,FinancialWalk!L397)</f>
        <v>-0.10544452127325325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MarinusSnowyYallourn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83" t="str">
        <f t="shared" si="54"/>
        <v>Merchant with PPA and Sold Swap ROI</v>
      </c>
      <c r="H398" s="13" cm="1">
        <f t="array" ref="H398">INDEX(Financials!$B$5:$AI$260,FinancialWalk!K398,FinancialWalk!L398)</f>
        <v>-0.10544452127325325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MarinusSnowyYallourn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83" t="str">
        <f t="shared" si="54"/>
        <v>Merchant with PPA and Sold Swap ROI</v>
      </c>
      <c r="H399" s="13" cm="1">
        <f t="array" ref="H399">INDEX(Financials!$B$5:$AI$260,FinancialWalk!K399,FinancialWalk!L399)</f>
        <v>-0.71099904687782567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MarinusSnowyYallourn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83" t="str">
        <f t="shared" si="54"/>
        <v>Merchant with PPA and Sold Swap ROI</v>
      </c>
      <c r="H400" s="13" cm="1">
        <f t="array" ref="H400">INDEX(Financials!$B$5:$AI$260,FinancialWalk!K400,FinancialWalk!L400)</f>
        <v>0.6096038805741788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MarinusSnowyYallourn</v>
      </c>
      <c r="C401" t="s">
        <v>64</v>
      </c>
      <c r="D401">
        <v>1</v>
      </c>
      <c r="E401" t="s">
        <v>18</v>
      </c>
      <c r="F401" t="s">
        <v>34</v>
      </c>
      <c r="G401" s="83" t="s">
        <v>133</v>
      </c>
      <c r="H401" s="20" cm="1">
        <f t="array" ref="H401">INDEX(Financials!$B$5:$AI$260,FinancialWalk!K401,FinancialWalk!L401)</f>
        <v>210747078.11110634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MarinusSnowyYallourn</v>
      </c>
      <c r="C402" t="s">
        <v>64</v>
      </c>
      <c r="D402">
        <v>0.95</v>
      </c>
      <c r="E402" t="str">
        <f>E401</f>
        <v>Cal-37</v>
      </c>
      <c r="F402" t="s">
        <v>34</v>
      </c>
      <c r="G402" s="83" t="s">
        <v>133</v>
      </c>
      <c r="H402" s="20" cm="1">
        <f t="array" ref="H402">INDEX(Financials!$B$5:$AI$260,FinancialWalk!K402,FinancialWalk!L402)</f>
        <v>116590983.39388922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MarinusSnowyYallourn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83" t="s">
        <v>133</v>
      </c>
      <c r="H403" s="20" cm="1">
        <f t="array" ref="H403">INDEX(Financials!$B$5:$AI$260,FinancialWalk!K403,FinancialWalk!L403)</f>
        <v>116590983.39388922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MarinusSnowyYallourn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83" t="s">
        <v>133</v>
      </c>
      <c r="H404" s="20" cm="1">
        <f t="array" ref="H404">INDEX(Financials!$B$5:$AI$260,FinancialWalk!K404,FinancialWalk!L404)</f>
        <v>116590983.39388922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MarinusSnowyYallourn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83" t="s">
        <v>133</v>
      </c>
      <c r="H405" s="20" cm="1">
        <f t="array" ref="H405">INDEX(Financials!$B$5:$AI$260,FinancialWalk!K405,FinancialWalk!L405)</f>
        <v>69064115.966637835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MarinusSnowyYallourn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83" t="s">
        <v>133</v>
      </c>
      <c r="H406" s="20" cm="1">
        <f t="array" ref="H406">INDEX(Financials!$B$5:$AI$260,FinancialWalk!K406,FinancialWalk!L406)</f>
        <v>69064115.966637835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MarinusSnowyYallourn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83" t="s">
        <v>133</v>
      </c>
      <c r="H407" s="20" cm="1">
        <f t="array" ref="H407">INDEX(Financials!$B$5:$AI$260,FinancialWalk!K407,FinancialWalk!L407)</f>
        <v>69064115.966637835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MarinusSnowyYallourn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83" t="s">
        <v>133</v>
      </c>
      <c r="H408" s="20" cm="1">
        <f t="array" ref="H408">INDEX(Financials!$B$5:$AI$260,FinancialWalk!K408,FinancialWalk!L408)</f>
        <v>69064115.966637835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MarinusSnowyYallourn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83" t="s">
        <v>133</v>
      </c>
      <c r="H409" s="20" cm="1">
        <f t="array" ref="H409">INDEX(Financials!$B$5:$AI$260,FinancialWalk!K409,FinancialWalk!L409)</f>
        <v>33306934.575191323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MarinusSnowyYallourn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83" t="s">
        <v>133</v>
      </c>
      <c r="H410" s="20" cm="1">
        <f t="array" ref="H410">INDEX(Financials!$B$5:$AI$260,FinancialWalk!K410,FinancialWalk!L410)</f>
        <v>33306934.575191323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MarinusSnowyYallourn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83" t="s">
        <v>133</v>
      </c>
      <c r="H411" s="20" cm="1">
        <f t="array" ref="H411">INDEX(Financials!$B$5:$AI$260,FinancialWalk!K411,FinancialWalk!L411)</f>
        <v>33306934.575191323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MarinusSnowyYallourn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83" t="s">
        <v>133</v>
      </c>
      <c r="H412" s="20" cm="1">
        <f t="array" ref="H412">INDEX(Financials!$B$5:$AI$260,FinancialWalk!K412,FinancialWalk!L412)</f>
        <v>33306934.575191323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MarinusSnowyYallourn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83" t="s">
        <v>133</v>
      </c>
      <c r="H413" s="20" cm="1">
        <f t="array" ref="H413">INDEX(Financials!$B$5:$AI$260,FinancialWalk!K413,FinancialWalk!L413)</f>
        <v>33306934.575191323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MarinusSnowyYallourn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83" t="s">
        <v>133</v>
      </c>
      <c r="H414" s="20" cm="1">
        <f t="array" ref="H414">INDEX(Financials!$B$5:$AI$260,FinancialWalk!K414,FinancialWalk!L414)</f>
        <v>-3028479.3287430331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MarinusSnowyYallourn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83" t="s">
        <v>133</v>
      </c>
      <c r="H415" s="20" cm="1">
        <f t="array" ref="H415">INDEX(Financials!$B$5:$AI$260,FinancialWalk!K415,FinancialWalk!L415)</f>
        <v>-3028479.3287430331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MarinusSnowyYallourn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83" t="s">
        <v>133</v>
      </c>
      <c r="H416" s="20" cm="1">
        <f t="array" ref="H416">INDEX(Financials!$B$5:$AI$260,FinancialWalk!K416,FinancialWalk!L416)</f>
        <v>-3028479.3287430331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MarinusSnowyYallourn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83" t="s">
        <v>133</v>
      </c>
      <c r="H417" s="20" cm="1">
        <f t="array" ref="H417">INDEX(Financials!$B$5:$AI$260,FinancialWalk!K417,FinancialWalk!L417)</f>
        <v>-3028479.3287430331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MarinusSnowyYallourn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83" t="s">
        <v>133</v>
      </c>
      <c r="H418" s="20" cm="1">
        <f t="array" ref="H418">INDEX(Financials!$B$5:$AI$260,FinancialWalk!K418,FinancialWalk!L418)</f>
        <v>-45905279.50831449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MarinusSnowyYallourn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83" t="s">
        <v>133</v>
      </c>
      <c r="H419" s="20" cm="1">
        <f t="array" ref="H419">INDEX(Financials!$B$5:$AI$260,FinancialWalk!K419,FinancialWalk!L419)</f>
        <v>-45905279.50831449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MarinusSnowyYallourn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83" t="s">
        <v>133</v>
      </c>
      <c r="H420" s="20" cm="1">
        <f t="array" ref="H420">INDEX(Financials!$B$5:$AI$260,FinancialWalk!K420,FinancialWalk!L420)</f>
        <v>-45905279.50831449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MarinusSnowyYallourn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83" t="s">
        <v>133</v>
      </c>
      <c r="H421" s="20" cm="1">
        <f t="array" ref="H421">INDEX(Financials!$B$5:$AI$260,FinancialWalk!K421,FinancialWalk!L421)</f>
        <v>-89732156.895202324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MarinusSnowyYallourn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83" t="s">
        <v>133</v>
      </c>
      <c r="H422" s="20" cm="1">
        <f t="array" ref="H422">INDEX(Financials!$B$5:$AI$260,FinancialWalk!K422,FinancialWalk!L422)</f>
        <v>33739081.898688465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MarinusSnowyYallourn</v>
      </c>
      <c r="C423" t="s">
        <v>64</v>
      </c>
      <c r="D423">
        <v>1</v>
      </c>
      <c r="E423" t="s">
        <v>18</v>
      </c>
      <c r="F423" t="s">
        <v>44</v>
      </c>
      <c r="G423" s="83" t="s">
        <v>133</v>
      </c>
      <c r="H423" s="20" cm="1">
        <f t="array" ref="H423">INDEX(Financials!$B$5:$AI$260,FinancialWalk!K423,FinancialWalk!L423)</f>
        <v>210747078.11110634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MarinusSnowyYallourn</v>
      </c>
      <c r="C424" t="s">
        <v>64</v>
      </c>
      <c r="D424">
        <v>0.95</v>
      </c>
      <c r="E424" t="str">
        <f>E423</f>
        <v>Cal-37</v>
      </c>
      <c r="F424" t="s">
        <v>44</v>
      </c>
      <c r="G424" s="83" t="s">
        <v>133</v>
      </c>
      <c r="H424" s="20" cm="1">
        <f t="array" ref="H424">INDEX(Financials!$B$5:$AI$260,FinancialWalk!K424,FinancialWalk!L424)</f>
        <v>116590983.39388922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MarinusSnowyYallourn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83" t="s">
        <v>133</v>
      </c>
      <c r="H425" s="20" cm="1">
        <f t="array" ref="H425">INDEX(Financials!$B$5:$AI$260,FinancialWalk!K425,FinancialWalk!L425)</f>
        <v>116590983.39388922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MarinusSnowyYallourn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83" t="s">
        <v>133</v>
      </c>
      <c r="H426" s="20" cm="1">
        <f t="array" ref="H426">INDEX(Financials!$B$5:$AI$260,FinancialWalk!K426,FinancialWalk!L426)</f>
        <v>116590983.39388922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MarinusSnowyYallourn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83" t="s">
        <v>133</v>
      </c>
      <c r="H427" s="20" cm="1">
        <f t="array" ref="H427">INDEX(Financials!$B$5:$AI$260,FinancialWalk!K427,FinancialWalk!L427)</f>
        <v>69064115.966637835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MarinusSnowyYallourn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83" t="s">
        <v>133</v>
      </c>
      <c r="H428" s="20" cm="1">
        <f t="array" ref="H428">INDEX(Financials!$B$5:$AI$260,FinancialWalk!K428,FinancialWalk!L428)</f>
        <v>69064115.966637835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MarinusSnowyYallourn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83" t="s">
        <v>133</v>
      </c>
      <c r="H429" s="20" cm="1">
        <f t="array" ref="H429">INDEX(Financials!$B$5:$AI$260,FinancialWalk!K429,FinancialWalk!L429)</f>
        <v>69064115.966637835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MarinusSnowyYallourn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83" t="s">
        <v>133</v>
      </c>
      <c r="H430" s="20" cm="1">
        <f t="array" ref="H430">INDEX(Financials!$B$5:$AI$260,FinancialWalk!K430,FinancialWalk!L430)</f>
        <v>69064115.966637835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MarinusSnowyYallourn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83" t="s">
        <v>133</v>
      </c>
      <c r="H431" s="20" cm="1">
        <f t="array" ref="H431">INDEX(Financials!$B$5:$AI$260,FinancialWalk!K431,FinancialWalk!L431)</f>
        <v>33306934.575191323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MarinusSnowyYallourn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83" t="s">
        <v>133</v>
      </c>
      <c r="H432" s="20" cm="1">
        <f t="array" ref="H432">INDEX(Financials!$B$5:$AI$260,FinancialWalk!K432,FinancialWalk!L432)</f>
        <v>33306934.575191323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MarinusSnowyYallourn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83" t="s">
        <v>133</v>
      </c>
      <c r="H433" s="20" cm="1">
        <f t="array" ref="H433">INDEX(Financials!$B$5:$AI$260,FinancialWalk!K433,FinancialWalk!L433)</f>
        <v>33306934.575191323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MarinusSnowyYallourn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83" t="s">
        <v>133</v>
      </c>
      <c r="H434" s="20" cm="1">
        <f t="array" ref="H434">INDEX(Financials!$B$5:$AI$260,FinancialWalk!K434,FinancialWalk!L434)</f>
        <v>33306934.575191323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MarinusSnowyYallourn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83" t="s">
        <v>133</v>
      </c>
      <c r="H435" s="20" cm="1">
        <f t="array" ref="H435">INDEX(Financials!$B$5:$AI$260,FinancialWalk!K435,FinancialWalk!L435)</f>
        <v>33306934.575191323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MarinusSnowyYallourn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83" t="s">
        <v>133</v>
      </c>
      <c r="H436" s="20" cm="1">
        <f t="array" ref="H436">INDEX(Financials!$B$5:$AI$260,FinancialWalk!K436,FinancialWalk!L436)</f>
        <v>-3028479.3287430331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MarinusSnowyYallourn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83" t="s">
        <v>133</v>
      </c>
      <c r="H437" s="20" cm="1">
        <f t="array" ref="H437">INDEX(Financials!$B$5:$AI$260,FinancialWalk!K437,FinancialWalk!L437)</f>
        <v>-3028479.3287430331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MarinusSnowyYallourn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83" t="s">
        <v>133</v>
      </c>
      <c r="H438" s="20" cm="1">
        <f t="array" ref="H438">INDEX(Financials!$B$5:$AI$260,FinancialWalk!K438,FinancialWalk!L438)</f>
        <v>-3028479.3287430331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MarinusSnowyYallourn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83" t="s">
        <v>133</v>
      </c>
      <c r="H439" s="20" cm="1">
        <f t="array" ref="H439">INDEX(Financials!$B$5:$AI$260,FinancialWalk!K439,FinancialWalk!L439)</f>
        <v>-3028479.3287430331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MarinusSnowyYallourn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83" t="s">
        <v>133</v>
      </c>
      <c r="H440" s="20" cm="1">
        <f t="array" ref="H440">INDEX(Financials!$B$5:$AI$260,FinancialWalk!K440,FinancialWalk!L440)</f>
        <v>-45905279.50831449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MarinusSnowyYallourn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83" t="s">
        <v>133</v>
      </c>
      <c r="H441" s="20" cm="1">
        <f t="array" ref="H441">INDEX(Financials!$B$5:$AI$260,FinancialWalk!K441,FinancialWalk!L441)</f>
        <v>-45905279.50831449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MarinusSnowyYallourn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83" t="s">
        <v>133</v>
      </c>
      <c r="H442" s="20" cm="1">
        <f t="array" ref="H442">INDEX(Financials!$B$5:$AI$260,FinancialWalk!K442,FinancialWalk!L442)</f>
        <v>-45905279.50831449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MarinusSnowyYallourn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83" t="s">
        <v>133</v>
      </c>
      <c r="H443" s="20" cm="1">
        <f t="array" ref="H443">INDEX(Financials!$B$5:$AI$260,FinancialWalk!K443,FinancialWalk!L443)</f>
        <v>-86791075.469360143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MarinusSnowyYallourn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83" t="s">
        <v>133</v>
      </c>
      <c r="H444" s="20" cm="1">
        <f t="array" ref="H444">INDEX(Financials!$B$5:$AI$260,FinancialWalk!K444,FinancialWalk!L444)</f>
        <v>33739081.898688465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MarinusSnowyYallourn</v>
      </c>
      <c r="C445" t="s">
        <v>64</v>
      </c>
      <c r="D445">
        <v>1</v>
      </c>
      <c r="E445" t="s">
        <v>18</v>
      </c>
      <c r="F445" t="s">
        <v>34</v>
      </c>
      <c r="G445" s="83" t="s">
        <v>134</v>
      </c>
      <c r="H445" s="20" cm="1">
        <f t="array" ref="H445">INDEX(Financials!$B$5:$AI$260,FinancialWalk!K445,FinancialWalk!L445)</f>
        <v>210747078.11110634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MarinusSnowyYallourn</v>
      </c>
      <c r="C446" t="s">
        <v>64</v>
      </c>
      <c r="D446">
        <v>0.95</v>
      </c>
      <c r="E446" t="str">
        <f>E445</f>
        <v>Cal-37</v>
      </c>
      <c r="F446" t="s">
        <v>34</v>
      </c>
      <c r="G446" s="83" t="s">
        <v>134</v>
      </c>
      <c r="H446" s="20" cm="1">
        <f t="array" ref="H446">INDEX(Financials!$B$5:$AI$260,FinancialWalk!K446,FinancialWalk!L446)</f>
        <v>116590983.39388922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MarinusSnowyYallourn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83" t="s">
        <v>134</v>
      </c>
      <c r="H447" s="20" cm="1">
        <f t="array" ref="H447">INDEX(Financials!$B$5:$AI$260,FinancialWalk!K447,FinancialWalk!L447)</f>
        <v>116590983.39388922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MarinusSnowyYallourn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83" t="s">
        <v>134</v>
      </c>
      <c r="H448" s="20" cm="1">
        <f t="array" ref="H448">INDEX(Financials!$B$5:$AI$260,FinancialWalk!K448,FinancialWalk!L448)</f>
        <v>116590983.39388922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MarinusSnowyYallourn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83" t="s">
        <v>134</v>
      </c>
      <c r="H449" s="20" cm="1">
        <f t="array" ref="H449">INDEX(Financials!$B$5:$AI$260,FinancialWalk!K449,FinancialWalk!L449)</f>
        <v>69064115.966637835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MarinusSnowyYallourn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83" t="s">
        <v>134</v>
      </c>
      <c r="H450" s="20" cm="1">
        <f t="array" ref="H450">INDEX(Financials!$B$5:$AI$260,FinancialWalk!K450,FinancialWalk!L450)</f>
        <v>69064115.966637835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MarinusSnowyYallourn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83" t="s">
        <v>134</v>
      </c>
      <c r="H451" s="20" cm="1">
        <f t="array" ref="H451">INDEX(Financials!$B$5:$AI$260,FinancialWalk!K451,FinancialWalk!L451)</f>
        <v>69064115.966637835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MarinusSnowyYallourn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83" t="s">
        <v>134</v>
      </c>
      <c r="H452" s="20" cm="1">
        <f t="array" ref="H452">INDEX(Financials!$B$5:$AI$260,FinancialWalk!K452,FinancialWalk!L452)</f>
        <v>69064115.966637835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MarinusSnowyYallourn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83" t="s">
        <v>134</v>
      </c>
      <c r="H453" s="20" cm="1">
        <f t="array" ref="H453">INDEX(Financials!$B$5:$AI$260,FinancialWalk!K453,FinancialWalk!L453)</f>
        <v>33306934.575191323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MarinusSnowyYallourn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83" t="s">
        <v>134</v>
      </c>
      <c r="H454" s="20" cm="1">
        <f t="array" ref="H454">INDEX(Financials!$B$5:$AI$260,FinancialWalk!K454,FinancialWalk!L454)</f>
        <v>33306934.575191323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MarinusSnowyYallourn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83" t="s">
        <v>134</v>
      </c>
      <c r="H455" s="20" cm="1">
        <f t="array" ref="H455">INDEX(Financials!$B$5:$AI$260,FinancialWalk!K455,FinancialWalk!L455)</f>
        <v>33306934.575191323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MarinusSnowyYallourn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83" t="s">
        <v>134</v>
      </c>
      <c r="H456" s="20" cm="1">
        <f t="array" ref="H456">INDEX(Financials!$B$5:$AI$260,FinancialWalk!K456,FinancialWalk!L456)</f>
        <v>33306934.575191323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MarinusSnowyYallourn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83" t="s">
        <v>134</v>
      </c>
      <c r="H457" s="20" cm="1">
        <f t="array" ref="H457">INDEX(Financials!$B$5:$AI$260,FinancialWalk!K457,FinancialWalk!L457)</f>
        <v>33306934.575191323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MarinusSnowyYallourn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83" t="s">
        <v>134</v>
      </c>
      <c r="H458" s="20" cm="1">
        <f t="array" ref="H458">INDEX(Financials!$B$5:$AI$260,FinancialWalk!K458,FinancialWalk!L458)</f>
        <v>-3028479.3287430331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MarinusSnowyYallourn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83" t="s">
        <v>134</v>
      </c>
      <c r="H459" s="20" cm="1">
        <f t="array" ref="H459">INDEX(Financials!$B$5:$AI$260,FinancialWalk!K459,FinancialWalk!L459)</f>
        <v>-3028479.3287430331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MarinusSnowyYallourn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83" t="s">
        <v>134</v>
      </c>
      <c r="H460" s="20" cm="1">
        <f t="array" ref="H460">INDEX(Financials!$B$5:$AI$260,FinancialWalk!K460,FinancialWalk!L460)</f>
        <v>-3028479.3287430331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MarinusSnowyYallourn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83" t="s">
        <v>134</v>
      </c>
      <c r="H461" s="20" cm="1">
        <f t="array" ref="H461">INDEX(Financials!$B$5:$AI$260,FinancialWalk!K461,FinancialWalk!L461)</f>
        <v>-3028479.3287430331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MarinusSnowyYallourn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83" t="s">
        <v>134</v>
      </c>
      <c r="H462" s="20" cm="1">
        <f t="array" ref="H462">INDEX(Financials!$B$5:$AI$260,FinancialWalk!K462,FinancialWalk!L462)</f>
        <v>-45905279.50831449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MarinusSnowyYallourn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83" t="s">
        <v>134</v>
      </c>
      <c r="H463" s="20" cm="1">
        <f t="array" ref="H463">INDEX(Financials!$B$5:$AI$260,FinancialWalk!K463,FinancialWalk!L463)</f>
        <v>-45905279.50831449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MarinusSnowyYallourn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83" t="s">
        <v>134</v>
      </c>
      <c r="H464" s="20" cm="1">
        <f t="array" ref="H464">INDEX(Financials!$B$5:$AI$260,FinancialWalk!K464,FinancialWalk!L464)</f>
        <v>-45905279.50831449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MarinusSnowyYallourn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83" t="s">
        <v>134</v>
      </c>
      <c r="H465" s="20" cm="1">
        <f t="array" ref="H465">INDEX(Financials!$B$5:$AI$260,FinancialWalk!K465,FinancialWalk!L465)</f>
        <v>-89732156.895202324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MarinusSnowyYallourn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83" t="s">
        <v>134</v>
      </c>
      <c r="H466" s="20" cm="1">
        <f t="array" ref="H466">INDEX(Financials!$B$5:$AI$260,FinancialWalk!K466,FinancialWalk!L466)</f>
        <v>33739081.898688465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MarinusSnowyYallourn</v>
      </c>
      <c r="C467" t="s">
        <v>64</v>
      </c>
      <c r="D467">
        <v>1</v>
      </c>
      <c r="E467" t="s">
        <v>18</v>
      </c>
      <c r="F467" t="s">
        <v>44</v>
      </c>
      <c r="G467" s="83" t="s">
        <v>134</v>
      </c>
      <c r="H467" s="20" cm="1">
        <f t="array" ref="H467">INDEX(Financials!$B$5:$AI$260,FinancialWalk!K467,FinancialWalk!L467)</f>
        <v>210747078.11110634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MarinusSnowyYallourn</v>
      </c>
      <c r="C468" t="s">
        <v>64</v>
      </c>
      <c r="D468">
        <v>0.95</v>
      </c>
      <c r="E468" t="str">
        <f>E467</f>
        <v>Cal-37</v>
      </c>
      <c r="F468" t="s">
        <v>44</v>
      </c>
      <c r="G468" s="83" t="s">
        <v>134</v>
      </c>
      <c r="H468" s="20" cm="1">
        <f t="array" ref="H468">INDEX(Financials!$B$5:$AI$260,FinancialWalk!K468,FinancialWalk!L468)</f>
        <v>116590983.39388922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MarinusSnowyYallourn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83" t="s">
        <v>134</v>
      </c>
      <c r="H469" s="20" cm="1">
        <f t="array" ref="H469">INDEX(Financials!$B$5:$AI$260,FinancialWalk!K469,FinancialWalk!L469)</f>
        <v>116590983.39388922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MarinusSnowyYallourn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83" t="s">
        <v>134</v>
      </c>
      <c r="H470" s="20" cm="1">
        <f t="array" ref="H470">INDEX(Financials!$B$5:$AI$260,FinancialWalk!K470,FinancialWalk!L470)</f>
        <v>116590983.39388922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MarinusSnowyYallourn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83" t="s">
        <v>134</v>
      </c>
      <c r="H471" s="20" cm="1">
        <f t="array" ref="H471">INDEX(Financials!$B$5:$AI$260,FinancialWalk!K471,FinancialWalk!L471)</f>
        <v>69064115.966637835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MarinusSnowyYallourn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83" t="s">
        <v>134</v>
      </c>
      <c r="H472" s="20" cm="1">
        <f t="array" ref="H472">INDEX(Financials!$B$5:$AI$260,FinancialWalk!K472,FinancialWalk!L472)</f>
        <v>69064115.966637835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MarinusSnowyYallourn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83" t="s">
        <v>134</v>
      </c>
      <c r="H473" s="20" cm="1">
        <f t="array" ref="H473">INDEX(Financials!$B$5:$AI$260,FinancialWalk!K473,FinancialWalk!L473)</f>
        <v>69064115.966637835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MarinusSnowyYallourn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83" t="s">
        <v>134</v>
      </c>
      <c r="H474" s="20" cm="1">
        <f t="array" ref="H474">INDEX(Financials!$B$5:$AI$260,FinancialWalk!K474,FinancialWalk!L474)</f>
        <v>69064115.966637835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MarinusSnowyYallourn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83" t="s">
        <v>134</v>
      </c>
      <c r="H475" s="20" cm="1">
        <f t="array" ref="H475">INDEX(Financials!$B$5:$AI$260,FinancialWalk!K475,FinancialWalk!L475)</f>
        <v>33306934.575191323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MarinusSnowyYallourn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83" t="s">
        <v>134</v>
      </c>
      <c r="H476" s="20" cm="1">
        <f t="array" ref="H476">INDEX(Financials!$B$5:$AI$260,FinancialWalk!K476,FinancialWalk!L476)</f>
        <v>33306934.575191323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MarinusSnowyYallourn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83" t="s">
        <v>134</v>
      </c>
      <c r="H477" s="20" cm="1">
        <f t="array" ref="H477">INDEX(Financials!$B$5:$AI$260,FinancialWalk!K477,FinancialWalk!L477)</f>
        <v>33306934.575191323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MarinusSnowyYallourn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83" t="s">
        <v>134</v>
      </c>
      <c r="H478" s="20" cm="1">
        <f t="array" ref="H478">INDEX(Financials!$B$5:$AI$260,FinancialWalk!K478,FinancialWalk!L478)</f>
        <v>33306934.575191323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MarinusSnowyYallourn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83" t="s">
        <v>134</v>
      </c>
      <c r="H479" s="20" cm="1">
        <f t="array" ref="H479">INDEX(Financials!$B$5:$AI$260,FinancialWalk!K479,FinancialWalk!L479)</f>
        <v>33306934.575191323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MarinusSnowyYallourn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83" t="s">
        <v>134</v>
      </c>
      <c r="H480" s="20" cm="1">
        <f t="array" ref="H480">INDEX(Financials!$B$5:$AI$260,FinancialWalk!K480,FinancialWalk!L480)</f>
        <v>-3028479.3287430331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MarinusSnowyYallourn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83" t="s">
        <v>134</v>
      </c>
      <c r="H481" s="20" cm="1">
        <f t="array" ref="H481">INDEX(Financials!$B$5:$AI$260,FinancialWalk!K481,FinancialWalk!L481)</f>
        <v>-3028479.3287430331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MarinusSnowyYallourn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83" t="s">
        <v>134</v>
      </c>
      <c r="H482" s="20" cm="1">
        <f t="array" ref="H482">INDEX(Financials!$B$5:$AI$260,FinancialWalk!K482,FinancialWalk!L482)</f>
        <v>-3028479.3287430331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MarinusSnowyYallourn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83" t="s">
        <v>134</v>
      </c>
      <c r="H483" s="20" cm="1">
        <f t="array" ref="H483">INDEX(Financials!$B$5:$AI$260,FinancialWalk!K483,FinancialWalk!L483)</f>
        <v>-3028479.3287430331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MarinusSnowyYallourn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83" t="s">
        <v>134</v>
      </c>
      <c r="H484" s="20" cm="1">
        <f t="array" ref="H484">INDEX(Financials!$B$5:$AI$260,FinancialWalk!K484,FinancialWalk!L484)</f>
        <v>-45905279.50831449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MarinusSnowyYallourn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83" t="s">
        <v>134</v>
      </c>
      <c r="H485" s="20" cm="1">
        <f t="array" ref="H485">INDEX(Financials!$B$5:$AI$260,FinancialWalk!K485,FinancialWalk!L485)</f>
        <v>-45905279.50831449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MarinusSnowyYallourn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83" t="s">
        <v>134</v>
      </c>
      <c r="H486" s="20" cm="1">
        <f t="array" ref="H486">INDEX(Financials!$B$5:$AI$260,FinancialWalk!K486,FinancialWalk!L486)</f>
        <v>-45905279.50831449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MarinusSnowyYallourn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83" t="s">
        <v>134</v>
      </c>
      <c r="H487" s="20" cm="1">
        <f t="array" ref="H487">INDEX(Financials!$B$5:$AI$260,FinancialWalk!K487,FinancialWalk!L487)</f>
        <v>-86791075.469360143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MarinusSnowyYallourn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83" t="s">
        <v>134</v>
      </c>
      <c r="H488" s="20" cm="1">
        <f t="array" ref="H488">INDEX(Financials!$B$5:$AI$260,FinancialWalk!K488,FinancialWalk!L488)</f>
        <v>33739081.898688465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MarinusSnowyYallourn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-229955974.34521481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MarinusSnowyYallourn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-97094833.4490235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MarinusSnowyYallourn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-97094833.4490235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MarinusSnowyYallourn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-97094833.4490235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MarinusSnowyYallourn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-41358604.052379668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MarinusSnowyYallourn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-41358604.052379668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MarinusSnowyYallourn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-41358604.052379668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MarinusSnowyYallourn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-41358604.052379668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MarinusSnowyYallourn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-457695.00239632319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MarinusSnowyYallourn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-457695.00239632319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MarinusSnowyYallourn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-457695.00239632319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MarinusSnowyYallourn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-457695.00239632319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MarinusSnowyYallourn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-457695.00239632319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MarinusSnowyYallourn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44506072.861666963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MarinusSnowyYallourn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44506072.861666963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MarinusSnowyYallourn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44506072.861666963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MarinusSnowyYallourn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44506072.861666963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MarinusSnowyYallourn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104381431.07625179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MarinusSnowyYallourn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104381431.07625179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MarinusSnowyYallourn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104381431.07625179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MarinusSnowyYallourn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148205685.60417765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MarinusSnowyYallourn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2046862.973387138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MarinusSnowyYallourn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-229955974.34521481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MarinusSnowyYallourn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-97094833.4490235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MarinusSnowyYallourn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-97094833.4490235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MarinusSnowyYallourn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-97094833.4490235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MarinusSnowyYallourn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-41358604.052379668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MarinusSnowyYallourn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-41358604.052379668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MarinusSnowyYallourn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-41358604.052379668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MarinusSnowyYallourn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-41358604.052379668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MarinusSnowyYallourn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-457695.00239632319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MarinusSnowyYallourn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-457695.00239632319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MarinusSnowyYallourn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-457695.00239632319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MarinusSnowyYallourn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-457695.00239632319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MarinusSnowyYallourn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-457695.00239632319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MarinusSnowyYallourn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44506072.861666963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MarinusSnowyYallourn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44506072.861666963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MarinusSnowyYallourn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44506072.861666963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MarinusSnowyYallourn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44506072.861666963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MarinusSnowyYallourn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64565833.655413486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MarinusSnowyYallourn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64565833.655413486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MarinusSnowyYallourn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64565833.655413486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MarinusSnowyYallourn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84688963.202387229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MarinusSnowyYallourn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2046862.973387138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MarinusSnowyYallourn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-229955974.34521481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MarinusSnowyYallourn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-97094833.4490235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MarinusSnowyYallourn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-97094833.4490235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MarinusSnowyYallourn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-97094833.4490235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MarinusSnowyYallourn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-41358604.052379668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MarinusSnowyYallourn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-41358604.052379668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MarinusSnowyYallourn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-41358604.052379668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MarinusSnowyYallourn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-41358604.052379668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MarinusSnowyYallourn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-457695.00239632319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MarinusSnowyYallourn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-457695.00239632319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MarinusSnowyYallourn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-457695.00239632319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MarinusSnowyYallourn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-457695.00239632319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MarinusSnowyYallourn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-457695.00239632319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MarinusSnowyYallourn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44506072.861666963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MarinusSnowyYallourn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44506072.861666963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MarinusSnowyYallourn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44506072.861666963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MarinusSnowyYallourn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44506072.861666963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MarinusSnowyYallourn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104381431.07625179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MarinusSnowyYallourn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104381431.07625179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MarinusSnowyYallourn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104381431.07625179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MarinusSnowyYallourn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148205685.60417765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MarinusSnowyYallourn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2046862.973387138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MarinusSnowyYallourn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-229955974.34521481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MarinusSnowyYallourn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-97094833.4490235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MarinusSnowyYallourn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-97094833.4490235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MarinusSnowyYallourn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-97094833.4490235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MarinusSnowyYallourn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-41358604.052379668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MarinusSnowyYallourn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-41358604.052379668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MarinusSnowyYallourn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-41358604.052379668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MarinusSnowyYallourn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-41358604.052379668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MarinusSnowyYallourn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-457695.00239632319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MarinusSnowyYallourn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-457695.00239632319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MarinusSnowyYallourn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-457695.00239632319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MarinusSnowyYallourn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-457695.00239632319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MarinusSnowyYallourn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-457695.00239632319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MarinusSnowyYallourn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44506072.861666963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MarinusSnowyYallourn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44506072.861666963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MarinusSnowyYallourn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44506072.861666963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MarinusSnowyYallourn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44506072.861666963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MarinusSnowyYallourn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64565833.655413486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MarinusSnowyYallourn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64565833.655413486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MarinusSnowyYallourn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64565833.655413486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MarinusSnowyYallourn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84688963.202387229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MarinusSnowyYallourn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2046862.973387138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MarinusSnowyYallourn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23" cm="1">
        <f t="array" ref="H577">INDEX($U$27:$Y$34,K577,L577)</f>
        <v>28.753079502029138</v>
      </c>
      <c r="K577">
        <v>1</v>
      </c>
      <c r="L577">
        <v>1</v>
      </c>
    </row>
    <row r="578" spans="2:12" x14ac:dyDescent="0.3">
      <c r="B578" t="str">
        <f t="shared" si="76"/>
        <v>MarinusSnowyYallourn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23" cm="1">
        <f t="array" ref="H578">INDEX($U$27:$Y$34,K578,L578)</f>
        <v>16.328673302620953</v>
      </c>
      <c r="K578">
        <v>2</v>
      </c>
      <c r="L578">
        <v>1</v>
      </c>
    </row>
    <row r="579" spans="2:12" x14ac:dyDescent="0.3">
      <c r="B579" t="str">
        <f t="shared" si="76"/>
        <v>MarinusSnowyYallourn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23" cm="1">
        <f t="array" ref="H579">INDEX($U$27:$Y$34,K579,L579)</f>
        <v>8.9095977017957964</v>
      </c>
      <c r="K579">
        <v>3</v>
      </c>
      <c r="L579">
        <v>1</v>
      </c>
    </row>
    <row r="580" spans="2:12" x14ac:dyDescent="0.3">
      <c r="B580" t="str">
        <f t="shared" si="76"/>
        <v>MarinusSnowyYallourn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23" cm="1">
        <f t="array" ref="H580">INDEX($U$27:$Y$34,K580,L580)</f>
        <v>3.5165038893839768</v>
      </c>
      <c r="K580">
        <v>4</v>
      </c>
      <c r="L580">
        <v>1</v>
      </c>
    </row>
    <row r="581" spans="2:12" x14ac:dyDescent="0.3">
      <c r="B581" t="str">
        <f t="shared" si="76"/>
        <v>MarinusSnowyYallourn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23" cm="1">
        <f t="array" ref="H581">INDEX($U$27:$Y$34,K581,L581)</f>
        <v>-3.1178917500023497</v>
      </c>
      <c r="K581">
        <v>5</v>
      </c>
      <c r="L581">
        <v>1</v>
      </c>
    </row>
    <row r="582" spans="2:12" x14ac:dyDescent="0.3">
      <c r="B582" t="str">
        <f t="shared" si="76"/>
        <v>MarinusSnowyYallourn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23" cm="1">
        <f t="array" ref="H582">INDEX($U$27:$Y$34,K582,L582)</f>
        <v>-14.278836469748592</v>
      </c>
      <c r="K582">
        <v>6</v>
      </c>
      <c r="L582">
        <v>1</v>
      </c>
    </row>
    <row r="583" spans="2:12" x14ac:dyDescent="0.3">
      <c r="B583" t="str">
        <f t="shared" si="76"/>
        <v>MarinusSnowyYallourn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23" cm="1">
        <f t="array" ref="H583">INDEX($U$27:$Y$34,K583,L583)</f>
        <v>-38.067656827817515</v>
      </c>
      <c r="K583">
        <v>7</v>
      </c>
      <c r="L583">
        <v>1</v>
      </c>
    </row>
    <row r="584" spans="2:12" x14ac:dyDescent="0.3">
      <c r="B584" t="str">
        <f t="shared" si="76"/>
        <v>MarinusSnowyYallourn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23" cm="1">
        <f t="array" ref="H584">INDEX($U$27:$Y$34,K584,L584)</f>
        <v>3.6643471127642786</v>
      </c>
      <c r="K584">
        <v>8</v>
      </c>
      <c r="L584">
        <v>1</v>
      </c>
    </row>
    <row r="585" spans="2:12" x14ac:dyDescent="0.3">
      <c r="B585" t="str">
        <f>$B$2</f>
        <v>MarinusSnowyYallourn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23" cm="1">
        <f t="array" ref="H585">INDEX($U$27:$Y$34,K585,L585)</f>
        <v>26.057776574119085</v>
      </c>
      <c r="K585">
        <f>K577</f>
        <v>1</v>
      </c>
      <c r="L585">
        <f>L577+1</f>
        <v>2</v>
      </c>
    </row>
    <row r="586" spans="2:12" x14ac:dyDescent="0.3">
      <c r="B586" t="str">
        <f>B585</f>
        <v>MarinusSnowyYallourn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23" cm="1">
        <f t="array" ref="H586">INDEX($U$27:$Y$34,K586,L586)</f>
        <v>15.094936931129862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MarinusSnowyYallourn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23" cm="1">
        <f t="array" ref="H587">INDEX($U$27:$Y$34,K587,L587)</f>
        <v>9.2061783764944671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MarinusSnowyYallourn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23" cm="1">
        <f t="array" ref="H588">INDEX($U$27:$Y$34,K588,L588)</f>
        <v>4.5353996223712274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MarinusSnowyYallourn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23" cm="1">
        <f t="array" ref="H589">INDEX($U$27:$Y$34,K589,L589)</f>
        <v>-0.42159346616405274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MarinusSnowyYallourn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23" cm="1">
        <f t="array" ref="H590">INDEX($U$27:$Y$34,K590,L590)</f>
        <v>-6.6047335453667699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MarinusSnowyYallourn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23" cm="1">
        <f t="array" ref="H591">INDEX($U$27:$Y$34,K591,L591)</f>
        <v>-13.572201778225798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MarinusSnowyYallourn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23" cm="1">
        <f t="array" ref="H592">INDEX($U$27:$Y$34,K592,L592)</f>
        <v>4.5950354092779842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MarinusSnowyYallourn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23" cm="1">
        <f t="array" ref="H593">INDEX($U$27:$Y$34,K593,L593)</f>
        <v>26.912461492833586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MarinusSnowyYallourn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23" cm="1">
        <f t="array" ref="H594">INDEX($U$27:$Y$34,K594,L594)</f>
        <v>15.444659635928925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MarinusSnowyYallourn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23" cm="1">
        <f t="array" ref="H595">INDEX($U$27:$Y$34,K595,L595)</f>
        <v>9.1258307030418937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MarinusSnowyYallourn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23" cm="1">
        <f t="array" ref="H596">INDEX($U$27:$Y$34,K596,L596)</f>
        <v>4.2688615198420692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MarinusSnowyYallourn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23" cm="1">
        <f t="array" ref="H597">INDEX($U$27:$Y$34,K597,L597)</f>
        <v>-1.0859753550073417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MarinusSnowyYallourn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23" cm="1">
        <f t="array" ref="H598">INDEX($U$27:$Y$34,K598,L598)</f>
        <v>-8.3209931215308277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MarinusSnowyYallourn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23" cm="1">
        <f t="array" ref="H599">INDEX($U$27:$Y$34,K599,L599)</f>
        <v>-18.101010573294751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MarinusSnowyYallourn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23" cm="1">
        <f t="array" ref="H600">INDEX($U$27:$Y$34,K600,L600)</f>
        <v>4.3537671989779234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MarinusSnowyYallourn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23" cm="1">
        <f t="array" ref="H601">INDEX($U$27:$Y$34,K601,L601)</f>
        <v>-32.790892987852899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MarinusSnowyYallourn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23" cm="1">
        <f t="array" ref="H602">INDEX($U$27:$Y$34,K602,L602)</f>
        <v>-13.845373238795274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MarinusSnowyYallourn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23" cm="1">
        <f t="array" ref="H603">INDEX($U$27:$Y$34,K603,L603)</f>
        <v>-5.8975878468485723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MarinusSnowyYallourn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23" cm="1">
        <f t="array" ref="H604">INDEX($U$27:$Y$34,K604,L604)</f>
        <v>-6.5265657425895948E-2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MarinusSnowyYallourn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23" cm="1">
        <f t="array" ref="H605">INDEX($U$27:$Y$34,K605,L605)</f>
        <v>6.3464055529413308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MarinusSnowyYallourn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23" cm="1">
        <f t="array" ref="H606">INDEX($U$27:$Y$34,K606,L606)</f>
        <v>14.884415793442248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MarinusSnowyYallourn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23" cm="1">
        <f t="array" ref="H607">INDEX($U$27:$Y$34,K607,L607)</f>
        <v>21.133596509835964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MarinusSnowyYallourn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23" cm="1">
        <f t="array" ref="H608">INDEX($U$27:$Y$34,K608,L608)</f>
        <v>0.29187528139789215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MarinusSnowyYallourn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23" cm="1">
        <f t="array" ref="H609">INDEX($U$27:$Y$34,K609,L609)</f>
        <v>4.7079507672094261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MarinusSnowyYallourn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3.9000256626104601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MarinusSnowyYallourn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23" cm="1">
        <f t="array" ref="H611">INDEX($U$27:$Y$34,K611,L611)</f>
        <v>3.0366820460339747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MarinusSnowyYallourn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23" cm="1">
        <f t="array" ref="H612">INDEX($U$27:$Y$34,K612,L612)</f>
        <v>2.4765560753671378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MarinusSnowyYallourn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23" cm="1">
        <f t="array" ref="H613">INDEX($U$27:$Y$34,K613,L613)</f>
        <v>2.0643311900644936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MarinusSnowyYallourn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23" cm="1">
        <f t="array" ref="H614">INDEX($U$27:$Y$34,K614,L614)</f>
        <v>1.8720234279353989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MarinusSnowyYallourn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23" cm="1">
        <f t="array" ref="H615">INDEX($U$27:$Y$34,K615,L615)</f>
        <v>9.1716531013786393E-2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MarinusSnowyYallourn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23" cm="1">
        <f t="array" ref="H616">INDEX($U$27:$Y$34,K616,L616)</f>
        <v>2.6707278674584849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MarinusSnowyYallourn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23" cm="1">
        <f t="array" ref="H617">INDEX($AB$27:$AF$34,K617,L617)</f>
        <v>82.866324196744472</v>
      </c>
      <c r="K617">
        <f t="shared" si="80"/>
        <v>1</v>
      </c>
      <c r="L617">
        <v>1</v>
      </c>
    </row>
    <row r="618" spans="2:12" x14ac:dyDescent="0.3">
      <c r="B618" t="str">
        <f t="shared" si="86"/>
        <v>MarinusSnowyYallourn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23" cm="1">
        <f t="array" ref="H618">INDEX($AB$27:$AF$34,K618,L618)</f>
        <v>45.309096425675428</v>
      </c>
      <c r="K618">
        <f t="shared" si="80"/>
        <v>2</v>
      </c>
      <c r="L618">
        <v>1</v>
      </c>
    </row>
    <row r="619" spans="2:12" x14ac:dyDescent="0.3">
      <c r="B619" t="str">
        <f t="shared" si="86"/>
        <v>MarinusSnowyYallourn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23" cm="1">
        <f t="array" ref="H619">INDEX($AB$27:$AF$34,K619,L619)</f>
        <v>27.854871238404183</v>
      </c>
      <c r="K619">
        <f t="shared" si="80"/>
        <v>3</v>
      </c>
      <c r="L619">
        <v>1</v>
      </c>
    </row>
    <row r="620" spans="2:12" x14ac:dyDescent="0.3">
      <c r="B620" t="str">
        <f t="shared" si="86"/>
        <v>MarinusSnowyYallourn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23" cm="1">
        <f t="array" ref="H620">INDEX($AB$27:$AF$34,K620,L620)</f>
        <v>12.0755558224994</v>
      </c>
      <c r="K620">
        <f t="shared" si="80"/>
        <v>4</v>
      </c>
      <c r="L620">
        <v>1</v>
      </c>
    </row>
    <row r="621" spans="2:12" x14ac:dyDescent="0.3">
      <c r="B621" t="str">
        <f t="shared" si="86"/>
        <v>MarinusSnowyYallourn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23" cm="1">
        <f t="array" ref="H621">INDEX($AB$27:$AF$34,K621,L621)</f>
        <v>-11.725991633455493</v>
      </c>
      <c r="K621">
        <f t="shared" si="80"/>
        <v>5</v>
      </c>
      <c r="L621">
        <v>1</v>
      </c>
    </row>
    <row r="622" spans="2:12" x14ac:dyDescent="0.3">
      <c r="B622" t="str">
        <f t="shared" si="86"/>
        <v>MarinusSnowyYallourn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23" cm="1">
        <f t="array" ref="H622">INDEX($AB$27:$AF$34,K622,L622)</f>
        <v>-57.912042364809658</v>
      </c>
      <c r="K622">
        <f t="shared" si="80"/>
        <v>6</v>
      </c>
      <c r="L622">
        <v>1</v>
      </c>
    </row>
    <row r="623" spans="2:12" x14ac:dyDescent="0.3">
      <c r="B623" t="str">
        <f t="shared" si="86"/>
        <v>MarinusSnowyYallourn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23" cm="1">
        <f t="array" ref="H623">INDEX($AB$27:$AF$34,K623,L623)</f>
        <v>-153.5639519790131</v>
      </c>
      <c r="K623">
        <f t="shared" si="80"/>
        <v>7</v>
      </c>
      <c r="L623">
        <v>1</v>
      </c>
    </row>
    <row r="624" spans="2:12" x14ac:dyDescent="0.3">
      <c r="B624" t="str">
        <f t="shared" si="86"/>
        <v>MarinusSnowyYallourn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23" cm="1">
        <f t="array" ref="H624">INDEX($AB$27:$AF$34,K624,L624)</f>
        <v>11.015209873454751</v>
      </c>
      <c r="K624">
        <f t="shared" si="80"/>
        <v>8</v>
      </c>
      <c r="L624">
        <v>1</v>
      </c>
    </row>
    <row r="625" spans="2:12" x14ac:dyDescent="0.3">
      <c r="B625" t="str">
        <f>$B$2</f>
        <v>MarinusSnowyYallourn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23" cm="1">
        <f t="array" ref="H625">INDEX($AB$27:$AF$34,K625,L625)</f>
        <v>26.057776574119085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MarinusSnowyYallourn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23" cm="1">
        <f t="array" ref="H626">INDEX($AB$27:$AF$34,K626,L626)</f>
        <v>15.094936931129862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MarinusSnowyYallourn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23" cm="1">
        <f t="array" ref="H627">INDEX($AB$27:$AF$34,K627,L627)</f>
        <v>9.2061783764944671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MarinusSnowyYallourn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23" cm="1">
        <f t="array" ref="H628">INDEX($AB$27:$AF$34,K628,L628)</f>
        <v>4.5353996223712274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MarinusSnowyYallourn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23" cm="1">
        <f t="array" ref="H629">INDEX($AB$27:$AF$34,K629,L629)</f>
        <v>-0.42159346616405274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MarinusSnowyYallourn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23" cm="1">
        <f t="array" ref="H630">INDEX($AB$27:$AF$34,K630,L630)</f>
        <v>-6.6047335453667699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MarinusSnowyYallourn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23" cm="1">
        <f t="array" ref="H631">INDEX($AB$27:$AF$34,K631,L631)</f>
        <v>-13.127356229663526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MarinusSnowyYallourn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23" cm="1">
        <f t="array" ref="H632">INDEX($AB$27:$AF$34,K632,L632)</f>
        <v>4.5950354092779842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MarinusSnowyYallourn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23" cm="1">
        <f t="array" ref="H633">INDEX($AB$27:$AF$34,K633,L633)</f>
        <v>32.426858771546705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MarinusSnowyYallourn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23" cm="1">
        <f t="array" ref="H634">INDEX($AB$27:$AF$34,K634,L634)</f>
        <v>18.176814859528882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MarinusSnowyYallourn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23" cm="1">
        <f t="array" ref="H635">INDEX($AB$27:$AF$34,K635,L635)</f>
        <v>10.97772019715954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MarinusSnowyYallourn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23" cm="1">
        <f t="array" ref="H636">INDEX($AB$27:$AF$34,K636,L636)</f>
        <v>5.1917562095980481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MarinusSnowyYallourn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23" cm="1">
        <f t="array" ref="H637">INDEX($AB$27:$AF$34,K637,L637)</f>
        <v>-1.28258369648829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MarinusSnowyYallourn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23" cm="1">
        <f t="array" ref="H638">INDEX($AB$27:$AF$34,K638,L638)</f>
        <v>-9.7355245163145145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MarinusSnowyYallourn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23" cm="1">
        <f t="array" ref="H639">INDEX($AB$27:$AF$34,K639,L639)</f>
        <v>-19.523627667477218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MarinusSnowyYallourn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23" cm="1">
        <f t="array" ref="H640">INDEX($AB$27:$AF$34,K640,L640)</f>
        <v>5.1435483832435702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MarinusSnowyYallourn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23" cm="1">
        <f t="array" ref="H641">INDEX($AB$27:$AF$34,K641,L641)</f>
        <v>-32.790892987852899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MarinusSnowyYallourn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23" cm="1">
        <f t="array" ref="H642">INDEX($AB$27:$AF$34,K642,L642)</f>
        <v>-13.845373238795274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MarinusSnowyYallourn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23" cm="1">
        <f t="array" ref="H643">INDEX($AB$27:$AF$34,K643,L643)</f>
        <v>-5.8975878468485723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MarinusSnowyYallourn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23" cm="1">
        <f t="array" ref="H644">INDEX($AB$27:$AF$34,K644,L644)</f>
        <v>-6.5265657425895948E-2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MarinusSnowyYallourn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23" cm="1">
        <f t="array" ref="H645">INDEX($AB$27:$AF$34,K645,L645)</f>
        <v>6.3464055529413308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MarinusSnowyYallourn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23" cm="1">
        <f t="array" ref="H646">INDEX($AB$27:$AF$34,K646,L646)</f>
        <v>9.2068551299642785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MarinusSnowyYallourn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23" cm="1">
        <f t="array" ref="H647">INDEX($AB$27:$AF$34,K647,L647)</f>
        <v>12.076340862763407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MarinusSnowyYallourn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23" cm="1">
        <f t="array" ref="H648">INDEX($AB$27:$AF$34,K648,L648)</f>
        <v>0.29187528139789215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MarinusSnowyYallourn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23" cm="1">
        <f t="array" ref="H649">INDEX($AB$27:$AF$34,K649,L649)</f>
        <v>4.0577558088742043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MarinusSnowyYallourn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3.794495322551402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MarinusSnowyYallourn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23" cm="1">
        <f t="array" ref="H651">INDEX($AB$27:$AF$34,K651,L651)</f>
        <v>3.2439777746164777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MarinusSnowyYallourn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23" cm="1">
        <f t="array" ref="H652">INDEX($AB$27:$AF$34,K652,L652)</f>
        <v>2.7432624533971071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MarinusSnowyYallourn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23" cm="1">
        <f t="array" ref="H653">INDEX($AB$27:$AF$34,K653,L653)</f>
        <v>2.335146689344235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MarinusSnowyYallourn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23" cm="1">
        <f t="array" ref="H654">INDEX($AB$27:$AF$34,K654,L654)</f>
        <v>-0.52007977662729943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MarinusSnowyYallourn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23" cm="1">
        <f t="array" ref="H655">INDEX($AB$27:$AF$34,K655,L655)</f>
        <v>-3.6263472439300419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MarinusSnowyYallourn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23" cm="1">
        <f t="array" ref="H656">INDEX($AB$27:$AF$34,K656,L656)</f>
        <v>2.8815106277008229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2020-08-12T09:05:09Z</dcterms:modified>
</cp:coreProperties>
</file>