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.sharepoint.com/sites/TEP-Group4/Shared Documents/General/"/>
    </mc:Choice>
  </mc:AlternateContent>
  <xr:revisionPtr revIDLastSave="17" documentId="13_ncr:1_{016B1D6B-C4CA-4D39-A94A-9663EEDAA1C0}" xr6:coauthVersionLast="45" xr6:coauthVersionMax="45" xr10:uidLastSave="{5AA6EE84-4869-4EDF-95EF-A2C316663B68}"/>
  <bookViews>
    <workbookView xWindow="-110" yWindow="-110" windowWidth="19420" windowHeight="10420" tabRatio="907" firstSheet="1" activeTab="2" xr2:uid="{34A149CA-A0AF-44D3-90BC-D5D40AB1FB3E}"/>
  </bookViews>
  <sheets>
    <sheet name="Technology" sheetId="2" r:id="rId1"/>
    <sheet name="Trend" sheetId="6" r:id="rId2"/>
    <sheet name="KPIs" sheetId="5" r:id="rId3"/>
    <sheet name="KPIs weighted (1)" sheetId="9" r:id="rId4"/>
    <sheet name="KPI Points" sheetId="10" r:id="rId5"/>
    <sheet name="Limitations" sheetId="15" r:id="rId6"/>
    <sheet name="KPIs weighted (2)" sheetId="12" r:id="rId7"/>
    <sheet name="Capital Employed Scaled" sheetId="14" r:id="rId8"/>
    <sheet name="LCOE &amp; CO2 Scaled" sheetId="13" r:id="rId9"/>
    <sheet name="Scenario 1" sheetId="7" r:id="rId10"/>
    <sheet name="Scenario 2" sheetId="4" r:id="rId11"/>
    <sheet name="Scenario 3" sheetId="3" r:id="rId12"/>
    <sheet name="Summary" sheetId="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64" i="7" l="1"/>
  <c r="C164" i="7"/>
  <c r="D152" i="7"/>
  <c r="C10" i="7" l="1"/>
  <c r="C11" i="7"/>
  <c r="C12" i="7"/>
  <c r="C13" i="7"/>
  <c r="C14" i="7"/>
  <c r="C15" i="7"/>
  <c r="C16" i="7"/>
  <c r="C17" i="7"/>
  <c r="C5" i="7"/>
  <c r="C6" i="7"/>
  <c r="B31" i="15" l="1"/>
  <c r="D163" i="4" l="1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D153" i="4" l="1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C163" i="4"/>
  <c r="C153" i="4"/>
  <c r="C152" i="4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C163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C152" i="7"/>
  <c r="N17" i="4" l="1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C17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C16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C15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C14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C13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C12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C11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C10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C9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C5" i="4"/>
  <c r="C6" i="4"/>
  <c r="C37" i="7" l="1"/>
  <c r="D56" i="7" s="1"/>
  <c r="C39" i="7"/>
  <c r="AL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L124" i="4"/>
  <c r="AL123" i="4"/>
  <c r="AL122" i="4"/>
  <c r="AL121" i="4"/>
  <c r="AL120" i="4"/>
  <c r="AL119" i="4"/>
  <c r="AL118" i="4"/>
  <c r="AL117" i="4"/>
  <c r="AL116" i="4"/>
  <c r="AL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L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L113" i="4"/>
  <c r="AL112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C105" i="4" s="1"/>
  <c r="C48" i="4"/>
  <c r="Y33" i="4"/>
  <c r="Y32" i="4"/>
  <c r="Y31" i="4"/>
  <c r="Y30" i="4"/>
  <c r="Y29" i="4"/>
  <c r="Y28" i="4"/>
  <c r="Y27" i="4"/>
  <c r="Y26" i="4"/>
  <c r="Y25" i="4"/>
  <c r="AE33" i="4"/>
  <c r="AD33" i="4"/>
  <c r="U80" i="4"/>
  <c r="AA47" i="4"/>
  <c r="U33" i="4"/>
  <c r="T24" i="4"/>
  <c r="S47" i="4"/>
  <c r="P25" i="4"/>
  <c r="O33" i="4"/>
  <c r="Y60" i="4"/>
  <c r="C47" i="4"/>
  <c r="AD11" i="7"/>
  <c r="AL113" i="7"/>
  <c r="AL114" i="7"/>
  <c r="AL115" i="7"/>
  <c r="AL116" i="7"/>
  <c r="AL117" i="7"/>
  <c r="AL118" i="7"/>
  <c r="AL119" i="7"/>
  <c r="AL120" i="7"/>
  <c r="AL121" i="7"/>
  <c r="AL122" i="7"/>
  <c r="AL123" i="7"/>
  <c r="AL124" i="7"/>
  <c r="AL125" i="7"/>
  <c r="AL112" i="7"/>
  <c r="F36" i="14"/>
  <c r="C34" i="9"/>
  <c r="E10" i="6"/>
  <c r="C8" i="5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C125" i="7"/>
  <c r="C114" i="7"/>
  <c r="C103" i="7"/>
  <c r="C105" i="7" s="1"/>
  <c r="C48" i="7"/>
  <c r="AH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D105" i="7" l="1"/>
  <c r="AG66" i="4"/>
  <c r="AG65" i="4"/>
  <c r="AG64" i="4"/>
  <c r="AG63" i="4"/>
  <c r="AG62" i="4"/>
  <c r="AG61" i="4"/>
  <c r="AG60" i="4"/>
  <c r="AG56" i="4"/>
  <c r="Q83" i="4"/>
  <c r="Q82" i="4"/>
  <c r="Q81" i="4"/>
  <c r="Q80" i="4"/>
  <c r="Q77" i="4"/>
  <c r="Q76" i="4"/>
  <c r="Q75" i="4"/>
  <c r="Q74" i="4"/>
  <c r="Q73" i="4"/>
  <c r="Q79" i="4"/>
  <c r="AG83" i="4"/>
  <c r="AG82" i="4"/>
  <c r="AG81" i="4"/>
  <c r="AG80" i="4"/>
  <c r="AG77" i="4"/>
  <c r="AG76" i="4"/>
  <c r="AG75" i="4"/>
  <c r="AG74" i="4"/>
  <c r="AG73" i="4"/>
  <c r="AG78" i="4"/>
  <c r="AG79" i="4"/>
  <c r="O18" i="4"/>
  <c r="AA18" i="4"/>
  <c r="C23" i="4"/>
  <c r="S23" i="4"/>
  <c r="AA23" i="4"/>
  <c r="S24" i="4"/>
  <c r="AA24" i="4"/>
  <c r="C25" i="4"/>
  <c r="O25" i="4"/>
  <c r="S25" i="4"/>
  <c r="N26" i="4"/>
  <c r="S26" i="4"/>
  <c r="N27" i="4"/>
  <c r="S27" i="4"/>
  <c r="AD28" i="4"/>
  <c r="C29" i="4"/>
  <c r="N29" i="4"/>
  <c r="AD29" i="4"/>
  <c r="C30" i="4"/>
  <c r="AD30" i="4"/>
  <c r="C31" i="4"/>
  <c r="N31" i="4"/>
  <c r="S31" i="4"/>
  <c r="N32" i="4"/>
  <c r="S32" i="4"/>
  <c r="N33" i="4"/>
  <c r="S33" i="4"/>
  <c r="AH34" i="4"/>
  <c r="R35" i="4"/>
  <c r="R42" i="4"/>
  <c r="AH43" i="4"/>
  <c r="R44" i="4"/>
  <c r="AH44" i="4"/>
  <c r="R45" i="4"/>
  <c r="AH45" i="4"/>
  <c r="Z46" i="4"/>
  <c r="Z47" i="4"/>
  <c r="AA58" i="4"/>
  <c r="AA79" i="4"/>
  <c r="M83" i="4"/>
  <c r="M79" i="4"/>
  <c r="M78" i="4"/>
  <c r="M77" i="4"/>
  <c r="M76" i="4"/>
  <c r="M75" i="4"/>
  <c r="M74" i="4"/>
  <c r="M73" i="4"/>
  <c r="M82" i="4"/>
  <c r="M81" i="4"/>
  <c r="M80" i="4"/>
  <c r="X47" i="4"/>
  <c r="X46" i="4"/>
  <c r="X45" i="4"/>
  <c r="X44" i="4"/>
  <c r="X43" i="4"/>
  <c r="X42" i="4"/>
  <c r="X35" i="4"/>
  <c r="X34" i="4"/>
  <c r="X33" i="4"/>
  <c r="X32" i="4"/>
  <c r="X31" i="4"/>
  <c r="X30" i="4"/>
  <c r="X29" i="4"/>
  <c r="X28" i="4"/>
  <c r="X27" i="4"/>
  <c r="X26" i="4"/>
  <c r="X25" i="4"/>
  <c r="AC83" i="4"/>
  <c r="AC79" i="4"/>
  <c r="AC78" i="4"/>
  <c r="AC77" i="4"/>
  <c r="AC76" i="4"/>
  <c r="AC75" i="4"/>
  <c r="AC74" i="4"/>
  <c r="AC73" i="4"/>
  <c r="AF47" i="4"/>
  <c r="AF46" i="4"/>
  <c r="AF45" i="4"/>
  <c r="AF44" i="4"/>
  <c r="AF43" i="4"/>
  <c r="AF35" i="4"/>
  <c r="AF34" i="4"/>
  <c r="AF33" i="4"/>
  <c r="AF32" i="4"/>
  <c r="AF31" i="4"/>
  <c r="AF30" i="4"/>
  <c r="AF29" i="4"/>
  <c r="AF28" i="4"/>
  <c r="AF27" i="4"/>
  <c r="AF26" i="4"/>
  <c r="AF25" i="4"/>
  <c r="AC82" i="4"/>
  <c r="AC81" i="4"/>
  <c r="AC80" i="4"/>
  <c r="P18" i="4"/>
  <c r="T18" i="4"/>
  <c r="X18" i="4"/>
  <c r="AB18" i="4"/>
  <c r="AF18" i="4"/>
  <c r="P23" i="4"/>
  <c r="T23" i="4"/>
  <c r="X23" i="4"/>
  <c r="AB23" i="4"/>
  <c r="AF23" i="4"/>
  <c r="P24" i="4"/>
  <c r="X24" i="4"/>
  <c r="AB24" i="4"/>
  <c r="AF24" i="4"/>
  <c r="U25" i="4"/>
  <c r="Z25" i="4"/>
  <c r="AE25" i="4"/>
  <c r="O26" i="4"/>
  <c r="U26" i="4"/>
  <c r="Z26" i="4"/>
  <c r="AE26" i="4"/>
  <c r="O27" i="4"/>
  <c r="U27" i="4"/>
  <c r="Z27" i="4"/>
  <c r="AE27" i="4"/>
  <c r="O28" i="4"/>
  <c r="U28" i="4"/>
  <c r="Z28" i="4"/>
  <c r="AE28" i="4"/>
  <c r="O29" i="4"/>
  <c r="U29" i="4"/>
  <c r="Z29" i="4"/>
  <c r="AE29" i="4"/>
  <c r="O30" i="4"/>
  <c r="U30" i="4"/>
  <c r="Z30" i="4"/>
  <c r="AE30" i="4"/>
  <c r="O31" i="4"/>
  <c r="U31" i="4"/>
  <c r="Z31" i="4"/>
  <c r="AE31" i="4"/>
  <c r="O32" i="4"/>
  <c r="U32" i="4"/>
  <c r="Z32" i="4"/>
  <c r="AE32" i="4"/>
  <c r="Z33" i="4"/>
  <c r="S34" i="4"/>
  <c r="AA34" i="4"/>
  <c r="C35" i="4"/>
  <c r="S35" i="4"/>
  <c r="AA35" i="4"/>
  <c r="C37" i="4"/>
  <c r="C38" i="4"/>
  <c r="C39" i="4"/>
  <c r="C40" i="4"/>
  <c r="C41" i="4"/>
  <c r="C42" i="4"/>
  <c r="S42" i="4"/>
  <c r="AA42" i="4"/>
  <c r="C43" i="4"/>
  <c r="S43" i="4"/>
  <c r="AA43" i="4"/>
  <c r="C44" i="4"/>
  <c r="S44" i="4"/>
  <c r="AA44" i="4"/>
  <c r="C45" i="4"/>
  <c r="S45" i="4"/>
  <c r="AA45" i="4"/>
  <c r="C46" i="4"/>
  <c r="S46" i="4"/>
  <c r="AA46" i="4"/>
  <c r="AG58" i="4"/>
  <c r="Y59" i="4"/>
  <c r="Y66" i="4"/>
  <c r="Y65" i="4"/>
  <c r="Y64" i="4"/>
  <c r="Y63" i="4"/>
  <c r="Y62" i="4"/>
  <c r="Y61" i="4"/>
  <c r="Y58" i="4"/>
  <c r="Y57" i="4"/>
  <c r="Y56" i="4"/>
  <c r="I83" i="4"/>
  <c r="I82" i="4"/>
  <c r="I81" i="4"/>
  <c r="I80" i="4"/>
  <c r="I79" i="4"/>
  <c r="I78" i="4"/>
  <c r="I77" i="4"/>
  <c r="I76" i="4"/>
  <c r="I75" i="4"/>
  <c r="I74" i="4"/>
  <c r="I73" i="4"/>
  <c r="Y83" i="4"/>
  <c r="Y82" i="4"/>
  <c r="Y81" i="4"/>
  <c r="Y80" i="4"/>
  <c r="Y79" i="4"/>
  <c r="Y78" i="4"/>
  <c r="Y77" i="4"/>
  <c r="Y76" i="4"/>
  <c r="Y75" i="4"/>
  <c r="Y74" i="4"/>
  <c r="Y73" i="4"/>
  <c r="C66" i="4"/>
  <c r="C65" i="4"/>
  <c r="C64" i="4"/>
  <c r="C63" i="4"/>
  <c r="C62" i="4"/>
  <c r="C61" i="4"/>
  <c r="C60" i="4"/>
  <c r="C57" i="4"/>
  <c r="C56" i="4"/>
  <c r="C59" i="4"/>
  <c r="C58" i="4"/>
  <c r="C49" i="4"/>
  <c r="AA66" i="4"/>
  <c r="AA65" i="4"/>
  <c r="AA64" i="4"/>
  <c r="AA63" i="4"/>
  <c r="AA62" i="4"/>
  <c r="AA61" i="4"/>
  <c r="AA60" i="4"/>
  <c r="AA59" i="4"/>
  <c r="AA56" i="4"/>
  <c r="C83" i="4"/>
  <c r="C82" i="4"/>
  <c r="C81" i="4"/>
  <c r="C78" i="4"/>
  <c r="C77" i="4"/>
  <c r="C76" i="4"/>
  <c r="C75" i="4"/>
  <c r="C74" i="4"/>
  <c r="C73" i="4"/>
  <c r="C80" i="4"/>
  <c r="C79" i="4"/>
  <c r="K83" i="4"/>
  <c r="K82" i="4"/>
  <c r="K81" i="4"/>
  <c r="K80" i="4"/>
  <c r="K78" i="4"/>
  <c r="K77" i="4"/>
  <c r="K76" i="4"/>
  <c r="K75" i="4"/>
  <c r="K74" i="4"/>
  <c r="K73" i="4"/>
  <c r="K79" i="4"/>
  <c r="S83" i="4"/>
  <c r="S82" i="4"/>
  <c r="S81" i="4"/>
  <c r="S80" i="4"/>
  <c r="S77" i="4"/>
  <c r="S76" i="4"/>
  <c r="S75" i="4"/>
  <c r="S74" i="4"/>
  <c r="S73" i="4"/>
  <c r="S79" i="4"/>
  <c r="S78" i="4"/>
  <c r="AA83" i="4"/>
  <c r="AA82" i="4"/>
  <c r="AA81" i="4"/>
  <c r="AA80" i="4"/>
  <c r="AA77" i="4"/>
  <c r="AA76" i="4"/>
  <c r="AA75" i="4"/>
  <c r="AA74" i="4"/>
  <c r="AA73" i="4"/>
  <c r="AA78" i="4"/>
  <c r="C18" i="4"/>
  <c r="S18" i="4"/>
  <c r="W18" i="4"/>
  <c r="AE18" i="4"/>
  <c r="O23" i="4"/>
  <c r="W23" i="4"/>
  <c r="AE23" i="4"/>
  <c r="C24" i="4"/>
  <c r="O24" i="4"/>
  <c r="W24" i="4"/>
  <c r="AE24" i="4"/>
  <c r="AD25" i="4"/>
  <c r="C26" i="4"/>
  <c r="AD26" i="4"/>
  <c r="C27" i="4"/>
  <c r="AD27" i="4"/>
  <c r="C28" i="4"/>
  <c r="N28" i="4"/>
  <c r="S28" i="4"/>
  <c r="S29" i="4"/>
  <c r="N30" i="4"/>
  <c r="S30" i="4"/>
  <c r="AD31" i="4"/>
  <c r="C32" i="4"/>
  <c r="AD32" i="4"/>
  <c r="C33" i="4"/>
  <c r="C34" i="4"/>
  <c r="R34" i="4"/>
  <c r="Z34" i="4"/>
  <c r="Z35" i="4"/>
  <c r="AH35" i="4"/>
  <c r="Z42" i="4"/>
  <c r="R43" i="4"/>
  <c r="Z43" i="4"/>
  <c r="Z44" i="4"/>
  <c r="Z45" i="4"/>
  <c r="R46" i="4"/>
  <c r="AH46" i="4"/>
  <c r="R47" i="4"/>
  <c r="AH47" i="4"/>
  <c r="AC66" i="4"/>
  <c r="AC65" i="4"/>
  <c r="AC64" i="4"/>
  <c r="AC63" i="4"/>
  <c r="AC62" i="4"/>
  <c r="AC61" i="4"/>
  <c r="AC60" i="4"/>
  <c r="AC59" i="4"/>
  <c r="P47" i="4"/>
  <c r="P46" i="4"/>
  <c r="P45" i="4"/>
  <c r="P44" i="4"/>
  <c r="P43" i="4"/>
  <c r="P42" i="4"/>
  <c r="P35" i="4"/>
  <c r="P34" i="4"/>
  <c r="P33" i="4"/>
  <c r="P32" i="4"/>
  <c r="P31" i="4"/>
  <c r="P30" i="4"/>
  <c r="P29" i="4"/>
  <c r="P28" i="4"/>
  <c r="P27" i="4"/>
  <c r="P26" i="4"/>
  <c r="AC58" i="4"/>
  <c r="AC57" i="4"/>
  <c r="AC56" i="4"/>
  <c r="E80" i="4"/>
  <c r="E79" i="4"/>
  <c r="E78" i="4"/>
  <c r="E77" i="4"/>
  <c r="E76" i="4"/>
  <c r="E75" i="4"/>
  <c r="E74" i="4"/>
  <c r="E73" i="4"/>
  <c r="E83" i="4"/>
  <c r="E82" i="4"/>
  <c r="E81" i="4"/>
  <c r="T47" i="4"/>
  <c r="T46" i="4"/>
  <c r="T45" i="4"/>
  <c r="T44" i="4"/>
  <c r="T43" i="4"/>
  <c r="T42" i="4"/>
  <c r="T35" i="4"/>
  <c r="T34" i="4"/>
  <c r="T33" i="4"/>
  <c r="T32" i="4"/>
  <c r="T31" i="4"/>
  <c r="T30" i="4"/>
  <c r="T29" i="4"/>
  <c r="T28" i="4"/>
  <c r="T27" i="4"/>
  <c r="T26" i="4"/>
  <c r="T25" i="4"/>
  <c r="U83" i="4"/>
  <c r="U79" i="4"/>
  <c r="U78" i="4"/>
  <c r="U77" i="4"/>
  <c r="U76" i="4"/>
  <c r="U75" i="4"/>
  <c r="U74" i="4"/>
  <c r="U73" i="4"/>
  <c r="AB47" i="4"/>
  <c r="AB46" i="4"/>
  <c r="AB45" i="4"/>
  <c r="AB44" i="4"/>
  <c r="AB43" i="4"/>
  <c r="AB42" i="4"/>
  <c r="AB35" i="4"/>
  <c r="AB34" i="4"/>
  <c r="AB33" i="4"/>
  <c r="AB32" i="4"/>
  <c r="AB31" i="4"/>
  <c r="AB30" i="4"/>
  <c r="AB29" i="4"/>
  <c r="AB28" i="4"/>
  <c r="AB27" i="4"/>
  <c r="AB26" i="4"/>
  <c r="AB25" i="4"/>
  <c r="AE66" i="4"/>
  <c r="AE65" i="4"/>
  <c r="AE64" i="4"/>
  <c r="AE63" i="4"/>
  <c r="AE62" i="4"/>
  <c r="AE61" i="4"/>
  <c r="AE60" i="4"/>
  <c r="AE59" i="4"/>
  <c r="AE58" i="4"/>
  <c r="AE57" i="4"/>
  <c r="AE56" i="4"/>
  <c r="Q47" i="4"/>
  <c r="Q46" i="4"/>
  <c r="Q45" i="4"/>
  <c r="Q44" i="4"/>
  <c r="Q43" i="4"/>
  <c r="Q42" i="4"/>
  <c r="Q35" i="4"/>
  <c r="Q34" i="4"/>
  <c r="G83" i="4"/>
  <c r="G82" i="4"/>
  <c r="G81" i="4"/>
  <c r="G78" i="4"/>
  <c r="G77" i="4"/>
  <c r="G76" i="4"/>
  <c r="G75" i="4"/>
  <c r="G74" i="4"/>
  <c r="G73" i="4"/>
  <c r="G80" i="4"/>
  <c r="G79" i="4"/>
  <c r="U47" i="4"/>
  <c r="U46" i="4"/>
  <c r="U45" i="4"/>
  <c r="U44" i="4"/>
  <c r="U43" i="4"/>
  <c r="U42" i="4"/>
  <c r="U35" i="4"/>
  <c r="U34" i="4"/>
  <c r="O83" i="4"/>
  <c r="O82" i="4"/>
  <c r="O81" i="4"/>
  <c r="O80" i="4"/>
  <c r="O79" i="4"/>
  <c r="O78" i="4"/>
  <c r="O77" i="4"/>
  <c r="O76" i="4"/>
  <c r="O75" i="4"/>
  <c r="O74" i="4"/>
  <c r="O73" i="4"/>
  <c r="Y47" i="4"/>
  <c r="Y46" i="4"/>
  <c r="Y45" i="4"/>
  <c r="Y44" i="4"/>
  <c r="Y43" i="4"/>
  <c r="Y42" i="4"/>
  <c r="Y35" i="4"/>
  <c r="Y34" i="4"/>
  <c r="W83" i="4"/>
  <c r="W82" i="4"/>
  <c r="W81" i="4"/>
  <c r="W80" i="4"/>
  <c r="W77" i="4"/>
  <c r="W76" i="4"/>
  <c r="W75" i="4"/>
  <c r="W74" i="4"/>
  <c r="W73" i="4"/>
  <c r="W79" i="4"/>
  <c r="W78" i="4"/>
  <c r="AC47" i="4"/>
  <c r="AC46" i="4"/>
  <c r="AC45" i="4"/>
  <c r="AC44" i="4"/>
  <c r="AC43" i="4"/>
  <c r="AC42" i="4"/>
  <c r="AC35" i="4"/>
  <c r="AC34" i="4"/>
  <c r="AE83" i="4"/>
  <c r="AE82" i="4"/>
  <c r="AE81" i="4"/>
  <c r="AE80" i="4"/>
  <c r="AE79" i="4"/>
  <c r="AE78" i="4"/>
  <c r="AE77" i="4"/>
  <c r="AE76" i="4"/>
  <c r="AE75" i="4"/>
  <c r="AE74" i="4"/>
  <c r="AE73" i="4"/>
  <c r="AG47" i="4"/>
  <c r="AG46" i="4"/>
  <c r="AG45" i="4"/>
  <c r="AG44" i="4"/>
  <c r="AG43" i="4"/>
  <c r="AG35" i="4"/>
  <c r="AG34" i="4"/>
  <c r="Q18" i="4"/>
  <c r="U18" i="4"/>
  <c r="Y18" i="4"/>
  <c r="AC18" i="4"/>
  <c r="AG18" i="4"/>
  <c r="Q23" i="4"/>
  <c r="U23" i="4"/>
  <c r="Y23" i="4"/>
  <c r="AC23" i="4"/>
  <c r="AG23" i="4"/>
  <c r="Q24" i="4"/>
  <c r="U24" i="4"/>
  <c r="Y24" i="4"/>
  <c r="AC24" i="4"/>
  <c r="AG24" i="4"/>
  <c r="Q25" i="4"/>
  <c r="V25" i="4"/>
  <c r="AA25" i="4"/>
  <c r="AG25" i="4"/>
  <c r="Q26" i="4"/>
  <c r="V26" i="4"/>
  <c r="AA26" i="4"/>
  <c r="AG26" i="4"/>
  <c r="Q27" i="4"/>
  <c r="V27" i="4"/>
  <c r="AA27" i="4"/>
  <c r="AG27" i="4"/>
  <c r="Q28" i="4"/>
  <c r="V28" i="4"/>
  <c r="AA28" i="4"/>
  <c r="AG28" i="4"/>
  <c r="Q29" i="4"/>
  <c r="V29" i="4"/>
  <c r="AA29" i="4"/>
  <c r="AG29" i="4"/>
  <c r="Q30" i="4"/>
  <c r="V30" i="4"/>
  <c r="AA30" i="4"/>
  <c r="AG30" i="4"/>
  <c r="Q31" i="4"/>
  <c r="V31" i="4"/>
  <c r="AA31" i="4"/>
  <c r="AG31" i="4"/>
  <c r="Q32" i="4"/>
  <c r="V32" i="4"/>
  <c r="AA32" i="4"/>
  <c r="AG32" i="4"/>
  <c r="Q33" i="4"/>
  <c r="V33" i="4"/>
  <c r="AA33" i="4"/>
  <c r="AG33" i="4"/>
  <c r="N34" i="4"/>
  <c r="V34" i="4"/>
  <c r="AD34" i="4"/>
  <c r="N35" i="4"/>
  <c r="V35" i="4"/>
  <c r="AD35" i="4"/>
  <c r="N42" i="4"/>
  <c r="V42" i="4"/>
  <c r="AD42" i="4"/>
  <c r="N43" i="4"/>
  <c r="V43" i="4"/>
  <c r="AD43" i="4"/>
  <c r="N44" i="4"/>
  <c r="V44" i="4"/>
  <c r="AD44" i="4"/>
  <c r="N45" i="4"/>
  <c r="V45" i="4"/>
  <c r="AD45" i="4"/>
  <c r="N46" i="4"/>
  <c r="V46" i="4"/>
  <c r="AD46" i="4"/>
  <c r="N47" i="4"/>
  <c r="V47" i="4"/>
  <c r="AD47" i="4"/>
  <c r="AA57" i="4"/>
  <c r="AG59" i="4"/>
  <c r="Q78" i="4"/>
  <c r="U81" i="4"/>
  <c r="N18" i="4"/>
  <c r="R18" i="4"/>
  <c r="V18" i="4"/>
  <c r="Z18" i="4"/>
  <c r="AD18" i="4"/>
  <c r="AH18" i="4"/>
  <c r="N23" i="4"/>
  <c r="R23" i="4"/>
  <c r="V23" i="4"/>
  <c r="Z23" i="4"/>
  <c r="AD23" i="4"/>
  <c r="AH23" i="4"/>
  <c r="N24" i="4"/>
  <c r="R24" i="4"/>
  <c r="V24" i="4"/>
  <c r="Z24" i="4"/>
  <c r="AD24" i="4"/>
  <c r="AH24" i="4"/>
  <c r="N25" i="4"/>
  <c r="R25" i="4"/>
  <c r="W25" i="4"/>
  <c r="AC25" i="4"/>
  <c r="AH25" i="4"/>
  <c r="R26" i="4"/>
  <c r="W26" i="4"/>
  <c r="AC26" i="4"/>
  <c r="AH26" i="4"/>
  <c r="R27" i="4"/>
  <c r="W27" i="4"/>
  <c r="AC27" i="4"/>
  <c r="AH27" i="4"/>
  <c r="R28" i="4"/>
  <c r="W28" i="4"/>
  <c r="AC28" i="4"/>
  <c r="AH28" i="4"/>
  <c r="R29" i="4"/>
  <c r="W29" i="4"/>
  <c r="AC29" i="4"/>
  <c r="AH29" i="4"/>
  <c r="R30" i="4"/>
  <c r="W30" i="4"/>
  <c r="AC30" i="4"/>
  <c r="AH30" i="4"/>
  <c r="R31" i="4"/>
  <c r="W31" i="4"/>
  <c r="AC31" i="4"/>
  <c r="AH31" i="4"/>
  <c r="R32" i="4"/>
  <c r="W32" i="4"/>
  <c r="AC32" i="4"/>
  <c r="AH32" i="4"/>
  <c r="R33" i="4"/>
  <c r="W33" i="4"/>
  <c r="AC33" i="4"/>
  <c r="AH33" i="4"/>
  <c r="O34" i="4"/>
  <c r="W34" i="4"/>
  <c r="AE34" i="4"/>
  <c r="O35" i="4"/>
  <c r="W35" i="4"/>
  <c r="AE35" i="4"/>
  <c r="O42" i="4"/>
  <c r="W42" i="4"/>
  <c r="O43" i="4"/>
  <c r="W43" i="4"/>
  <c r="AE43" i="4"/>
  <c r="O44" i="4"/>
  <c r="W44" i="4"/>
  <c r="AE44" i="4"/>
  <c r="O45" i="4"/>
  <c r="W45" i="4"/>
  <c r="AE45" i="4"/>
  <c r="O46" i="4"/>
  <c r="W46" i="4"/>
  <c r="AE46" i="4"/>
  <c r="O47" i="4"/>
  <c r="W47" i="4"/>
  <c r="AE47" i="4"/>
  <c r="AG57" i="4"/>
  <c r="U82" i="4"/>
  <c r="D105" i="4"/>
  <c r="E105" i="4"/>
  <c r="F105" i="4" s="1"/>
  <c r="G105" i="4" s="1"/>
  <c r="H105" i="4" s="1"/>
  <c r="I105" i="4" s="1"/>
  <c r="J105" i="4" s="1"/>
  <c r="K105" i="4" s="1"/>
  <c r="L105" i="4" s="1"/>
  <c r="M105" i="4" s="1"/>
  <c r="N105" i="4" s="1"/>
  <c r="O105" i="4" s="1"/>
  <c r="P105" i="4" s="1"/>
  <c r="Q105" i="4" s="1"/>
  <c r="R105" i="4" s="1"/>
  <c r="S105" i="4" s="1"/>
  <c r="T105" i="4" s="1"/>
  <c r="U105" i="4" s="1"/>
  <c r="V105" i="4" s="1"/>
  <c r="W105" i="4" s="1"/>
  <c r="X105" i="4" s="1"/>
  <c r="Y105" i="4" s="1"/>
  <c r="Z105" i="4" s="1"/>
  <c r="AA105" i="4" s="1"/>
  <c r="AB105" i="4" s="1"/>
  <c r="AC105" i="4" s="1"/>
  <c r="AD105" i="4" s="1"/>
  <c r="AE105" i="4" s="1"/>
  <c r="AF105" i="4" s="1"/>
  <c r="AG105" i="4" s="1"/>
  <c r="AH105" i="4" s="1"/>
  <c r="E105" i="7"/>
  <c r="F105" i="7" s="1"/>
  <c r="G105" i="7" s="1"/>
  <c r="H105" i="7" s="1"/>
  <c r="I105" i="7" s="1"/>
  <c r="J105" i="7" s="1"/>
  <c r="K105" i="7" s="1"/>
  <c r="L105" i="7" s="1"/>
  <c r="M105" i="7" s="1"/>
  <c r="N105" i="7" s="1"/>
  <c r="O105" i="7" s="1"/>
  <c r="P105" i="7" s="1"/>
  <c r="Q105" i="7" s="1"/>
  <c r="R105" i="7" s="1"/>
  <c r="S105" i="7" s="1"/>
  <c r="T105" i="7" s="1"/>
  <c r="U105" i="7" s="1"/>
  <c r="V105" i="7" s="1"/>
  <c r="W105" i="7" s="1"/>
  <c r="X105" i="7" s="1"/>
  <c r="Y105" i="7" s="1"/>
  <c r="Z105" i="7" s="1"/>
  <c r="AA105" i="7" s="1"/>
  <c r="AB105" i="7" s="1"/>
  <c r="AC105" i="7" s="1"/>
  <c r="AD105" i="7" s="1"/>
  <c r="AE105" i="7" s="1"/>
  <c r="AF105" i="7" s="1"/>
  <c r="AG105" i="7" s="1"/>
  <c r="AH105" i="7" s="1"/>
  <c r="C25" i="15"/>
  <c r="D25" i="15" s="1"/>
  <c r="E25" i="15" s="1"/>
  <c r="F25" i="15" s="1"/>
  <c r="C23" i="15"/>
  <c r="D23" i="15"/>
  <c r="E23" i="15" s="1"/>
  <c r="F23" i="15" s="1"/>
  <c r="G23" i="15" s="1"/>
  <c r="H23" i="15" s="1"/>
  <c r="E64" i="15"/>
  <c r="E63" i="15"/>
  <c r="E62" i="15"/>
  <c r="E57" i="15"/>
  <c r="E59" i="15"/>
  <c r="E61" i="15"/>
  <c r="E56" i="15"/>
  <c r="E53" i="15"/>
  <c r="AE68" i="4" l="1"/>
  <c r="AC68" i="4"/>
  <c r="Y68" i="4"/>
  <c r="AA68" i="4"/>
  <c r="AG68" i="4"/>
  <c r="D67" i="4"/>
  <c r="D66" i="4"/>
  <c r="D65" i="4"/>
  <c r="D64" i="4"/>
  <c r="D63" i="4"/>
  <c r="D62" i="4"/>
  <c r="D61" i="4"/>
  <c r="D60" i="4"/>
  <c r="D59" i="4"/>
  <c r="D58" i="4"/>
  <c r="D56" i="4"/>
  <c r="D57" i="4"/>
  <c r="C50" i="15"/>
  <c r="C116" i="4" l="1"/>
  <c r="C154" i="4" s="1"/>
  <c r="D68" i="4"/>
  <c r="C123" i="4"/>
  <c r="C161" i="4" s="1"/>
  <c r="C117" i="4"/>
  <c r="C155" i="4" s="1"/>
  <c r="C122" i="4"/>
  <c r="C160" i="4" s="1"/>
  <c r="C112" i="4"/>
  <c r="C150" i="4" s="1"/>
  <c r="C121" i="4"/>
  <c r="C159" i="4" s="1"/>
  <c r="C118" i="4"/>
  <c r="C156" i="4" s="1"/>
  <c r="C119" i="4"/>
  <c r="C157" i="4" s="1"/>
  <c r="C113" i="4"/>
  <c r="C151" i="4" s="1"/>
  <c r="C124" i="4"/>
  <c r="C162" i="4" s="1"/>
  <c r="C120" i="4"/>
  <c r="C158" i="4" s="1"/>
  <c r="D4" i="6"/>
  <c r="D5" i="6"/>
  <c r="C126" i="4" l="1"/>
  <c r="C127" i="4"/>
  <c r="C164" i="4"/>
  <c r="C32" i="5"/>
  <c r="C128" i="4" l="1"/>
  <c r="D140" i="4" s="1"/>
  <c r="C5" i="14"/>
  <c r="D141" i="4" l="1"/>
  <c r="D138" i="4"/>
  <c r="C56" i="5"/>
  <c r="D57" i="13" s="1"/>
  <c r="AC11" i="10"/>
  <c r="C99" i="9" l="1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11" i="10"/>
  <c r="C11" i="10"/>
  <c r="C16" i="10"/>
  <c r="C12" i="10"/>
  <c r="C13" i="10"/>
  <c r="C14" i="10"/>
  <c r="C15" i="10"/>
  <c r="C17" i="10"/>
  <c r="C18" i="10"/>
  <c r="C19" i="10"/>
  <c r="C20" i="10"/>
  <c r="C21" i="10"/>
  <c r="C22" i="10"/>
  <c r="C23" i="10"/>
  <c r="C68" i="5"/>
  <c r="C67" i="5"/>
  <c r="C66" i="5"/>
  <c r="C65" i="5"/>
  <c r="C64" i="5"/>
  <c r="C63" i="5"/>
  <c r="C62" i="5"/>
  <c r="C61" i="5"/>
  <c r="C59" i="5"/>
  <c r="C58" i="5"/>
  <c r="C106" i="9" l="1"/>
  <c r="D64" i="13"/>
  <c r="C110" i="9"/>
  <c r="D68" i="13"/>
  <c r="C105" i="9"/>
  <c r="D63" i="13"/>
  <c r="C101" i="9"/>
  <c r="D59" i="13"/>
  <c r="C107" i="9"/>
  <c r="D65" i="13"/>
  <c r="C111" i="9"/>
  <c r="D69" i="13"/>
  <c r="C109" i="9"/>
  <c r="D67" i="13"/>
  <c r="C102" i="9"/>
  <c r="D60" i="13"/>
  <c r="C104" i="9"/>
  <c r="D62" i="13"/>
  <c r="C108" i="9"/>
  <c r="D66" i="13"/>
  <c r="N44" i="5"/>
  <c r="N17" i="14" s="1"/>
  <c r="AH44" i="5"/>
  <c r="AH17" i="14" s="1"/>
  <c r="N43" i="5"/>
  <c r="N16" i="14" s="1"/>
  <c r="AH43" i="5"/>
  <c r="AH16" i="14" s="1"/>
  <c r="N42" i="5"/>
  <c r="N15" i="14" s="1"/>
  <c r="AH42" i="5"/>
  <c r="AH15" i="14" s="1"/>
  <c r="N41" i="5"/>
  <c r="N14" i="14" s="1"/>
  <c r="AH41" i="5"/>
  <c r="AH14" i="14" s="1"/>
  <c r="N40" i="5"/>
  <c r="N13" i="14" s="1"/>
  <c r="AH40" i="5"/>
  <c r="AH13" i="14" s="1"/>
  <c r="N39" i="5"/>
  <c r="AH39" i="5"/>
  <c r="AH12" i="14" s="1"/>
  <c r="N38" i="5"/>
  <c r="N11" i="14" s="1"/>
  <c r="AH38" i="5"/>
  <c r="AH11" i="14" s="1"/>
  <c r="N37" i="5"/>
  <c r="N10" i="14" s="1"/>
  <c r="AH37" i="5"/>
  <c r="AH10" i="14" s="1"/>
  <c r="N36" i="5"/>
  <c r="N9" i="14" s="1"/>
  <c r="AH36" i="5"/>
  <c r="AH9" i="14" s="1"/>
  <c r="N35" i="5"/>
  <c r="N8" i="14" s="1"/>
  <c r="AH35" i="5"/>
  <c r="AH8" i="14" s="1"/>
  <c r="N34" i="5"/>
  <c r="N7" i="14" s="1"/>
  <c r="AH34" i="5"/>
  <c r="AH7" i="14" s="1"/>
  <c r="N33" i="5"/>
  <c r="AH33" i="5"/>
  <c r="AH6" i="14" s="1"/>
  <c r="N32" i="5"/>
  <c r="AH32" i="5"/>
  <c r="C33" i="5"/>
  <c r="C6" i="14" s="1"/>
  <c r="C34" i="5"/>
  <c r="C7" i="14" s="1"/>
  <c r="C35" i="5"/>
  <c r="C8" i="14" s="1"/>
  <c r="C36" i="5"/>
  <c r="C9" i="14" s="1"/>
  <c r="C37" i="5"/>
  <c r="C10" i="14" s="1"/>
  <c r="C38" i="5"/>
  <c r="C11" i="14" s="1"/>
  <c r="C39" i="5"/>
  <c r="C12" i="14" s="1"/>
  <c r="C40" i="5"/>
  <c r="C13" i="14" s="1"/>
  <c r="C41" i="5"/>
  <c r="C14" i="14" s="1"/>
  <c r="C42" i="5"/>
  <c r="C15" i="14" s="1"/>
  <c r="C43" i="5"/>
  <c r="C16" i="14" s="1"/>
  <c r="C44" i="5"/>
  <c r="C17" i="14" s="1"/>
  <c r="C61" i="9"/>
  <c r="C46" i="14" l="1"/>
  <c r="C42" i="14"/>
  <c r="AH61" i="9"/>
  <c r="AH5" i="14"/>
  <c r="AH40" i="14" s="1"/>
  <c r="C45" i="14"/>
  <c r="C41" i="14"/>
  <c r="C37" i="14"/>
  <c r="N61" i="9"/>
  <c r="N5" i="14"/>
  <c r="C38" i="14"/>
  <c r="AH38" i="14"/>
  <c r="C44" i="14"/>
  <c r="C40" i="14"/>
  <c r="C36" i="14"/>
  <c r="AH41" i="14"/>
  <c r="AH46" i="14"/>
  <c r="C43" i="14"/>
  <c r="C39" i="14"/>
  <c r="C35" i="14"/>
  <c r="C34" i="14"/>
  <c r="C30" i="14"/>
  <c r="C24" i="14"/>
  <c r="C20" i="14"/>
  <c r="C29" i="14"/>
  <c r="C23" i="14"/>
  <c r="C28" i="14"/>
  <c r="C27" i="14"/>
  <c r="C22" i="14"/>
  <c r="C21" i="14"/>
  <c r="C31" i="14"/>
  <c r="N62" i="9"/>
  <c r="N6" i="14"/>
  <c r="N68" i="9"/>
  <c r="N12" i="14"/>
  <c r="C66" i="9"/>
  <c r="N11" i="5"/>
  <c r="N8" i="13" s="1"/>
  <c r="N64" i="9"/>
  <c r="N66" i="9"/>
  <c r="N13" i="5"/>
  <c r="N10" i="13" s="1"/>
  <c r="N17" i="5"/>
  <c r="N14" i="13" s="1"/>
  <c r="N70" i="9"/>
  <c r="C69" i="9"/>
  <c r="C65" i="9"/>
  <c r="AH10" i="5"/>
  <c r="AH7" i="13" s="1"/>
  <c r="AH63" i="9"/>
  <c r="AH69" i="9"/>
  <c r="AH20" i="5"/>
  <c r="AH17" i="13" s="1"/>
  <c r="AH73" i="9"/>
  <c r="C68" i="9"/>
  <c r="C64" i="9"/>
  <c r="N10" i="5"/>
  <c r="N7" i="13" s="1"/>
  <c r="N63" i="9"/>
  <c r="N65" i="9"/>
  <c r="N14" i="5"/>
  <c r="N11" i="13" s="1"/>
  <c r="N67" i="9"/>
  <c r="N69" i="9"/>
  <c r="N18" i="5"/>
  <c r="N15" i="13" s="1"/>
  <c r="N71" i="9"/>
  <c r="N20" i="5"/>
  <c r="N17" i="13" s="1"/>
  <c r="N73" i="9"/>
  <c r="C17" i="5"/>
  <c r="C14" i="13" s="1"/>
  <c r="C70" i="9"/>
  <c r="C62" i="9"/>
  <c r="N19" i="5"/>
  <c r="N16" i="13" s="1"/>
  <c r="N72" i="9"/>
  <c r="C20" i="5"/>
  <c r="C17" i="13" s="1"/>
  <c r="C73" i="9"/>
  <c r="AH65" i="9"/>
  <c r="AH14" i="5"/>
  <c r="AH11" i="13" s="1"/>
  <c r="AH67" i="9"/>
  <c r="AH18" i="5"/>
  <c r="AH15" i="13" s="1"/>
  <c r="AH71" i="9"/>
  <c r="C19" i="5"/>
  <c r="C16" i="13" s="1"/>
  <c r="C72" i="9"/>
  <c r="C18" i="5"/>
  <c r="C15" i="13" s="1"/>
  <c r="C71" i="9"/>
  <c r="C67" i="9"/>
  <c r="C63" i="9"/>
  <c r="AH62" i="9"/>
  <c r="AH11" i="5"/>
  <c r="AH8" i="13" s="1"/>
  <c r="AH64" i="9"/>
  <c r="AH66" i="9"/>
  <c r="AH13" i="5"/>
  <c r="AH10" i="13" s="1"/>
  <c r="AH68" i="9"/>
  <c r="AH17" i="5"/>
  <c r="AH70" i="9"/>
  <c r="AH19" i="5"/>
  <c r="AH16" i="13" s="1"/>
  <c r="AH72" i="9"/>
  <c r="AH8" i="5"/>
  <c r="AH51" i="5"/>
  <c r="AH50" i="5"/>
  <c r="AH49" i="5"/>
  <c r="AH48" i="5"/>
  <c r="AH47" i="5"/>
  <c r="N47" i="5"/>
  <c r="N50" i="5"/>
  <c r="N48" i="5"/>
  <c r="N51" i="5"/>
  <c r="N49" i="5"/>
  <c r="C50" i="5"/>
  <c r="C49" i="5"/>
  <c r="C48" i="5"/>
  <c r="C47" i="5"/>
  <c r="C51" i="5"/>
  <c r="AH36" i="14" l="1"/>
  <c r="AH39" i="14"/>
  <c r="AH45" i="14"/>
  <c r="AH37" i="14"/>
  <c r="AH84" i="9"/>
  <c r="AH43" i="14"/>
  <c r="AH35" i="14"/>
  <c r="AH42" i="14"/>
  <c r="N41" i="14"/>
  <c r="AH5" i="9"/>
  <c r="AH5" i="13"/>
  <c r="AH14" i="9"/>
  <c r="AH14" i="13"/>
  <c r="N86" i="9"/>
  <c r="N35" i="14"/>
  <c r="N42" i="14"/>
  <c r="N34" i="14"/>
  <c r="N30" i="14"/>
  <c r="N23" i="14"/>
  <c r="N27" i="14"/>
  <c r="N29" i="14"/>
  <c r="N22" i="14"/>
  <c r="N21" i="14"/>
  <c r="N28" i="14"/>
  <c r="N24" i="14"/>
  <c r="N31" i="14"/>
  <c r="N20" i="14"/>
  <c r="N40" i="14"/>
  <c r="AH34" i="14"/>
  <c r="AH28" i="14"/>
  <c r="AH22" i="14"/>
  <c r="AH31" i="14"/>
  <c r="AH27" i="14"/>
  <c r="AH21" i="14"/>
  <c r="AH24" i="14"/>
  <c r="AH30" i="14"/>
  <c r="AH20" i="14"/>
  <c r="AH23" i="14"/>
  <c r="AH29" i="14"/>
  <c r="AH79" i="9"/>
  <c r="N45" i="14"/>
  <c r="N39" i="14"/>
  <c r="N46" i="14"/>
  <c r="N38" i="14"/>
  <c r="N80" i="9"/>
  <c r="N43" i="14"/>
  <c r="N37" i="14"/>
  <c r="N44" i="14"/>
  <c r="N36" i="14"/>
  <c r="AH44" i="14"/>
  <c r="C85" i="9"/>
  <c r="C87" i="9"/>
  <c r="C79" i="9"/>
  <c r="N78" i="9"/>
  <c r="N87" i="9"/>
  <c r="AH76" i="9"/>
  <c r="C76" i="9"/>
  <c r="C80" i="9"/>
  <c r="C83" i="9"/>
  <c r="N85" i="9"/>
  <c r="AH17" i="9"/>
  <c r="AH8" i="9"/>
  <c r="AH83" i="9"/>
  <c r="AH16" i="9"/>
  <c r="AH10" i="9"/>
  <c r="AH15" i="9"/>
  <c r="AH87" i="9"/>
  <c r="AH78" i="9"/>
  <c r="AH80" i="9"/>
  <c r="C78" i="9"/>
  <c r="C84" i="9"/>
  <c r="N83" i="9"/>
  <c r="AH11" i="9"/>
  <c r="AH77" i="9"/>
  <c r="N79" i="9"/>
  <c r="N84" i="9"/>
  <c r="AH85" i="9"/>
  <c r="AH86" i="9"/>
  <c r="C86" i="9"/>
  <c r="C77" i="9"/>
  <c r="N76" i="9"/>
  <c r="N77" i="9"/>
  <c r="AH7" i="9"/>
  <c r="F8" i="6"/>
  <c r="F36" i="5" s="1"/>
  <c r="F9" i="14" s="1"/>
  <c r="D32" i="5"/>
  <c r="D61" i="9" l="1"/>
  <c r="D5" i="14"/>
  <c r="C92" i="9"/>
  <c r="C90" i="9"/>
  <c r="C93" i="9"/>
  <c r="C94" i="9"/>
  <c r="C91" i="9"/>
  <c r="AH91" i="9"/>
  <c r="AH90" i="9"/>
  <c r="AH93" i="9"/>
  <c r="AH94" i="9"/>
  <c r="AH92" i="9"/>
  <c r="N90" i="9"/>
  <c r="N94" i="9"/>
  <c r="N92" i="9"/>
  <c r="N91" i="9"/>
  <c r="N93" i="9"/>
  <c r="Q11" i="6"/>
  <c r="Q39" i="5" s="1"/>
  <c r="Q12" i="14" s="1"/>
  <c r="R11" i="6"/>
  <c r="R39" i="5" s="1"/>
  <c r="R12" i="14" s="1"/>
  <c r="S11" i="6"/>
  <c r="S39" i="5" s="1"/>
  <c r="S12" i="14" s="1"/>
  <c r="T11" i="6"/>
  <c r="T39" i="5" s="1"/>
  <c r="T12" i="14" s="1"/>
  <c r="U11" i="6"/>
  <c r="U39" i="5" s="1"/>
  <c r="U12" i="14" s="1"/>
  <c r="V11" i="6"/>
  <c r="V39" i="5" s="1"/>
  <c r="V12" i="14" s="1"/>
  <c r="W11" i="6"/>
  <c r="W39" i="5" s="1"/>
  <c r="W12" i="14" s="1"/>
  <c r="X11" i="6"/>
  <c r="X39" i="5" s="1"/>
  <c r="X12" i="14" s="1"/>
  <c r="Y11" i="6"/>
  <c r="Y39" i="5" s="1"/>
  <c r="Y12" i="14" s="1"/>
  <c r="Z11" i="6"/>
  <c r="Z39" i="5" s="1"/>
  <c r="Z12" i="14" s="1"/>
  <c r="AA11" i="6"/>
  <c r="AA39" i="5" s="1"/>
  <c r="AA12" i="14" s="1"/>
  <c r="AB11" i="6"/>
  <c r="AB39" i="5" s="1"/>
  <c r="AB12" i="14" s="1"/>
  <c r="AC11" i="6"/>
  <c r="AC39" i="5" s="1"/>
  <c r="AC12" i="14" s="1"/>
  <c r="AD11" i="6"/>
  <c r="AD39" i="5" s="1"/>
  <c r="AD12" i="14" s="1"/>
  <c r="AE11" i="6"/>
  <c r="AE39" i="5" s="1"/>
  <c r="AE12" i="14" s="1"/>
  <c r="AF11" i="6"/>
  <c r="AF39" i="5" s="1"/>
  <c r="AF12" i="14" s="1"/>
  <c r="AG11" i="6"/>
  <c r="AG39" i="5" s="1"/>
  <c r="AG12" i="14" s="1"/>
  <c r="P11" i="6"/>
  <c r="P39" i="5" s="1"/>
  <c r="O11" i="6"/>
  <c r="O39" i="5" s="1"/>
  <c r="O12" i="14" s="1"/>
  <c r="O10" i="6"/>
  <c r="O38" i="5" s="1"/>
  <c r="O11" i="14" s="1"/>
  <c r="P16" i="6"/>
  <c r="P44" i="5" s="1"/>
  <c r="P17" i="14" s="1"/>
  <c r="Q16" i="6"/>
  <c r="Q44" i="5" s="1"/>
  <c r="Q17" i="14" s="1"/>
  <c r="R16" i="6"/>
  <c r="R44" i="5" s="1"/>
  <c r="R17" i="14" s="1"/>
  <c r="S16" i="6"/>
  <c r="S44" i="5" s="1"/>
  <c r="S17" i="14" s="1"/>
  <c r="T16" i="6"/>
  <c r="T44" i="5" s="1"/>
  <c r="T17" i="14" s="1"/>
  <c r="U16" i="6"/>
  <c r="U44" i="5" s="1"/>
  <c r="U17" i="14" s="1"/>
  <c r="V16" i="6"/>
  <c r="V44" i="5" s="1"/>
  <c r="V17" i="14" s="1"/>
  <c r="W16" i="6"/>
  <c r="W44" i="5" s="1"/>
  <c r="W17" i="14" s="1"/>
  <c r="X16" i="6"/>
  <c r="X44" i="5" s="1"/>
  <c r="X17" i="14" s="1"/>
  <c r="Y16" i="6"/>
  <c r="Y44" i="5" s="1"/>
  <c r="Y17" i="14" s="1"/>
  <c r="Z16" i="6"/>
  <c r="Z44" i="5" s="1"/>
  <c r="Z17" i="14" s="1"/>
  <c r="AA16" i="6"/>
  <c r="AA44" i="5" s="1"/>
  <c r="AA17" i="14" s="1"/>
  <c r="AB16" i="6"/>
  <c r="AB44" i="5" s="1"/>
  <c r="AB17" i="14" s="1"/>
  <c r="AC16" i="6"/>
  <c r="AC44" i="5" s="1"/>
  <c r="AC17" i="14" s="1"/>
  <c r="AD16" i="6"/>
  <c r="AD44" i="5" s="1"/>
  <c r="AD17" i="14" s="1"/>
  <c r="AE16" i="6"/>
  <c r="AE44" i="5" s="1"/>
  <c r="AE17" i="14" s="1"/>
  <c r="AF16" i="6"/>
  <c r="AF44" i="5" s="1"/>
  <c r="AF17" i="14" s="1"/>
  <c r="AG16" i="6"/>
  <c r="AG44" i="5" s="1"/>
  <c r="AG17" i="14" s="1"/>
  <c r="P15" i="6"/>
  <c r="P43" i="5" s="1"/>
  <c r="P16" i="14" s="1"/>
  <c r="Q15" i="6"/>
  <c r="Q43" i="5" s="1"/>
  <c r="Q16" i="14" s="1"/>
  <c r="R15" i="6"/>
  <c r="R43" i="5" s="1"/>
  <c r="R16" i="14" s="1"/>
  <c r="S15" i="6"/>
  <c r="S43" i="5" s="1"/>
  <c r="T15" i="6"/>
  <c r="T43" i="5" s="1"/>
  <c r="T16" i="14" s="1"/>
  <c r="U15" i="6"/>
  <c r="U43" i="5" s="1"/>
  <c r="U16" i="14" s="1"/>
  <c r="V15" i="6"/>
  <c r="V43" i="5" s="1"/>
  <c r="V16" i="14" s="1"/>
  <c r="W15" i="6"/>
  <c r="W43" i="5" s="1"/>
  <c r="X15" i="6"/>
  <c r="X43" i="5" s="1"/>
  <c r="X16" i="14" s="1"/>
  <c r="Y15" i="6"/>
  <c r="Y43" i="5" s="1"/>
  <c r="Y16" i="14" s="1"/>
  <c r="Z15" i="6"/>
  <c r="Z43" i="5" s="1"/>
  <c r="Z16" i="14" s="1"/>
  <c r="AA15" i="6"/>
  <c r="AA43" i="5" s="1"/>
  <c r="AB15" i="6"/>
  <c r="AB43" i="5" s="1"/>
  <c r="AB16" i="14" s="1"/>
  <c r="AC15" i="6"/>
  <c r="AC43" i="5" s="1"/>
  <c r="AC16" i="14" s="1"/>
  <c r="AD15" i="6"/>
  <c r="AD43" i="5" s="1"/>
  <c r="AD16" i="14" s="1"/>
  <c r="AE15" i="6"/>
  <c r="AE43" i="5" s="1"/>
  <c r="AF15" i="6"/>
  <c r="AF43" i="5" s="1"/>
  <c r="AF16" i="14" s="1"/>
  <c r="AG15" i="6"/>
  <c r="AG43" i="5" s="1"/>
  <c r="AG16" i="14" s="1"/>
  <c r="P14" i="6"/>
  <c r="P42" i="5" s="1"/>
  <c r="P15" i="14" s="1"/>
  <c r="Q14" i="6"/>
  <c r="Q42" i="5" s="1"/>
  <c r="Q15" i="14" s="1"/>
  <c r="R14" i="6"/>
  <c r="R42" i="5" s="1"/>
  <c r="R15" i="14" s="1"/>
  <c r="S14" i="6"/>
  <c r="S42" i="5" s="1"/>
  <c r="S15" i="14" s="1"/>
  <c r="T14" i="6"/>
  <c r="T42" i="5" s="1"/>
  <c r="T15" i="14" s="1"/>
  <c r="U14" i="6"/>
  <c r="U42" i="5" s="1"/>
  <c r="U15" i="14" s="1"/>
  <c r="V14" i="6"/>
  <c r="V42" i="5" s="1"/>
  <c r="V15" i="14" s="1"/>
  <c r="W14" i="6"/>
  <c r="W42" i="5" s="1"/>
  <c r="W15" i="14" s="1"/>
  <c r="X14" i="6"/>
  <c r="X42" i="5" s="1"/>
  <c r="X15" i="14" s="1"/>
  <c r="Y14" i="6"/>
  <c r="Y42" i="5" s="1"/>
  <c r="Y15" i="14" s="1"/>
  <c r="Z14" i="6"/>
  <c r="Z42" i="5" s="1"/>
  <c r="Z15" i="14" s="1"/>
  <c r="AA14" i="6"/>
  <c r="AA42" i="5" s="1"/>
  <c r="AA15" i="14" s="1"/>
  <c r="AB14" i="6"/>
  <c r="AB42" i="5" s="1"/>
  <c r="AB15" i="14" s="1"/>
  <c r="AC14" i="6"/>
  <c r="AC42" i="5" s="1"/>
  <c r="AC15" i="14" s="1"/>
  <c r="AD14" i="6"/>
  <c r="AD42" i="5" s="1"/>
  <c r="AD15" i="14" s="1"/>
  <c r="AE14" i="6"/>
  <c r="AE42" i="5" s="1"/>
  <c r="AE15" i="14" s="1"/>
  <c r="AF14" i="6"/>
  <c r="AF42" i="5" s="1"/>
  <c r="AF15" i="14" s="1"/>
  <c r="AG14" i="6"/>
  <c r="AG42" i="5" s="1"/>
  <c r="AG15" i="14" s="1"/>
  <c r="P13" i="6"/>
  <c r="P41" i="5" s="1"/>
  <c r="P14" i="14" s="1"/>
  <c r="Q13" i="6"/>
  <c r="Q41" i="5" s="1"/>
  <c r="Q14" i="14" s="1"/>
  <c r="R13" i="6"/>
  <c r="R41" i="5" s="1"/>
  <c r="R14" i="14" s="1"/>
  <c r="S13" i="6"/>
  <c r="S41" i="5" s="1"/>
  <c r="S14" i="14" s="1"/>
  <c r="T13" i="6"/>
  <c r="T41" i="5" s="1"/>
  <c r="T14" i="14" s="1"/>
  <c r="U13" i="6"/>
  <c r="U41" i="5" s="1"/>
  <c r="U14" i="14" s="1"/>
  <c r="V13" i="6"/>
  <c r="V41" i="5" s="1"/>
  <c r="V14" i="14" s="1"/>
  <c r="W13" i="6"/>
  <c r="W41" i="5" s="1"/>
  <c r="W14" i="14" s="1"/>
  <c r="X13" i="6"/>
  <c r="X41" i="5" s="1"/>
  <c r="X14" i="14" s="1"/>
  <c r="Y13" i="6"/>
  <c r="Y41" i="5" s="1"/>
  <c r="Y14" i="14" s="1"/>
  <c r="Z13" i="6"/>
  <c r="Z41" i="5" s="1"/>
  <c r="Z14" i="14" s="1"/>
  <c r="AA13" i="6"/>
  <c r="AA41" i="5" s="1"/>
  <c r="AA14" i="14" s="1"/>
  <c r="AB13" i="6"/>
  <c r="AB41" i="5" s="1"/>
  <c r="AB14" i="14" s="1"/>
  <c r="AC13" i="6"/>
  <c r="AC41" i="5" s="1"/>
  <c r="AC14" i="14" s="1"/>
  <c r="AD13" i="6"/>
  <c r="AD41" i="5" s="1"/>
  <c r="AD14" i="14" s="1"/>
  <c r="AE13" i="6"/>
  <c r="AE41" i="5" s="1"/>
  <c r="AE14" i="14" s="1"/>
  <c r="AF13" i="6"/>
  <c r="AF41" i="5" s="1"/>
  <c r="AF14" i="14" s="1"/>
  <c r="AG13" i="6"/>
  <c r="AG41" i="5" s="1"/>
  <c r="AG14" i="14" s="1"/>
  <c r="P12" i="6"/>
  <c r="P40" i="5" s="1"/>
  <c r="Q12" i="6"/>
  <c r="Q40" i="5" s="1"/>
  <c r="R12" i="6"/>
  <c r="R40" i="5" s="1"/>
  <c r="R13" i="14" s="1"/>
  <c r="S12" i="6"/>
  <c r="S40" i="5" s="1"/>
  <c r="S13" i="14" s="1"/>
  <c r="T12" i="6"/>
  <c r="T40" i="5" s="1"/>
  <c r="U12" i="6"/>
  <c r="U40" i="5" s="1"/>
  <c r="V12" i="6"/>
  <c r="V40" i="5" s="1"/>
  <c r="V13" i="14" s="1"/>
  <c r="W12" i="6"/>
  <c r="W40" i="5" s="1"/>
  <c r="W13" i="14" s="1"/>
  <c r="X12" i="6"/>
  <c r="X40" i="5" s="1"/>
  <c r="Y12" i="6"/>
  <c r="Y40" i="5" s="1"/>
  <c r="Z12" i="6"/>
  <c r="Z40" i="5" s="1"/>
  <c r="Z13" i="14" s="1"/>
  <c r="AA12" i="6"/>
  <c r="AA40" i="5" s="1"/>
  <c r="AA13" i="14" s="1"/>
  <c r="AB12" i="6"/>
  <c r="AB40" i="5" s="1"/>
  <c r="AC12" i="6"/>
  <c r="AC40" i="5" s="1"/>
  <c r="AD12" i="6"/>
  <c r="AD40" i="5" s="1"/>
  <c r="AD13" i="14" s="1"/>
  <c r="AE12" i="6"/>
  <c r="AE40" i="5" s="1"/>
  <c r="AE13" i="14" s="1"/>
  <c r="AF12" i="6"/>
  <c r="AF40" i="5" s="1"/>
  <c r="AG12" i="6"/>
  <c r="AG40" i="5" s="1"/>
  <c r="P10" i="6"/>
  <c r="P38" i="5" s="1"/>
  <c r="P11" i="14" s="1"/>
  <c r="Q10" i="6"/>
  <c r="Q38" i="5" s="1"/>
  <c r="Q11" i="14" s="1"/>
  <c r="R10" i="6"/>
  <c r="R38" i="5" s="1"/>
  <c r="R11" i="14" s="1"/>
  <c r="S10" i="6"/>
  <c r="S38" i="5" s="1"/>
  <c r="S11" i="14" s="1"/>
  <c r="T10" i="6"/>
  <c r="T38" i="5" s="1"/>
  <c r="T11" i="14" s="1"/>
  <c r="U10" i="6"/>
  <c r="U38" i="5" s="1"/>
  <c r="U11" i="14" s="1"/>
  <c r="V10" i="6"/>
  <c r="V38" i="5" s="1"/>
  <c r="V11" i="14" s="1"/>
  <c r="W10" i="6"/>
  <c r="W38" i="5" s="1"/>
  <c r="W11" i="14" s="1"/>
  <c r="X10" i="6"/>
  <c r="X38" i="5" s="1"/>
  <c r="X11" i="14" s="1"/>
  <c r="Y10" i="6"/>
  <c r="Y38" i="5" s="1"/>
  <c r="Y11" i="14" s="1"/>
  <c r="Z10" i="6"/>
  <c r="Z38" i="5" s="1"/>
  <c r="Z11" i="14" s="1"/>
  <c r="AA10" i="6"/>
  <c r="AA38" i="5" s="1"/>
  <c r="AA11" i="14" s="1"/>
  <c r="AB10" i="6"/>
  <c r="AB38" i="5" s="1"/>
  <c r="AB11" i="14" s="1"/>
  <c r="AC10" i="6"/>
  <c r="AC38" i="5" s="1"/>
  <c r="AC11" i="14" s="1"/>
  <c r="AD10" i="6"/>
  <c r="AD38" i="5" s="1"/>
  <c r="AD11" i="14" s="1"/>
  <c r="AE10" i="6"/>
  <c r="AE38" i="5" s="1"/>
  <c r="AE11" i="14" s="1"/>
  <c r="AF10" i="6"/>
  <c r="AF38" i="5" s="1"/>
  <c r="AF11" i="14" s="1"/>
  <c r="AG10" i="6"/>
  <c r="AG38" i="5" s="1"/>
  <c r="AG11" i="14" s="1"/>
  <c r="O62" i="6"/>
  <c r="P9" i="6"/>
  <c r="P37" i="5" s="1"/>
  <c r="P10" i="14" s="1"/>
  <c r="Q9" i="6"/>
  <c r="Q37" i="5" s="1"/>
  <c r="Q10" i="14" s="1"/>
  <c r="R9" i="6"/>
  <c r="R37" i="5" s="1"/>
  <c r="R10" i="14" s="1"/>
  <c r="S9" i="6"/>
  <c r="S37" i="5" s="1"/>
  <c r="S10" i="14" s="1"/>
  <c r="T9" i="6"/>
  <c r="T37" i="5" s="1"/>
  <c r="T10" i="14" s="1"/>
  <c r="U9" i="6"/>
  <c r="U37" i="5" s="1"/>
  <c r="U10" i="14" s="1"/>
  <c r="V9" i="6"/>
  <c r="V37" i="5" s="1"/>
  <c r="V10" i="14" s="1"/>
  <c r="W9" i="6"/>
  <c r="W37" i="5" s="1"/>
  <c r="W10" i="14" s="1"/>
  <c r="X9" i="6"/>
  <c r="X37" i="5" s="1"/>
  <c r="X10" i="14" s="1"/>
  <c r="Y9" i="6"/>
  <c r="Y37" i="5" s="1"/>
  <c r="Y10" i="14" s="1"/>
  <c r="Z9" i="6"/>
  <c r="Z37" i="5" s="1"/>
  <c r="Z10" i="14" s="1"/>
  <c r="AA9" i="6"/>
  <c r="AA37" i="5" s="1"/>
  <c r="AA10" i="14" s="1"/>
  <c r="AB9" i="6"/>
  <c r="AB37" i="5" s="1"/>
  <c r="AB10" i="14" s="1"/>
  <c r="AC9" i="6"/>
  <c r="AC37" i="5" s="1"/>
  <c r="AC10" i="14" s="1"/>
  <c r="AD9" i="6"/>
  <c r="AD37" i="5" s="1"/>
  <c r="AD10" i="14" s="1"/>
  <c r="AE9" i="6"/>
  <c r="AE37" i="5" s="1"/>
  <c r="AE10" i="14" s="1"/>
  <c r="AF9" i="6"/>
  <c r="AF37" i="5" s="1"/>
  <c r="AF10" i="14" s="1"/>
  <c r="AG9" i="6"/>
  <c r="AG37" i="5" s="1"/>
  <c r="AG10" i="14" s="1"/>
  <c r="P8" i="6"/>
  <c r="P36" i="5" s="1"/>
  <c r="P9" i="14" s="1"/>
  <c r="Q8" i="6"/>
  <c r="Q36" i="5" s="1"/>
  <c r="Q9" i="14" s="1"/>
  <c r="R8" i="6"/>
  <c r="R36" i="5" s="1"/>
  <c r="R9" i="14" s="1"/>
  <c r="S8" i="6"/>
  <c r="S36" i="5" s="1"/>
  <c r="S9" i="14" s="1"/>
  <c r="T8" i="6"/>
  <c r="T36" i="5" s="1"/>
  <c r="T9" i="14" s="1"/>
  <c r="U8" i="6"/>
  <c r="U36" i="5" s="1"/>
  <c r="U9" i="14" s="1"/>
  <c r="V8" i="6"/>
  <c r="V36" i="5" s="1"/>
  <c r="V9" i="14" s="1"/>
  <c r="W8" i="6"/>
  <c r="W36" i="5" s="1"/>
  <c r="W9" i="14" s="1"/>
  <c r="X8" i="6"/>
  <c r="X36" i="5" s="1"/>
  <c r="X9" i="14" s="1"/>
  <c r="Y8" i="6"/>
  <c r="Y36" i="5" s="1"/>
  <c r="Y9" i="14" s="1"/>
  <c r="Z8" i="6"/>
  <c r="Z36" i="5" s="1"/>
  <c r="Z9" i="14" s="1"/>
  <c r="AA8" i="6"/>
  <c r="AA36" i="5" s="1"/>
  <c r="AA9" i="14" s="1"/>
  <c r="AB8" i="6"/>
  <c r="AB36" i="5" s="1"/>
  <c r="AB9" i="14" s="1"/>
  <c r="AC8" i="6"/>
  <c r="AC36" i="5" s="1"/>
  <c r="AC9" i="14" s="1"/>
  <c r="AD8" i="6"/>
  <c r="AD36" i="5" s="1"/>
  <c r="AD9" i="14" s="1"/>
  <c r="AE8" i="6"/>
  <c r="AE36" i="5" s="1"/>
  <c r="AE9" i="14" s="1"/>
  <c r="AF8" i="6"/>
  <c r="AF36" i="5" s="1"/>
  <c r="AF9" i="14" s="1"/>
  <c r="AG8" i="6"/>
  <c r="AG36" i="5" s="1"/>
  <c r="AG9" i="14" s="1"/>
  <c r="P7" i="6"/>
  <c r="P35" i="5" s="1"/>
  <c r="Q7" i="6"/>
  <c r="Q35" i="5" s="1"/>
  <c r="Q8" i="14" s="1"/>
  <c r="R7" i="6"/>
  <c r="R35" i="5" s="1"/>
  <c r="R8" i="14" s="1"/>
  <c r="S7" i="6"/>
  <c r="S35" i="5" s="1"/>
  <c r="T7" i="6"/>
  <c r="T35" i="5" s="1"/>
  <c r="U7" i="6"/>
  <c r="U35" i="5" s="1"/>
  <c r="U8" i="14" s="1"/>
  <c r="V7" i="6"/>
  <c r="V35" i="5" s="1"/>
  <c r="V8" i="14" s="1"/>
  <c r="W7" i="6"/>
  <c r="W35" i="5" s="1"/>
  <c r="X7" i="6"/>
  <c r="X35" i="5" s="1"/>
  <c r="Y7" i="6"/>
  <c r="Y35" i="5" s="1"/>
  <c r="Y8" i="14" s="1"/>
  <c r="Z7" i="6"/>
  <c r="Z35" i="5" s="1"/>
  <c r="Z8" i="14" s="1"/>
  <c r="AA7" i="6"/>
  <c r="AA35" i="5" s="1"/>
  <c r="AB7" i="6"/>
  <c r="AB35" i="5" s="1"/>
  <c r="AC7" i="6"/>
  <c r="AC35" i="5" s="1"/>
  <c r="AC8" i="14" s="1"/>
  <c r="AD7" i="6"/>
  <c r="AD35" i="5" s="1"/>
  <c r="AD8" i="14" s="1"/>
  <c r="AE7" i="6"/>
  <c r="AE35" i="5" s="1"/>
  <c r="AF7" i="6"/>
  <c r="AF35" i="5" s="1"/>
  <c r="AG7" i="6"/>
  <c r="AG35" i="5" s="1"/>
  <c r="AG8" i="14" s="1"/>
  <c r="P6" i="6"/>
  <c r="P34" i="5" s="1"/>
  <c r="P7" i="14" s="1"/>
  <c r="Q6" i="6"/>
  <c r="Q34" i="5" s="1"/>
  <c r="Q7" i="14" s="1"/>
  <c r="R6" i="6"/>
  <c r="R34" i="5" s="1"/>
  <c r="R7" i="14" s="1"/>
  <c r="S6" i="6"/>
  <c r="S34" i="5" s="1"/>
  <c r="S7" i="14" s="1"/>
  <c r="T6" i="6"/>
  <c r="T34" i="5" s="1"/>
  <c r="T7" i="14" s="1"/>
  <c r="U6" i="6"/>
  <c r="U34" i="5" s="1"/>
  <c r="U7" i="14" s="1"/>
  <c r="V6" i="6"/>
  <c r="V34" i="5" s="1"/>
  <c r="V7" i="14" s="1"/>
  <c r="W6" i="6"/>
  <c r="W34" i="5" s="1"/>
  <c r="W7" i="14" s="1"/>
  <c r="X6" i="6"/>
  <c r="X34" i="5" s="1"/>
  <c r="X7" i="14" s="1"/>
  <c r="Y6" i="6"/>
  <c r="Y34" i="5" s="1"/>
  <c r="Y7" i="14" s="1"/>
  <c r="Z6" i="6"/>
  <c r="Z34" i="5" s="1"/>
  <c r="Z7" i="14" s="1"/>
  <c r="AA6" i="6"/>
  <c r="AA34" i="5" s="1"/>
  <c r="AA7" i="14" s="1"/>
  <c r="AB6" i="6"/>
  <c r="AB34" i="5" s="1"/>
  <c r="AB7" i="14" s="1"/>
  <c r="AC6" i="6"/>
  <c r="AC34" i="5" s="1"/>
  <c r="AC7" i="14" s="1"/>
  <c r="AD6" i="6"/>
  <c r="AD34" i="5" s="1"/>
  <c r="AD7" i="14" s="1"/>
  <c r="AE6" i="6"/>
  <c r="AE34" i="5" s="1"/>
  <c r="AE7" i="14" s="1"/>
  <c r="AF6" i="6"/>
  <c r="AF34" i="5" s="1"/>
  <c r="AF7" i="14" s="1"/>
  <c r="AG6" i="6"/>
  <c r="AG34" i="5" s="1"/>
  <c r="AG7" i="14" s="1"/>
  <c r="P5" i="6"/>
  <c r="P33" i="5" s="1"/>
  <c r="Q5" i="6"/>
  <c r="Q33" i="5" s="1"/>
  <c r="Q6" i="14" s="1"/>
  <c r="R5" i="6"/>
  <c r="R33" i="5" s="1"/>
  <c r="R6" i="14" s="1"/>
  <c r="S5" i="6"/>
  <c r="S33" i="5" s="1"/>
  <c r="T5" i="6"/>
  <c r="T33" i="5" s="1"/>
  <c r="U5" i="6"/>
  <c r="U33" i="5" s="1"/>
  <c r="U6" i="14" s="1"/>
  <c r="V5" i="6"/>
  <c r="V33" i="5" s="1"/>
  <c r="V6" i="14" s="1"/>
  <c r="W5" i="6"/>
  <c r="W33" i="5" s="1"/>
  <c r="X5" i="6"/>
  <c r="X33" i="5" s="1"/>
  <c r="Y5" i="6"/>
  <c r="Y33" i="5" s="1"/>
  <c r="Y6" i="14" s="1"/>
  <c r="Z5" i="6"/>
  <c r="Z33" i="5" s="1"/>
  <c r="Z6" i="14" s="1"/>
  <c r="AA5" i="6"/>
  <c r="AA33" i="5" s="1"/>
  <c r="AB5" i="6"/>
  <c r="AB33" i="5" s="1"/>
  <c r="AC5" i="6"/>
  <c r="AC33" i="5" s="1"/>
  <c r="AC6" i="14" s="1"/>
  <c r="AD5" i="6"/>
  <c r="AD33" i="5" s="1"/>
  <c r="AD6" i="14" s="1"/>
  <c r="AE5" i="6"/>
  <c r="AE33" i="5" s="1"/>
  <c r="AF5" i="6"/>
  <c r="AF33" i="5" s="1"/>
  <c r="AG5" i="6"/>
  <c r="AG33" i="5" s="1"/>
  <c r="AG6" i="14" s="1"/>
  <c r="P4" i="6"/>
  <c r="P32" i="5" s="1"/>
  <c r="Q4" i="6"/>
  <c r="Q32" i="5" s="1"/>
  <c r="R4" i="6"/>
  <c r="R32" i="5" s="1"/>
  <c r="S4" i="6"/>
  <c r="S32" i="5" s="1"/>
  <c r="T4" i="6"/>
  <c r="T32" i="5" s="1"/>
  <c r="U4" i="6"/>
  <c r="U32" i="5" s="1"/>
  <c r="V4" i="6"/>
  <c r="V32" i="5" s="1"/>
  <c r="W4" i="6"/>
  <c r="W32" i="5" s="1"/>
  <c r="X4" i="6"/>
  <c r="X32" i="5" s="1"/>
  <c r="Y4" i="6"/>
  <c r="Y32" i="5" s="1"/>
  <c r="Z4" i="6"/>
  <c r="Z32" i="5" s="1"/>
  <c r="AA4" i="6"/>
  <c r="AA32" i="5" s="1"/>
  <c r="AB4" i="6"/>
  <c r="AB32" i="5" s="1"/>
  <c r="AC4" i="6"/>
  <c r="AC32" i="5" s="1"/>
  <c r="AD4" i="6"/>
  <c r="AD32" i="5" s="1"/>
  <c r="AE4" i="6"/>
  <c r="AE32" i="5" s="1"/>
  <c r="AF4" i="6"/>
  <c r="AF32" i="5" s="1"/>
  <c r="AG4" i="6"/>
  <c r="AG32" i="5" s="1"/>
  <c r="O16" i="6"/>
  <c r="O44" i="5" s="1"/>
  <c r="O17" i="14" s="1"/>
  <c r="O15" i="6"/>
  <c r="O43" i="5" s="1"/>
  <c r="O16" i="14" s="1"/>
  <c r="O14" i="6"/>
  <c r="O42" i="5" s="1"/>
  <c r="O15" i="14" s="1"/>
  <c r="O13" i="6"/>
  <c r="O41" i="5" s="1"/>
  <c r="O14" i="14" s="1"/>
  <c r="O12" i="6"/>
  <c r="O40" i="5" s="1"/>
  <c r="O9" i="6"/>
  <c r="O37" i="5" s="1"/>
  <c r="O10" i="14" s="1"/>
  <c r="O8" i="6"/>
  <c r="O36" i="5" s="1"/>
  <c r="O9" i="14" s="1"/>
  <c r="O7" i="6"/>
  <c r="O35" i="5" s="1"/>
  <c r="O6" i="6"/>
  <c r="O34" i="5" s="1"/>
  <c r="O5" i="6"/>
  <c r="O33" i="5" s="1"/>
  <c r="O6" i="14" s="1"/>
  <c r="O4" i="6"/>
  <c r="O32" i="5" s="1"/>
  <c r="AH48" i="6"/>
  <c r="AH16" i="5" s="1"/>
  <c r="AH47" i="6"/>
  <c r="AH15" i="5" s="1"/>
  <c r="N48" i="6"/>
  <c r="N16" i="5" s="1"/>
  <c r="N13" i="13" s="1"/>
  <c r="N47" i="6"/>
  <c r="N15" i="5" s="1"/>
  <c r="N12" i="13" s="1"/>
  <c r="C48" i="6"/>
  <c r="C16" i="5" s="1"/>
  <c r="C13" i="13" s="1"/>
  <c r="C47" i="6"/>
  <c r="C15" i="5" s="1"/>
  <c r="C12" i="13" s="1"/>
  <c r="C46" i="6"/>
  <c r="C14" i="5" s="1"/>
  <c r="C11" i="13" s="1"/>
  <c r="C45" i="6"/>
  <c r="C13" i="5" s="1"/>
  <c r="C10" i="13" s="1"/>
  <c r="D16" i="6"/>
  <c r="D44" i="5" s="1"/>
  <c r="D17" i="14" s="1"/>
  <c r="D15" i="6"/>
  <c r="D43" i="5" s="1"/>
  <c r="D14" i="6"/>
  <c r="D42" i="5" s="1"/>
  <c r="D15" i="14" s="1"/>
  <c r="D13" i="6"/>
  <c r="D41" i="5" s="1"/>
  <c r="D14" i="14" s="1"/>
  <c r="D12" i="6"/>
  <c r="D40" i="5" s="1"/>
  <c r="D11" i="6"/>
  <c r="D39" i="5" s="1"/>
  <c r="D10" i="6"/>
  <c r="D38" i="5" s="1"/>
  <c r="D9" i="6"/>
  <c r="D37" i="5" s="1"/>
  <c r="D8" i="6"/>
  <c r="D36" i="5" s="1"/>
  <c r="D7" i="6"/>
  <c r="D35" i="5" s="1"/>
  <c r="D6" i="6"/>
  <c r="D34" i="5" s="1"/>
  <c r="D33" i="5"/>
  <c r="D6" i="14" s="1"/>
  <c r="E16" i="6"/>
  <c r="E44" i="5" s="1"/>
  <c r="E17" i="14" s="1"/>
  <c r="F16" i="6"/>
  <c r="F44" i="5" s="1"/>
  <c r="F17" i="14" s="1"/>
  <c r="G16" i="6"/>
  <c r="G44" i="5" s="1"/>
  <c r="G17" i="14" s="1"/>
  <c r="H16" i="6"/>
  <c r="H44" i="5" s="1"/>
  <c r="H17" i="14" s="1"/>
  <c r="I16" i="6"/>
  <c r="I44" i="5" s="1"/>
  <c r="I17" i="14" s="1"/>
  <c r="J16" i="6"/>
  <c r="J44" i="5" s="1"/>
  <c r="J17" i="14" s="1"/>
  <c r="K16" i="6"/>
  <c r="K44" i="5" s="1"/>
  <c r="K17" i="14" s="1"/>
  <c r="L16" i="6"/>
  <c r="L44" i="5" s="1"/>
  <c r="L17" i="14" s="1"/>
  <c r="M16" i="6"/>
  <c r="M44" i="5" s="1"/>
  <c r="M17" i="14" s="1"/>
  <c r="C44" i="6"/>
  <c r="C43" i="6"/>
  <c r="C11" i="5" s="1"/>
  <c r="C8" i="13" s="1"/>
  <c r="E15" i="6"/>
  <c r="E43" i="5" s="1"/>
  <c r="E16" i="14" s="1"/>
  <c r="F15" i="6"/>
  <c r="F43" i="5" s="1"/>
  <c r="G15" i="6"/>
  <c r="G43" i="5" s="1"/>
  <c r="H15" i="6"/>
  <c r="H43" i="5" s="1"/>
  <c r="H16" i="14" s="1"/>
  <c r="I15" i="6"/>
  <c r="I43" i="5" s="1"/>
  <c r="I16" i="14" s="1"/>
  <c r="J15" i="6"/>
  <c r="J43" i="5" s="1"/>
  <c r="K15" i="6"/>
  <c r="K43" i="5" s="1"/>
  <c r="L15" i="6"/>
  <c r="L43" i="5" s="1"/>
  <c r="L16" i="14" s="1"/>
  <c r="M15" i="6"/>
  <c r="M43" i="5" s="1"/>
  <c r="M16" i="14" s="1"/>
  <c r="C42" i="6"/>
  <c r="C10" i="5" s="1"/>
  <c r="C7" i="13" s="1"/>
  <c r="E14" i="6"/>
  <c r="E42" i="5" s="1"/>
  <c r="E15" i="14" s="1"/>
  <c r="F14" i="6"/>
  <c r="F42" i="5" s="1"/>
  <c r="F15" i="14" s="1"/>
  <c r="G14" i="6"/>
  <c r="G42" i="5" s="1"/>
  <c r="G15" i="14" s="1"/>
  <c r="H14" i="6"/>
  <c r="H42" i="5" s="1"/>
  <c r="H15" i="14" s="1"/>
  <c r="I14" i="6"/>
  <c r="I42" i="5" s="1"/>
  <c r="I15" i="14" s="1"/>
  <c r="J14" i="6"/>
  <c r="J42" i="5" s="1"/>
  <c r="J15" i="14" s="1"/>
  <c r="K14" i="6"/>
  <c r="K42" i="5" s="1"/>
  <c r="K15" i="14" s="1"/>
  <c r="L14" i="6"/>
  <c r="L42" i="5" s="1"/>
  <c r="L15" i="14" s="1"/>
  <c r="M14" i="6"/>
  <c r="M42" i="5" s="1"/>
  <c r="M15" i="14" s="1"/>
  <c r="E13" i="6"/>
  <c r="E41" i="5" s="1"/>
  <c r="E14" i="14" s="1"/>
  <c r="F13" i="6"/>
  <c r="F41" i="5" s="1"/>
  <c r="F14" i="14" s="1"/>
  <c r="G13" i="6"/>
  <c r="G41" i="5" s="1"/>
  <c r="G14" i="14" s="1"/>
  <c r="H13" i="6"/>
  <c r="H41" i="5" s="1"/>
  <c r="H14" i="14" s="1"/>
  <c r="I13" i="6"/>
  <c r="I41" i="5" s="1"/>
  <c r="I14" i="14" s="1"/>
  <c r="J13" i="6"/>
  <c r="J41" i="5" s="1"/>
  <c r="J14" i="14" s="1"/>
  <c r="K13" i="6"/>
  <c r="K41" i="5" s="1"/>
  <c r="K14" i="14" s="1"/>
  <c r="L13" i="6"/>
  <c r="L41" i="5" s="1"/>
  <c r="L14" i="14" s="1"/>
  <c r="M13" i="6"/>
  <c r="M41" i="5" s="1"/>
  <c r="M14" i="14" s="1"/>
  <c r="E12" i="6"/>
  <c r="E40" i="5" s="1"/>
  <c r="E13" i="14" s="1"/>
  <c r="F12" i="6"/>
  <c r="F40" i="5" s="1"/>
  <c r="G12" i="6"/>
  <c r="G40" i="5" s="1"/>
  <c r="H12" i="6"/>
  <c r="H40" i="5" s="1"/>
  <c r="H13" i="14" s="1"/>
  <c r="I12" i="6"/>
  <c r="I40" i="5" s="1"/>
  <c r="I13" i="14" s="1"/>
  <c r="J12" i="6"/>
  <c r="J40" i="5" s="1"/>
  <c r="K12" i="6"/>
  <c r="K40" i="5" s="1"/>
  <c r="L12" i="6"/>
  <c r="L40" i="5" s="1"/>
  <c r="L13" i="14" s="1"/>
  <c r="M12" i="6"/>
  <c r="M40" i="5" s="1"/>
  <c r="M13" i="14" s="1"/>
  <c r="E11" i="6"/>
  <c r="E39" i="5" s="1"/>
  <c r="F11" i="6"/>
  <c r="F39" i="5" s="1"/>
  <c r="G11" i="6"/>
  <c r="G39" i="5" s="1"/>
  <c r="G12" i="14" s="1"/>
  <c r="H11" i="6"/>
  <c r="H39" i="5" s="1"/>
  <c r="H12" i="14" s="1"/>
  <c r="I11" i="6"/>
  <c r="I39" i="5" s="1"/>
  <c r="J11" i="6"/>
  <c r="J39" i="5" s="1"/>
  <c r="K11" i="6"/>
  <c r="K39" i="5" s="1"/>
  <c r="K12" i="14" s="1"/>
  <c r="L11" i="6"/>
  <c r="L39" i="5" s="1"/>
  <c r="L12" i="14" s="1"/>
  <c r="M11" i="6"/>
  <c r="M39" i="5" s="1"/>
  <c r="C40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E38" i="5"/>
  <c r="F10" i="6"/>
  <c r="F38" i="5" s="1"/>
  <c r="G10" i="6"/>
  <c r="G38" i="5" s="1"/>
  <c r="G11" i="14" s="1"/>
  <c r="H10" i="6"/>
  <c r="H38" i="5" s="1"/>
  <c r="H11" i="14" s="1"/>
  <c r="I10" i="6"/>
  <c r="I38" i="5" s="1"/>
  <c r="J10" i="6"/>
  <c r="J38" i="5" s="1"/>
  <c r="K10" i="6"/>
  <c r="K38" i="5" s="1"/>
  <c r="K11" i="14" s="1"/>
  <c r="L10" i="6"/>
  <c r="L38" i="5" s="1"/>
  <c r="L11" i="14" s="1"/>
  <c r="M10" i="6"/>
  <c r="M38" i="5" s="1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O61" i="6"/>
  <c r="E9" i="6"/>
  <c r="E37" i="5" s="1"/>
  <c r="F9" i="6"/>
  <c r="F37" i="5" s="1"/>
  <c r="G9" i="6"/>
  <c r="G37" i="5" s="1"/>
  <c r="G10" i="14" s="1"/>
  <c r="H9" i="6"/>
  <c r="H37" i="5" s="1"/>
  <c r="H10" i="14" s="1"/>
  <c r="I9" i="6"/>
  <c r="I37" i="5" s="1"/>
  <c r="J9" i="6"/>
  <c r="J37" i="5" s="1"/>
  <c r="K9" i="6"/>
  <c r="K37" i="5" s="1"/>
  <c r="K10" i="14" s="1"/>
  <c r="L9" i="6"/>
  <c r="L37" i="5" s="1"/>
  <c r="L10" i="14" s="1"/>
  <c r="M9" i="6"/>
  <c r="M37" i="5" s="1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O60" i="6"/>
  <c r="E8" i="6"/>
  <c r="E36" i="5" s="1"/>
  <c r="G8" i="6"/>
  <c r="G36" i="5" s="1"/>
  <c r="H8" i="6"/>
  <c r="H36" i="5" s="1"/>
  <c r="H9" i="14" s="1"/>
  <c r="I8" i="6"/>
  <c r="I36" i="5" s="1"/>
  <c r="I9" i="14" s="1"/>
  <c r="J8" i="6"/>
  <c r="J36" i="5" s="1"/>
  <c r="K8" i="6"/>
  <c r="K36" i="5" s="1"/>
  <c r="L8" i="6"/>
  <c r="L36" i="5" s="1"/>
  <c r="L9" i="14" s="1"/>
  <c r="M8" i="6"/>
  <c r="M36" i="5" s="1"/>
  <c r="M9" i="14" s="1"/>
  <c r="M7" i="6"/>
  <c r="M35" i="5" s="1"/>
  <c r="E7" i="6"/>
  <c r="E35" i="5" s="1"/>
  <c r="F7" i="6"/>
  <c r="F35" i="5" s="1"/>
  <c r="F8" i="14" s="1"/>
  <c r="G7" i="6"/>
  <c r="G35" i="5" s="1"/>
  <c r="G8" i="14" s="1"/>
  <c r="H7" i="6"/>
  <c r="H35" i="5" s="1"/>
  <c r="H8" i="14" s="1"/>
  <c r="I7" i="6"/>
  <c r="I35" i="5" s="1"/>
  <c r="I8" i="14" s="1"/>
  <c r="J7" i="6"/>
  <c r="J35" i="5" s="1"/>
  <c r="J8" i="14" s="1"/>
  <c r="K7" i="6"/>
  <c r="K35" i="5" s="1"/>
  <c r="K8" i="14" s="1"/>
  <c r="L7" i="6"/>
  <c r="L35" i="5" s="1"/>
  <c r="L8" i="14" s="1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O59" i="6"/>
  <c r="E6" i="6"/>
  <c r="E34" i="5" s="1"/>
  <c r="F6" i="6"/>
  <c r="F34" i="5" s="1"/>
  <c r="F7" i="14" s="1"/>
  <c r="G6" i="6"/>
  <c r="G34" i="5" s="1"/>
  <c r="G7" i="14" s="1"/>
  <c r="H6" i="6"/>
  <c r="H34" i="5" s="1"/>
  <c r="H7" i="14" s="1"/>
  <c r="I6" i="6"/>
  <c r="I34" i="5" s="1"/>
  <c r="I7" i="14" s="1"/>
  <c r="J6" i="6"/>
  <c r="J34" i="5" s="1"/>
  <c r="K6" i="6"/>
  <c r="K34" i="5" s="1"/>
  <c r="K7" i="14" s="1"/>
  <c r="L6" i="6"/>
  <c r="L34" i="5" s="1"/>
  <c r="L7" i="14" s="1"/>
  <c r="M6" i="6"/>
  <c r="M34" i="5" s="1"/>
  <c r="E5" i="6"/>
  <c r="E33" i="5" s="1"/>
  <c r="F5" i="6"/>
  <c r="F33" i="5" s="1"/>
  <c r="F6" i="14" s="1"/>
  <c r="G5" i="6"/>
  <c r="G33" i="5" s="1"/>
  <c r="G6" i="14" s="1"/>
  <c r="H5" i="6"/>
  <c r="H33" i="5" s="1"/>
  <c r="H6" i="14" s="1"/>
  <c r="I5" i="6"/>
  <c r="I33" i="5" s="1"/>
  <c r="J5" i="6"/>
  <c r="J33" i="5" s="1"/>
  <c r="J6" i="14" s="1"/>
  <c r="K5" i="6"/>
  <c r="K33" i="5" s="1"/>
  <c r="K6" i="14" s="1"/>
  <c r="L5" i="6"/>
  <c r="L33" i="5" s="1"/>
  <c r="L6" i="14" s="1"/>
  <c r="M5" i="6"/>
  <c r="M33" i="5" s="1"/>
  <c r="E62" i="6"/>
  <c r="F62" i="6"/>
  <c r="G62" i="6"/>
  <c r="H62" i="6"/>
  <c r="I62" i="6"/>
  <c r="J62" i="6"/>
  <c r="K62" i="6"/>
  <c r="L62" i="6"/>
  <c r="M62" i="6"/>
  <c r="D62" i="6"/>
  <c r="E61" i="6"/>
  <c r="F61" i="6"/>
  <c r="G61" i="6"/>
  <c r="H61" i="6"/>
  <c r="I61" i="6"/>
  <c r="J61" i="6"/>
  <c r="K61" i="6"/>
  <c r="L61" i="6"/>
  <c r="M61" i="6"/>
  <c r="D61" i="6"/>
  <c r="E60" i="6"/>
  <c r="F60" i="6"/>
  <c r="G60" i="6"/>
  <c r="H60" i="6"/>
  <c r="I60" i="6"/>
  <c r="J60" i="6"/>
  <c r="K60" i="6"/>
  <c r="L60" i="6"/>
  <c r="M60" i="6"/>
  <c r="D60" i="6"/>
  <c r="E59" i="6"/>
  <c r="F59" i="6"/>
  <c r="G59" i="6"/>
  <c r="H59" i="6"/>
  <c r="I59" i="6"/>
  <c r="J59" i="6"/>
  <c r="K59" i="6"/>
  <c r="L59" i="6"/>
  <c r="M59" i="6"/>
  <c r="D59" i="6"/>
  <c r="E4" i="6"/>
  <c r="E32" i="5" s="1"/>
  <c r="F4" i="6"/>
  <c r="F32" i="5" s="1"/>
  <c r="G4" i="6"/>
  <c r="G32" i="5" s="1"/>
  <c r="H4" i="6"/>
  <c r="H32" i="5" s="1"/>
  <c r="I4" i="6"/>
  <c r="I32" i="5" s="1"/>
  <c r="J4" i="6"/>
  <c r="J32" i="5" s="1"/>
  <c r="K4" i="6"/>
  <c r="K32" i="5" s="1"/>
  <c r="L4" i="6"/>
  <c r="L32" i="5" s="1"/>
  <c r="M4" i="6"/>
  <c r="M32" i="5" s="1"/>
  <c r="D27" i="6"/>
  <c r="F28" i="6"/>
  <c r="G33" i="6"/>
  <c r="N58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O33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O29" i="6"/>
  <c r="AG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O27" i="6"/>
  <c r="D28" i="6"/>
  <c r="E33" i="6"/>
  <c r="F33" i="6"/>
  <c r="H33" i="6"/>
  <c r="I33" i="6"/>
  <c r="J33" i="6"/>
  <c r="K33" i="6"/>
  <c r="L33" i="6"/>
  <c r="M33" i="6"/>
  <c r="D33" i="6"/>
  <c r="D29" i="6"/>
  <c r="E29" i="6"/>
  <c r="F29" i="6"/>
  <c r="G29" i="6"/>
  <c r="H29" i="6"/>
  <c r="I29" i="6"/>
  <c r="J29" i="6"/>
  <c r="K29" i="6"/>
  <c r="L29" i="6"/>
  <c r="M29" i="6"/>
  <c r="E28" i="6"/>
  <c r="G28" i="6"/>
  <c r="H28" i="6"/>
  <c r="I28" i="6"/>
  <c r="J28" i="6"/>
  <c r="K28" i="6"/>
  <c r="L28" i="6"/>
  <c r="M28" i="6"/>
  <c r="E27" i="6"/>
  <c r="F27" i="6"/>
  <c r="G27" i="6"/>
  <c r="H27" i="6"/>
  <c r="I27" i="6"/>
  <c r="J27" i="6"/>
  <c r="K27" i="6"/>
  <c r="L27" i="6"/>
  <c r="M27" i="6"/>
  <c r="E30" i="6"/>
  <c r="F30" i="6"/>
  <c r="G30" i="6"/>
  <c r="H30" i="6"/>
  <c r="I30" i="6"/>
  <c r="J30" i="6"/>
  <c r="K30" i="6"/>
  <c r="L30" i="6"/>
  <c r="M30" i="6"/>
  <c r="D30" i="6"/>
  <c r="H7" i="2"/>
  <c r="C60" i="5" s="1"/>
  <c r="G61" i="9" l="1"/>
  <c r="G5" i="14"/>
  <c r="E63" i="9"/>
  <c r="E7" i="14"/>
  <c r="E65" i="9"/>
  <c r="E9" i="14"/>
  <c r="I66" i="9"/>
  <c r="I10" i="14"/>
  <c r="I44" i="14" s="1"/>
  <c r="E67" i="9"/>
  <c r="E11" i="14"/>
  <c r="I68" i="9"/>
  <c r="I12" i="14"/>
  <c r="O64" i="9"/>
  <c r="O8" i="14"/>
  <c r="AG61" i="9"/>
  <c r="AG5" i="14"/>
  <c r="AG39" i="14" s="1"/>
  <c r="U61" i="9"/>
  <c r="U5" i="14"/>
  <c r="AA62" i="9"/>
  <c r="AA6" i="14"/>
  <c r="AA64" i="9"/>
  <c r="AA8" i="14"/>
  <c r="W64" i="9"/>
  <c r="W8" i="14"/>
  <c r="AB69" i="9"/>
  <c r="AB13" i="14"/>
  <c r="P69" i="9"/>
  <c r="P13" i="14"/>
  <c r="F61" i="9"/>
  <c r="F5" i="14"/>
  <c r="AB61" i="9"/>
  <c r="AB5" i="14"/>
  <c r="P61" i="9"/>
  <c r="P5" i="14"/>
  <c r="K61" i="9"/>
  <c r="K5" i="14"/>
  <c r="M63" i="9"/>
  <c r="M7" i="14"/>
  <c r="J65" i="9"/>
  <c r="J9" i="14"/>
  <c r="M66" i="9"/>
  <c r="M10" i="14"/>
  <c r="E66" i="9"/>
  <c r="E10" i="14"/>
  <c r="I67" i="9"/>
  <c r="I11" i="14"/>
  <c r="M68" i="9"/>
  <c r="M12" i="14"/>
  <c r="J69" i="9"/>
  <c r="J13" i="14"/>
  <c r="J72" i="9"/>
  <c r="J16" i="14"/>
  <c r="D65" i="9"/>
  <c r="D9" i="14"/>
  <c r="D69" i="9"/>
  <c r="D13" i="14"/>
  <c r="Y61" i="9"/>
  <c r="Y5" i="14"/>
  <c r="AE62" i="9"/>
  <c r="AE6" i="14"/>
  <c r="AE43" i="14" s="1"/>
  <c r="W62" i="9"/>
  <c r="W6" i="14"/>
  <c r="AF69" i="9"/>
  <c r="AF13" i="14"/>
  <c r="T69" i="9"/>
  <c r="T13" i="14"/>
  <c r="X61" i="9"/>
  <c r="X5" i="14"/>
  <c r="C103" i="9"/>
  <c r="D61" i="13"/>
  <c r="M61" i="9"/>
  <c r="M5" i="14"/>
  <c r="I61" i="9"/>
  <c r="I5" i="14"/>
  <c r="E61" i="9"/>
  <c r="E5" i="14"/>
  <c r="D63" i="9"/>
  <c r="D7" i="14"/>
  <c r="D67" i="9"/>
  <c r="D11" i="14"/>
  <c r="AE61" i="9"/>
  <c r="AE5" i="14"/>
  <c r="AA61" i="9"/>
  <c r="AA5" i="14"/>
  <c r="W61" i="9"/>
  <c r="W5" i="14"/>
  <c r="S61" i="9"/>
  <c r="S5" i="14"/>
  <c r="M64" i="9"/>
  <c r="M8" i="14"/>
  <c r="M67" i="9"/>
  <c r="M11" i="14"/>
  <c r="E68" i="9"/>
  <c r="E12" i="14"/>
  <c r="F69" i="9"/>
  <c r="F13" i="14"/>
  <c r="F72" i="9"/>
  <c r="F16" i="14"/>
  <c r="AH13" i="9"/>
  <c r="AH13" i="13"/>
  <c r="AC61" i="9"/>
  <c r="AC5" i="14"/>
  <c r="Q61" i="9"/>
  <c r="Q5" i="14"/>
  <c r="S62" i="9"/>
  <c r="S6" i="14"/>
  <c r="AE64" i="9"/>
  <c r="AE8" i="14"/>
  <c r="S64" i="9"/>
  <c r="S8" i="14"/>
  <c r="X69" i="9"/>
  <c r="X13" i="14"/>
  <c r="J61" i="9"/>
  <c r="J5" i="14"/>
  <c r="D66" i="9"/>
  <c r="D10" i="14"/>
  <c r="O61" i="9"/>
  <c r="O5" i="14"/>
  <c r="AF61" i="9"/>
  <c r="AF5" i="14"/>
  <c r="T61" i="9"/>
  <c r="T5" i="14"/>
  <c r="L61" i="9"/>
  <c r="L5" i="14"/>
  <c r="L35" i="14" s="1"/>
  <c r="H61" i="9"/>
  <c r="H5" i="14"/>
  <c r="M62" i="9"/>
  <c r="M6" i="14"/>
  <c r="I62" i="9"/>
  <c r="I6" i="14"/>
  <c r="E62" i="9"/>
  <c r="E6" i="14"/>
  <c r="J63" i="9"/>
  <c r="J7" i="14"/>
  <c r="E64" i="9"/>
  <c r="E8" i="14"/>
  <c r="K65" i="9"/>
  <c r="K9" i="14"/>
  <c r="G65" i="9"/>
  <c r="G9" i="14"/>
  <c r="J66" i="9"/>
  <c r="J10" i="14"/>
  <c r="F66" i="9"/>
  <c r="F10" i="14"/>
  <c r="J67" i="9"/>
  <c r="J11" i="14"/>
  <c r="F67" i="9"/>
  <c r="F11" i="14"/>
  <c r="J68" i="9"/>
  <c r="J12" i="14"/>
  <c r="F68" i="9"/>
  <c r="F12" i="14"/>
  <c r="K69" i="9"/>
  <c r="K13" i="14"/>
  <c r="G69" i="9"/>
  <c r="G13" i="14"/>
  <c r="K72" i="9"/>
  <c r="K16" i="14"/>
  <c r="G72" i="9"/>
  <c r="G16" i="14"/>
  <c r="D64" i="9"/>
  <c r="D8" i="14"/>
  <c r="D68" i="9"/>
  <c r="D12" i="14"/>
  <c r="D72" i="9"/>
  <c r="D16" i="14"/>
  <c r="AH12" i="9"/>
  <c r="AH12" i="13"/>
  <c r="O63" i="9"/>
  <c r="O7" i="14"/>
  <c r="O46" i="14" s="1"/>
  <c r="O69" i="9"/>
  <c r="O13" i="14"/>
  <c r="AD61" i="9"/>
  <c r="AD5" i="14"/>
  <c r="AD46" i="14" s="1"/>
  <c r="Z61" i="9"/>
  <c r="Z5" i="14"/>
  <c r="V61" i="9"/>
  <c r="V5" i="14"/>
  <c r="V42" i="14" s="1"/>
  <c r="R61" i="9"/>
  <c r="R5" i="14"/>
  <c r="R46" i="14" s="1"/>
  <c r="AF62" i="9"/>
  <c r="AF6" i="14"/>
  <c r="AB62" i="9"/>
  <c r="AB6" i="14"/>
  <c r="X62" i="9"/>
  <c r="X6" i="14"/>
  <c r="T62" i="9"/>
  <c r="T6" i="14"/>
  <c r="P62" i="9"/>
  <c r="P6" i="14"/>
  <c r="Z36" i="14"/>
  <c r="AF64" i="9"/>
  <c r="AF8" i="14"/>
  <c r="AB64" i="9"/>
  <c r="AB8" i="14"/>
  <c r="X64" i="9"/>
  <c r="X8" i="14"/>
  <c r="T64" i="9"/>
  <c r="T8" i="14"/>
  <c r="P64" i="9"/>
  <c r="P8" i="14"/>
  <c r="R38" i="14"/>
  <c r="AG69" i="9"/>
  <c r="AG13" i="14"/>
  <c r="AC69" i="9"/>
  <c r="AC13" i="14"/>
  <c r="Y69" i="9"/>
  <c r="Y13" i="14"/>
  <c r="Y42" i="14" s="1"/>
  <c r="U69" i="9"/>
  <c r="U13" i="14"/>
  <c r="U42" i="14" s="1"/>
  <c r="Q69" i="9"/>
  <c r="Q13" i="14"/>
  <c r="Q42" i="14" s="1"/>
  <c r="Q44" i="14"/>
  <c r="AE72" i="9"/>
  <c r="AE16" i="14"/>
  <c r="AA72" i="9"/>
  <c r="AA16" i="14"/>
  <c r="AA45" i="14" s="1"/>
  <c r="W72" i="9"/>
  <c r="W16" i="14"/>
  <c r="S72" i="9"/>
  <c r="S16" i="14"/>
  <c r="P68" i="9"/>
  <c r="P12" i="14"/>
  <c r="C5" i="13"/>
  <c r="C5" i="9"/>
  <c r="H17" i="5"/>
  <c r="H14" i="13" s="1"/>
  <c r="H70" i="9"/>
  <c r="I18" i="5"/>
  <c r="I15" i="13" s="1"/>
  <c r="I71" i="9"/>
  <c r="E18" i="5"/>
  <c r="E15" i="13" s="1"/>
  <c r="E71" i="9"/>
  <c r="J20" i="5"/>
  <c r="J17" i="13" s="1"/>
  <c r="J73" i="9"/>
  <c r="AD63" i="9"/>
  <c r="V63" i="9"/>
  <c r="Z65" i="9"/>
  <c r="AF66" i="9"/>
  <c r="AF13" i="5"/>
  <c r="AF10" i="13" s="1"/>
  <c r="X66" i="9"/>
  <c r="X13" i="5"/>
  <c r="X10" i="13" s="1"/>
  <c r="AE14" i="5"/>
  <c r="AE67" i="9"/>
  <c r="W14" i="5"/>
  <c r="W11" i="13" s="1"/>
  <c r="W67" i="9"/>
  <c r="AA17" i="5"/>
  <c r="AA70" i="9"/>
  <c r="S17" i="5"/>
  <c r="S14" i="13" s="1"/>
  <c r="S70" i="9"/>
  <c r="AC18" i="5"/>
  <c r="AC71" i="9"/>
  <c r="Q18" i="5"/>
  <c r="Q15" i="13" s="1"/>
  <c r="Q71" i="9"/>
  <c r="AG20" i="5"/>
  <c r="AG73" i="9"/>
  <c r="Y20" i="5"/>
  <c r="Y17" i="13" s="1"/>
  <c r="Y73" i="9"/>
  <c r="Z68" i="9"/>
  <c r="L62" i="9"/>
  <c r="L64" i="9"/>
  <c r="G17" i="5"/>
  <c r="G14" i="13" s="1"/>
  <c r="G70" i="9"/>
  <c r="H18" i="5"/>
  <c r="H15" i="13" s="1"/>
  <c r="H71" i="9"/>
  <c r="I20" i="5"/>
  <c r="I17" i="13" s="1"/>
  <c r="I73" i="9"/>
  <c r="C13" i="9"/>
  <c r="O17" i="5"/>
  <c r="O14" i="13" s="1"/>
  <c r="O70" i="9"/>
  <c r="AG63" i="9"/>
  <c r="AC63" i="9"/>
  <c r="Y63" i="9"/>
  <c r="U63" i="9"/>
  <c r="Q63" i="9"/>
  <c r="AG65" i="9"/>
  <c r="AC65" i="9"/>
  <c r="Y65" i="9"/>
  <c r="U65" i="9"/>
  <c r="Q65" i="9"/>
  <c r="AE66" i="9"/>
  <c r="AE13" i="5"/>
  <c r="AE10" i="13" s="1"/>
  <c r="AA66" i="9"/>
  <c r="AA13" i="5"/>
  <c r="AA10" i="13" s="1"/>
  <c r="W66" i="9"/>
  <c r="W13" i="5"/>
  <c r="W10" i="13" s="1"/>
  <c r="S66" i="9"/>
  <c r="S13" i="5"/>
  <c r="S10" i="13" s="1"/>
  <c r="AD14" i="5"/>
  <c r="AD11" i="13" s="1"/>
  <c r="AD67" i="9"/>
  <c r="Z14" i="5"/>
  <c r="Z67" i="9"/>
  <c r="V14" i="5"/>
  <c r="V11" i="13" s="1"/>
  <c r="V67" i="9"/>
  <c r="R14" i="5"/>
  <c r="R11" i="13" s="1"/>
  <c r="R67" i="9"/>
  <c r="AD17" i="5"/>
  <c r="AD14" i="13" s="1"/>
  <c r="AD70" i="9"/>
  <c r="Z17" i="5"/>
  <c r="Z70" i="9"/>
  <c r="V17" i="5"/>
  <c r="V14" i="13" s="1"/>
  <c r="V70" i="9"/>
  <c r="R17" i="5"/>
  <c r="R14" i="13" s="1"/>
  <c r="R70" i="9"/>
  <c r="AF18" i="5"/>
  <c r="AF15" i="13" s="1"/>
  <c r="AF71" i="9"/>
  <c r="AB18" i="5"/>
  <c r="AB71" i="9"/>
  <c r="X18" i="5"/>
  <c r="X15" i="13" s="1"/>
  <c r="X71" i="9"/>
  <c r="T18" i="5"/>
  <c r="T15" i="13" s="1"/>
  <c r="T71" i="9"/>
  <c r="P18" i="5"/>
  <c r="P15" i="13" s="1"/>
  <c r="P71" i="9"/>
  <c r="AD72" i="9"/>
  <c r="Z72" i="9"/>
  <c r="V72" i="9"/>
  <c r="R72" i="9"/>
  <c r="AF20" i="5"/>
  <c r="AF73" i="9"/>
  <c r="AB20" i="5"/>
  <c r="AB17" i="13" s="1"/>
  <c r="AB73" i="9"/>
  <c r="X20" i="5"/>
  <c r="X17" i="13" s="1"/>
  <c r="X73" i="9"/>
  <c r="T20" i="5"/>
  <c r="T17" i="13" s="1"/>
  <c r="T73" i="9"/>
  <c r="P20" i="5"/>
  <c r="P73" i="9"/>
  <c r="AG68" i="9"/>
  <c r="AC68" i="9"/>
  <c r="Y68" i="9"/>
  <c r="U68" i="9"/>
  <c r="Q68" i="9"/>
  <c r="C12" i="9"/>
  <c r="O20" i="5"/>
  <c r="O73" i="9"/>
  <c r="R63" i="9"/>
  <c r="V65" i="9"/>
  <c r="T66" i="9"/>
  <c r="T13" i="5"/>
  <c r="T10" i="13" s="1"/>
  <c r="S14" i="5"/>
  <c r="S11" i="13" s="1"/>
  <c r="S67" i="9"/>
  <c r="W17" i="5"/>
  <c r="W14" i="13" s="1"/>
  <c r="W70" i="9"/>
  <c r="U18" i="5"/>
  <c r="U71" i="9"/>
  <c r="U20" i="5"/>
  <c r="U17" i="13" s="1"/>
  <c r="U73" i="9"/>
  <c r="V68" i="9"/>
  <c r="H62" i="9"/>
  <c r="C7" i="9"/>
  <c r="K62" i="9"/>
  <c r="G62" i="9"/>
  <c r="L63" i="9"/>
  <c r="H10" i="5"/>
  <c r="H7" i="13" s="1"/>
  <c r="H63" i="9"/>
  <c r="K11" i="5"/>
  <c r="K8" i="13" s="1"/>
  <c r="K64" i="9"/>
  <c r="G64" i="9"/>
  <c r="M65" i="9"/>
  <c r="I65" i="9"/>
  <c r="L66" i="9"/>
  <c r="H13" i="5"/>
  <c r="H10" i="13" s="1"/>
  <c r="H66" i="9"/>
  <c r="L14" i="5"/>
  <c r="L11" i="13" s="1"/>
  <c r="L67" i="9"/>
  <c r="H67" i="9"/>
  <c r="L68" i="9"/>
  <c r="H68" i="9"/>
  <c r="M69" i="9"/>
  <c r="I69" i="9"/>
  <c r="E69" i="9"/>
  <c r="J17" i="5"/>
  <c r="J14" i="13" s="1"/>
  <c r="J70" i="9"/>
  <c r="F17" i="5"/>
  <c r="F14" i="13" s="1"/>
  <c r="F70" i="9"/>
  <c r="K18" i="5"/>
  <c r="K15" i="13" s="1"/>
  <c r="K71" i="9"/>
  <c r="G18" i="5"/>
  <c r="G15" i="13" s="1"/>
  <c r="G71" i="9"/>
  <c r="M72" i="9"/>
  <c r="I72" i="9"/>
  <c r="E19" i="5"/>
  <c r="E16" i="13" s="1"/>
  <c r="E72" i="9"/>
  <c r="L20" i="5"/>
  <c r="L17" i="13" s="1"/>
  <c r="L73" i="9"/>
  <c r="H20" i="5"/>
  <c r="H17" i="13" s="1"/>
  <c r="H73" i="9"/>
  <c r="D49" i="5"/>
  <c r="D62" i="9"/>
  <c r="D17" i="5"/>
  <c r="D14" i="13" s="1"/>
  <c r="D70" i="9"/>
  <c r="C10" i="9"/>
  <c r="O65" i="9"/>
  <c r="O18" i="5"/>
  <c r="O15" i="13" s="1"/>
  <c r="O71" i="9"/>
  <c r="AD62" i="9"/>
  <c r="Z62" i="9"/>
  <c r="V62" i="9"/>
  <c r="R62" i="9"/>
  <c r="AF10" i="5"/>
  <c r="AF7" i="13" s="1"/>
  <c r="AF63" i="9"/>
  <c r="AB63" i="9"/>
  <c r="X10" i="5"/>
  <c r="X7" i="13" s="1"/>
  <c r="X63" i="9"/>
  <c r="T63" i="9"/>
  <c r="P10" i="5"/>
  <c r="P63" i="9"/>
  <c r="AD64" i="9"/>
  <c r="Z11" i="5"/>
  <c r="Z8" i="13" s="1"/>
  <c r="Z64" i="9"/>
  <c r="V64" i="9"/>
  <c r="R11" i="5"/>
  <c r="R8" i="13" s="1"/>
  <c r="R64" i="9"/>
  <c r="AF65" i="9"/>
  <c r="AB65" i="9"/>
  <c r="X65" i="9"/>
  <c r="T65" i="9"/>
  <c r="P65" i="9"/>
  <c r="AD66" i="9"/>
  <c r="AD13" i="5"/>
  <c r="AD10" i="13" s="1"/>
  <c r="Z66" i="9"/>
  <c r="Z13" i="5"/>
  <c r="V66" i="9"/>
  <c r="V13" i="5"/>
  <c r="V10" i="13" s="1"/>
  <c r="R66" i="9"/>
  <c r="R13" i="5"/>
  <c r="R10" i="13" s="1"/>
  <c r="AG14" i="5"/>
  <c r="AG11" i="13" s="1"/>
  <c r="AG67" i="9"/>
  <c r="AC14" i="5"/>
  <c r="AC11" i="13" s="1"/>
  <c r="AC67" i="9"/>
  <c r="Y14" i="5"/>
  <c r="Y11" i="13" s="1"/>
  <c r="Y67" i="9"/>
  <c r="U14" i="5"/>
  <c r="U11" i="13" s="1"/>
  <c r="U67" i="9"/>
  <c r="Q14" i="5"/>
  <c r="Q11" i="13" s="1"/>
  <c r="Q67" i="9"/>
  <c r="AE69" i="9"/>
  <c r="AA69" i="9"/>
  <c r="W69" i="9"/>
  <c r="S69" i="9"/>
  <c r="AG17" i="5"/>
  <c r="AG14" i="13" s="1"/>
  <c r="AG70" i="9"/>
  <c r="AC17" i="5"/>
  <c r="AC14" i="13" s="1"/>
  <c r="AC70" i="9"/>
  <c r="Y17" i="5"/>
  <c r="Y14" i="13" s="1"/>
  <c r="Y70" i="9"/>
  <c r="U17" i="5"/>
  <c r="U14" i="13" s="1"/>
  <c r="U70" i="9"/>
  <c r="Q17" i="5"/>
  <c r="Q14" i="13" s="1"/>
  <c r="Q70" i="9"/>
  <c r="AE18" i="5"/>
  <c r="AE15" i="13" s="1"/>
  <c r="AE71" i="9"/>
  <c r="AA18" i="5"/>
  <c r="AA15" i="13" s="1"/>
  <c r="AA71" i="9"/>
  <c r="W18" i="5"/>
  <c r="W15" i="13" s="1"/>
  <c r="W71" i="9"/>
  <c r="S18" i="5"/>
  <c r="S15" i="13" s="1"/>
  <c r="S71" i="9"/>
  <c r="AG19" i="5"/>
  <c r="AG16" i="13" s="1"/>
  <c r="AG72" i="9"/>
  <c r="AC72" i="9"/>
  <c r="Y19" i="5"/>
  <c r="Y72" i="9"/>
  <c r="U72" i="9"/>
  <c r="Q19" i="5"/>
  <c r="Q16" i="13" s="1"/>
  <c r="Q72" i="9"/>
  <c r="AE20" i="5"/>
  <c r="AE17" i="13" s="1"/>
  <c r="AE73" i="9"/>
  <c r="AA20" i="5"/>
  <c r="AA17" i="13" s="1"/>
  <c r="AA73" i="9"/>
  <c r="W20" i="5"/>
  <c r="W17" i="13" s="1"/>
  <c r="W73" i="9"/>
  <c r="S20" i="5"/>
  <c r="S17" i="13" s="1"/>
  <c r="S73" i="9"/>
  <c r="O14" i="5"/>
  <c r="O11" i="13" s="1"/>
  <c r="O67" i="9"/>
  <c r="AF68" i="9"/>
  <c r="AB68" i="9"/>
  <c r="X68" i="9"/>
  <c r="T68" i="9"/>
  <c r="F10" i="5"/>
  <c r="F7" i="13" s="1"/>
  <c r="F63" i="9"/>
  <c r="I11" i="5"/>
  <c r="I8" i="13" s="1"/>
  <c r="I64" i="9"/>
  <c r="C17" i="9"/>
  <c r="C16" i="9"/>
  <c r="C14" i="9"/>
  <c r="C15" i="9"/>
  <c r="L17" i="5"/>
  <c r="L14" i="13" s="1"/>
  <c r="L70" i="9"/>
  <c r="M18" i="5"/>
  <c r="M15" i="13" s="1"/>
  <c r="M71" i="9"/>
  <c r="F20" i="5"/>
  <c r="F17" i="13" s="1"/>
  <c r="F73" i="9"/>
  <c r="Z63" i="9"/>
  <c r="AD65" i="9"/>
  <c r="R65" i="9"/>
  <c r="AB66" i="9"/>
  <c r="AB13" i="5"/>
  <c r="AB10" i="13" s="1"/>
  <c r="P66" i="9"/>
  <c r="P13" i="5"/>
  <c r="P10" i="13" s="1"/>
  <c r="AA14" i="5"/>
  <c r="AA67" i="9"/>
  <c r="AE17" i="5"/>
  <c r="AE14" i="13" s="1"/>
  <c r="AE70" i="9"/>
  <c r="AG18" i="5"/>
  <c r="AG71" i="9"/>
  <c r="Y18" i="5"/>
  <c r="Y15" i="13" s="1"/>
  <c r="Y71" i="9"/>
  <c r="AC20" i="5"/>
  <c r="AC73" i="9"/>
  <c r="Q20" i="5"/>
  <c r="Q17" i="13" s="1"/>
  <c r="Q73" i="9"/>
  <c r="AD68" i="9"/>
  <c r="R68" i="9"/>
  <c r="I10" i="5"/>
  <c r="I63" i="9"/>
  <c r="H11" i="5"/>
  <c r="H8" i="13" s="1"/>
  <c r="H64" i="9"/>
  <c r="K17" i="5"/>
  <c r="K70" i="9"/>
  <c r="L18" i="5"/>
  <c r="L15" i="13" s="1"/>
  <c r="L71" i="9"/>
  <c r="M20" i="5"/>
  <c r="M17" i="13" s="1"/>
  <c r="M73" i="9"/>
  <c r="E20" i="5"/>
  <c r="E17" i="13" s="1"/>
  <c r="E73" i="9"/>
  <c r="D20" i="5"/>
  <c r="D17" i="13" s="1"/>
  <c r="D73" i="9"/>
  <c r="J62" i="9"/>
  <c r="F62" i="9"/>
  <c r="K63" i="9"/>
  <c r="G63" i="9"/>
  <c r="J64" i="9"/>
  <c r="F64" i="9"/>
  <c r="L65" i="9"/>
  <c r="H65" i="9"/>
  <c r="K66" i="9"/>
  <c r="G66" i="9"/>
  <c r="K67" i="9"/>
  <c r="G67" i="9"/>
  <c r="K68" i="9"/>
  <c r="G68" i="9"/>
  <c r="L69" i="9"/>
  <c r="H69" i="9"/>
  <c r="M17" i="5"/>
  <c r="M14" i="13" s="1"/>
  <c r="M70" i="9"/>
  <c r="I17" i="5"/>
  <c r="I14" i="13" s="1"/>
  <c r="I70" i="9"/>
  <c r="E17" i="5"/>
  <c r="E70" i="9"/>
  <c r="J18" i="5"/>
  <c r="J15" i="13" s="1"/>
  <c r="J71" i="9"/>
  <c r="F18" i="5"/>
  <c r="F15" i="13" s="1"/>
  <c r="F71" i="9"/>
  <c r="L72" i="9"/>
  <c r="H72" i="9"/>
  <c r="C8" i="9"/>
  <c r="K20" i="5"/>
  <c r="K17" i="13" s="1"/>
  <c r="K73" i="9"/>
  <c r="G20" i="5"/>
  <c r="G17" i="13" s="1"/>
  <c r="G73" i="9"/>
  <c r="D18" i="5"/>
  <c r="D15" i="13" s="1"/>
  <c r="D71" i="9"/>
  <c r="C11" i="9"/>
  <c r="O62" i="9"/>
  <c r="O66" i="9"/>
  <c r="O13" i="5"/>
  <c r="O10" i="13" s="1"/>
  <c r="O72" i="9"/>
  <c r="AG62" i="9"/>
  <c r="AC62" i="9"/>
  <c r="Y62" i="9"/>
  <c r="U62" i="9"/>
  <c r="Q62" i="9"/>
  <c r="Q83" i="9" s="1"/>
  <c r="AE63" i="9"/>
  <c r="AA63" i="9"/>
  <c r="W63" i="9"/>
  <c r="S63" i="9"/>
  <c r="AG64" i="9"/>
  <c r="AC64" i="9"/>
  <c r="Y64" i="9"/>
  <c r="U64" i="9"/>
  <c r="Q64" i="9"/>
  <c r="AE65" i="9"/>
  <c r="AA65" i="9"/>
  <c r="W65" i="9"/>
  <c r="S65" i="9"/>
  <c r="AG66" i="9"/>
  <c r="AG13" i="5"/>
  <c r="AC66" i="9"/>
  <c r="AC13" i="5"/>
  <c r="AC10" i="13" s="1"/>
  <c r="Y66" i="9"/>
  <c r="Y13" i="5"/>
  <c r="U66" i="9"/>
  <c r="U13" i="5"/>
  <c r="U10" i="13" s="1"/>
  <c r="Q66" i="9"/>
  <c r="Q13" i="5"/>
  <c r="Q10" i="13" s="1"/>
  <c r="AF14" i="5"/>
  <c r="AF11" i="13" s="1"/>
  <c r="AF67" i="9"/>
  <c r="AB14" i="5"/>
  <c r="AB11" i="13" s="1"/>
  <c r="AB67" i="9"/>
  <c r="X14" i="5"/>
  <c r="X11" i="13" s="1"/>
  <c r="X67" i="9"/>
  <c r="T14" i="5"/>
  <c r="T11" i="13" s="1"/>
  <c r="T67" i="9"/>
  <c r="P14" i="5"/>
  <c r="P11" i="13" s="1"/>
  <c r="P67" i="9"/>
  <c r="AD69" i="9"/>
  <c r="Z69" i="9"/>
  <c r="V69" i="9"/>
  <c r="R69" i="9"/>
  <c r="AF17" i="5"/>
  <c r="AF14" i="13" s="1"/>
  <c r="AF70" i="9"/>
  <c r="AB17" i="5"/>
  <c r="AB14" i="13" s="1"/>
  <c r="AB70" i="9"/>
  <c r="X17" i="5"/>
  <c r="X14" i="13" s="1"/>
  <c r="X70" i="9"/>
  <c r="T17" i="5"/>
  <c r="T14" i="13" s="1"/>
  <c r="T70" i="9"/>
  <c r="P17" i="5"/>
  <c r="P14" i="13" s="1"/>
  <c r="P70" i="9"/>
  <c r="AD18" i="5"/>
  <c r="AD15" i="13" s="1"/>
  <c r="AD71" i="9"/>
  <c r="Z18" i="5"/>
  <c r="Z15" i="13" s="1"/>
  <c r="Z71" i="9"/>
  <c r="V18" i="5"/>
  <c r="V15" i="13" s="1"/>
  <c r="V71" i="9"/>
  <c r="R18" i="5"/>
  <c r="R15" i="13" s="1"/>
  <c r="R71" i="9"/>
  <c r="AF72" i="9"/>
  <c r="AB72" i="9"/>
  <c r="X72" i="9"/>
  <c r="T72" i="9"/>
  <c r="P72" i="9"/>
  <c r="AD20" i="5"/>
  <c r="AD17" i="13" s="1"/>
  <c r="AD73" i="9"/>
  <c r="Z20" i="5"/>
  <c r="Z73" i="9"/>
  <c r="V20" i="5"/>
  <c r="V17" i="13" s="1"/>
  <c r="V73" i="9"/>
  <c r="R20" i="5"/>
  <c r="R17" i="13" s="1"/>
  <c r="R73" i="9"/>
  <c r="O68" i="9"/>
  <c r="AE68" i="9"/>
  <c r="AA68" i="9"/>
  <c r="W68" i="9"/>
  <c r="S68" i="9"/>
  <c r="F65" i="9"/>
  <c r="D13" i="5"/>
  <c r="D10" i="13" s="1"/>
  <c r="AB49" i="5"/>
  <c r="AB48" i="5"/>
  <c r="AB50" i="5"/>
  <c r="AB47" i="5"/>
  <c r="AB51" i="5"/>
  <c r="H48" i="5"/>
  <c r="H47" i="5"/>
  <c r="H51" i="5"/>
  <c r="H50" i="5"/>
  <c r="H49" i="5"/>
  <c r="J10" i="5"/>
  <c r="J7" i="13" s="1"/>
  <c r="E11" i="5"/>
  <c r="J13" i="5"/>
  <c r="J10" i="13" s="1"/>
  <c r="F14" i="5"/>
  <c r="F11" i="13" s="1"/>
  <c r="G19" i="5"/>
  <c r="G16" i="13" s="1"/>
  <c r="D11" i="5"/>
  <c r="D8" i="13" s="1"/>
  <c r="D19" i="5"/>
  <c r="D16" i="13" s="1"/>
  <c r="AD47" i="5"/>
  <c r="AD49" i="5"/>
  <c r="AD50" i="5"/>
  <c r="AD51" i="5"/>
  <c r="AD48" i="5"/>
  <c r="V47" i="5"/>
  <c r="V50" i="5"/>
  <c r="V48" i="5"/>
  <c r="V51" i="5"/>
  <c r="V49" i="5"/>
  <c r="Z10" i="5"/>
  <c r="R10" i="5"/>
  <c r="R7" i="13" s="1"/>
  <c r="AB11" i="5"/>
  <c r="AB8" i="13" s="1"/>
  <c r="T11" i="5"/>
  <c r="T8" i="13" s="1"/>
  <c r="AA19" i="5"/>
  <c r="S19" i="5"/>
  <c r="S16" i="13" s="1"/>
  <c r="G51" i="5"/>
  <c r="G50" i="5"/>
  <c r="G49" i="5"/>
  <c r="G48" i="5"/>
  <c r="G47" i="5"/>
  <c r="L11" i="5"/>
  <c r="L8" i="13" s="1"/>
  <c r="M11" i="5"/>
  <c r="M8" i="13" s="1"/>
  <c r="I13" i="5"/>
  <c r="I10" i="13" s="1"/>
  <c r="M14" i="5"/>
  <c r="M11" i="13" s="1"/>
  <c r="E14" i="5"/>
  <c r="E11" i="13" s="1"/>
  <c r="F19" i="5"/>
  <c r="F16" i="13" s="1"/>
  <c r="AC47" i="5"/>
  <c r="AC51" i="5"/>
  <c r="AC50" i="5"/>
  <c r="AC49" i="5"/>
  <c r="AC48" i="5"/>
  <c r="U51" i="5"/>
  <c r="U50" i="5"/>
  <c r="U49" i="5"/>
  <c r="U48" i="5"/>
  <c r="U47" i="5"/>
  <c r="AG10" i="5"/>
  <c r="AG7" i="13" s="1"/>
  <c r="Y10" i="5"/>
  <c r="Q10" i="5"/>
  <c r="Q7" i="13" s="1"/>
  <c r="AA11" i="5"/>
  <c r="AA8" i="13" s="1"/>
  <c r="S11" i="5"/>
  <c r="S8" i="13" s="1"/>
  <c r="Z19" i="5"/>
  <c r="Z16" i="13" s="1"/>
  <c r="R19" i="5"/>
  <c r="R16" i="13" s="1"/>
  <c r="M51" i="5"/>
  <c r="M50" i="5"/>
  <c r="M49" i="5"/>
  <c r="M48" i="5"/>
  <c r="M47" i="5"/>
  <c r="E51" i="5"/>
  <c r="E50" i="5"/>
  <c r="E47" i="5"/>
  <c r="E49" i="5"/>
  <c r="E48" i="5"/>
  <c r="G10" i="5"/>
  <c r="G7" i="13" s="1"/>
  <c r="J11" i="5"/>
  <c r="J8" i="13" s="1"/>
  <c r="G13" i="5"/>
  <c r="K14" i="5"/>
  <c r="K11" i="13" s="1"/>
  <c r="L19" i="5"/>
  <c r="D14" i="5"/>
  <c r="D11" i="13" s="1"/>
  <c r="O19" i="5"/>
  <c r="O16" i="13" s="1"/>
  <c r="AA51" i="5"/>
  <c r="AA48" i="5"/>
  <c r="AA47" i="5"/>
  <c r="AA50" i="5"/>
  <c r="AA49" i="5"/>
  <c r="S49" i="5"/>
  <c r="S50" i="5"/>
  <c r="S47" i="5"/>
  <c r="S51" i="5"/>
  <c r="S48" i="5"/>
  <c r="AE10" i="5"/>
  <c r="W10" i="5"/>
  <c r="W7" i="13" s="1"/>
  <c r="AG11" i="5"/>
  <c r="AG8" i="13" s="1"/>
  <c r="Y11" i="5"/>
  <c r="Y8" i="13" s="1"/>
  <c r="Q11" i="5"/>
  <c r="Q8" i="13" s="1"/>
  <c r="AF19" i="5"/>
  <c r="AF16" i="13" s="1"/>
  <c r="X19" i="5"/>
  <c r="X16" i="13" s="1"/>
  <c r="P19" i="5"/>
  <c r="D51" i="5"/>
  <c r="F13" i="5"/>
  <c r="F10" i="13" s="1"/>
  <c r="J14" i="5"/>
  <c r="J11" i="13" s="1"/>
  <c r="K19" i="5"/>
  <c r="O10" i="5"/>
  <c r="O7" i="13" s="1"/>
  <c r="Z51" i="5"/>
  <c r="Z50" i="5"/>
  <c r="Z49" i="5"/>
  <c r="Z48" i="5"/>
  <c r="Z47" i="5"/>
  <c r="R51" i="5"/>
  <c r="R50" i="5"/>
  <c r="R49" i="5"/>
  <c r="R48" i="5"/>
  <c r="R47" i="5"/>
  <c r="AD10" i="5"/>
  <c r="AD7" i="13" s="1"/>
  <c r="V10" i="5"/>
  <c r="V7" i="13" s="1"/>
  <c r="AF11" i="5"/>
  <c r="AF8" i="13" s="1"/>
  <c r="X11" i="5"/>
  <c r="X8" i="13" s="1"/>
  <c r="P11" i="5"/>
  <c r="P8" i="13" s="1"/>
  <c r="AE19" i="5"/>
  <c r="AE16" i="13" s="1"/>
  <c r="W19" i="5"/>
  <c r="W16" i="13" s="1"/>
  <c r="D50" i="5"/>
  <c r="O49" i="5"/>
  <c r="O48" i="5"/>
  <c r="O47" i="5"/>
  <c r="O50" i="5"/>
  <c r="O51" i="5"/>
  <c r="L49" i="5"/>
  <c r="L48" i="5"/>
  <c r="L47" i="5"/>
  <c r="L51" i="5"/>
  <c r="L50" i="5"/>
  <c r="K50" i="5"/>
  <c r="K49" i="5"/>
  <c r="K48" i="5"/>
  <c r="K51" i="5"/>
  <c r="K47" i="5"/>
  <c r="M10" i="5"/>
  <c r="M7" i="13" s="1"/>
  <c r="M13" i="5"/>
  <c r="M10" i="13" s="1"/>
  <c r="E13" i="5"/>
  <c r="E10" i="13" s="1"/>
  <c r="I14" i="5"/>
  <c r="I11" i="13" s="1"/>
  <c r="J19" i="5"/>
  <c r="J16" i="13" s="1"/>
  <c r="O11" i="5"/>
  <c r="O8" i="13" s="1"/>
  <c r="AG48" i="5"/>
  <c r="AG49" i="5"/>
  <c r="AG47" i="5"/>
  <c r="AG51" i="5"/>
  <c r="AG50" i="5"/>
  <c r="Y47" i="5"/>
  <c r="Y49" i="5"/>
  <c r="Y51" i="5"/>
  <c r="Y50" i="5"/>
  <c r="Y48" i="5"/>
  <c r="Q49" i="5"/>
  <c r="Q47" i="5"/>
  <c r="Q48" i="5"/>
  <c r="Q50" i="5"/>
  <c r="Q51" i="5"/>
  <c r="AC10" i="5"/>
  <c r="AC7" i="13" s="1"/>
  <c r="U10" i="5"/>
  <c r="AE11" i="5"/>
  <c r="AE8" i="13" s="1"/>
  <c r="W11" i="5"/>
  <c r="W8" i="13" s="1"/>
  <c r="AD19" i="5"/>
  <c r="AD16" i="13" s="1"/>
  <c r="V19" i="5"/>
  <c r="V16" i="13" s="1"/>
  <c r="D47" i="5"/>
  <c r="F47" i="5"/>
  <c r="F51" i="5"/>
  <c r="F48" i="5"/>
  <c r="F50" i="5"/>
  <c r="F49" i="5"/>
  <c r="M19" i="5"/>
  <c r="M16" i="13" s="1"/>
  <c r="T49" i="5"/>
  <c r="T48" i="5"/>
  <c r="T47" i="5"/>
  <c r="T51" i="5"/>
  <c r="T50" i="5"/>
  <c r="E10" i="5"/>
  <c r="J47" i="5"/>
  <c r="J51" i="5"/>
  <c r="J50" i="5"/>
  <c r="J49" i="5"/>
  <c r="J48" i="5"/>
  <c r="L10" i="5"/>
  <c r="G11" i="5"/>
  <c r="G8" i="13" s="1"/>
  <c r="L13" i="5"/>
  <c r="H14" i="5"/>
  <c r="H11" i="13" s="1"/>
  <c r="I19" i="5"/>
  <c r="I16" i="13" s="1"/>
  <c r="AF48" i="5"/>
  <c r="AF47" i="5"/>
  <c r="AF51" i="5"/>
  <c r="AF50" i="5"/>
  <c r="AF49" i="5"/>
  <c r="X47" i="5"/>
  <c r="X51" i="5"/>
  <c r="X50" i="5"/>
  <c r="X48" i="5"/>
  <c r="X49" i="5"/>
  <c r="P51" i="5"/>
  <c r="P48" i="5"/>
  <c r="P50" i="5"/>
  <c r="P47" i="5"/>
  <c r="P49" i="5"/>
  <c r="AB10" i="5"/>
  <c r="AB7" i="13" s="1"/>
  <c r="T10" i="5"/>
  <c r="T7" i="13" s="1"/>
  <c r="AD11" i="5"/>
  <c r="AD8" i="13" s="1"/>
  <c r="V11" i="5"/>
  <c r="V8" i="13" s="1"/>
  <c r="AC19" i="5"/>
  <c r="AC16" i="13" s="1"/>
  <c r="U19" i="5"/>
  <c r="D48" i="5"/>
  <c r="I48" i="5"/>
  <c r="I50" i="5"/>
  <c r="I47" i="5"/>
  <c r="I49" i="5"/>
  <c r="I51" i="5"/>
  <c r="K10" i="5"/>
  <c r="F11" i="5"/>
  <c r="F8" i="13" s="1"/>
  <c r="K13" i="5"/>
  <c r="K10" i="13" s="1"/>
  <c r="G14" i="5"/>
  <c r="G11" i="13" s="1"/>
  <c r="H19" i="5"/>
  <c r="D10" i="5"/>
  <c r="D7" i="13" s="1"/>
  <c r="AE50" i="5"/>
  <c r="AE49" i="5"/>
  <c r="AE48" i="5"/>
  <c r="AE51" i="5"/>
  <c r="AE47" i="5"/>
  <c r="W50" i="5"/>
  <c r="W51" i="5"/>
  <c r="W49" i="5"/>
  <c r="W48" i="5"/>
  <c r="W47" i="5"/>
  <c r="AA10" i="5"/>
  <c r="S10" i="5"/>
  <c r="S7" i="13" s="1"/>
  <c r="AC11" i="5"/>
  <c r="AC8" i="13" s="1"/>
  <c r="U11" i="5"/>
  <c r="AB19" i="5"/>
  <c r="T19" i="5"/>
  <c r="T16" i="13" s="1"/>
  <c r="U58" i="6"/>
  <c r="U8" i="5" s="1"/>
  <c r="N8" i="5"/>
  <c r="N13" i="9" s="1"/>
  <c r="H47" i="6"/>
  <c r="H15" i="5" s="1"/>
  <c r="I48" i="6"/>
  <c r="I16" i="5" s="1"/>
  <c r="I13" i="13" s="1"/>
  <c r="P47" i="6"/>
  <c r="P15" i="5" s="1"/>
  <c r="K58" i="6"/>
  <c r="K8" i="5" s="1"/>
  <c r="S58" i="6"/>
  <c r="S8" i="5" s="1"/>
  <c r="W48" i="6"/>
  <c r="W16" i="5" s="1"/>
  <c r="W13" i="13" s="1"/>
  <c r="K47" i="6"/>
  <c r="K15" i="5" s="1"/>
  <c r="K12" i="13" s="1"/>
  <c r="I47" i="6"/>
  <c r="I15" i="5" s="1"/>
  <c r="AD47" i="6"/>
  <c r="AD15" i="5" s="1"/>
  <c r="AA58" i="6"/>
  <c r="AA8" i="5" s="1"/>
  <c r="V47" i="6"/>
  <c r="V15" i="5" s="1"/>
  <c r="V12" i="13" s="1"/>
  <c r="U48" i="6"/>
  <c r="U16" i="5" s="1"/>
  <c r="J58" i="6"/>
  <c r="J8" i="5" s="1"/>
  <c r="L58" i="6"/>
  <c r="L8" i="5" s="1"/>
  <c r="D58" i="6"/>
  <c r="D8" i="5" s="1"/>
  <c r="AB58" i="6"/>
  <c r="AB8" i="5" s="1"/>
  <c r="T58" i="6"/>
  <c r="T8" i="5" s="1"/>
  <c r="J47" i="6"/>
  <c r="J15" i="5" s="1"/>
  <c r="J12" i="13" s="1"/>
  <c r="H48" i="6"/>
  <c r="H16" i="5" s="1"/>
  <c r="H13" i="13" s="1"/>
  <c r="AE47" i="6"/>
  <c r="AE15" i="5" s="1"/>
  <c r="AE12" i="13" s="1"/>
  <c r="W47" i="6"/>
  <c r="W15" i="5" s="1"/>
  <c r="W12" i="13" s="1"/>
  <c r="AD48" i="6"/>
  <c r="AD16" i="5" s="1"/>
  <c r="AD13" i="13" s="1"/>
  <c r="V48" i="6"/>
  <c r="V16" i="5" s="1"/>
  <c r="V13" i="13" s="1"/>
  <c r="G48" i="6"/>
  <c r="G16" i="5" s="1"/>
  <c r="R58" i="6"/>
  <c r="R8" i="5" s="1"/>
  <c r="D48" i="6"/>
  <c r="D16" i="5" s="1"/>
  <c r="D13" i="13" s="1"/>
  <c r="F48" i="6"/>
  <c r="F16" i="5" s="1"/>
  <c r="F13" i="13" s="1"/>
  <c r="AC47" i="6"/>
  <c r="AC15" i="5" s="1"/>
  <c r="T48" i="6"/>
  <c r="T16" i="5" s="1"/>
  <c r="I58" i="6"/>
  <c r="I8" i="5" s="1"/>
  <c r="AG58" i="6"/>
  <c r="AG8" i="5" s="1"/>
  <c r="Y58" i="6"/>
  <c r="Y8" i="5" s="1"/>
  <c r="Q58" i="6"/>
  <c r="Q8" i="5" s="1"/>
  <c r="G47" i="6"/>
  <c r="G15" i="5" s="1"/>
  <c r="M48" i="6"/>
  <c r="M16" i="5" s="1"/>
  <c r="M13" i="13" s="1"/>
  <c r="E48" i="6"/>
  <c r="E16" i="5" s="1"/>
  <c r="AB47" i="6"/>
  <c r="AB15" i="5" s="1"/>
  <c r="T47" i="6"/>
  <c r="T15" i="5" s="1"/>
  <c r="T12" i="13" s="1"/>
  <c r="AA48" i="6"/>
  <c r="AA16" i="5" s="1"/>
  <c r="AA13" i="13" s="1"/>
  <c r="S48" i="6"/>
  <c r="S16" i="5" s="1"/>
  <c r="S13" i="13" s="1"/>
  <c r="U47" i="6"/>
  <c r="U15" i="5" s="1"/>
  <c r="AB48" i="6"/>
  <c r="AB16" i="5" s="1"/>
  <c r="AB13" i="13" s="1"/>
  <c r="H58" i="6"/>
  <c r="H8" i="5" s="1"/>
  <c r="AF58" i="6"/>
  <c r="AF8" i="5" s="1"/>
  <c r="X58" i="6"/>
  <c r="X8" i="5" s="1"/>
  <c r="P58" i="6"/>
  <c r="P8" i="5" s="1"/>
  <c r="F47" i="6"/>
  <c r="F15" i="5" s="1"/>
  <c r="F12" i="13" s="1"/>
  <c r="L48" i="6"/>
  <c r="L16" i="5" s="1"/>
  <c r="AA47" i="6"/>
  <c r="AA15" i="5" s="1"/>
  <c r="S47" i="6"/>
  <c r="S15" i="5" s="1"/>
  <c r="S12" i="13" s="1"/>
  <c r="O48" i="6"/>
  <c r="O16" i="5" s="1"/>
  <c r="O13" i="13" s="1"/>
  <c r="Z48" i="6"/>
  <c r="Z16" i="5" s="1"/>
  <c r="R48" i="6"/>
  <c r="R16" i="5" s="1"/>
  <c r="R13" i="13" s="1"/>
  <c r="AC48" i="6"/>
  <c r="AC16" i="5" s="1"/>
  <c r="AC13" i="13" s="1"/>
  <c r="G58" i="6"/>
  <c r="G8" i="5" s="1"/>
  <c r="AE58" i="6"/>
  <c r="AE8" i="5" s="1"/>
  <c r="W58" i="6"/>
  <c r="W8" i="5" s="1"/>
  <c r="O58" i="6"/>
  <c r="O8" i="5" s="1"/>
  <c r="D47" i="6"/>
  <c r="D15" i="5" s="1"/>
  <c r="E47" i="6"/>
  <c r="E15" i="5" s="1"/>
  <c r="K48" i="6"/>
  <c r="K16" i="5" s="1"/>
  <c r="M47" i="6"/>
  <c r="M15" i="5" s="1"/>
  <c r="M12" i="13" s="1"/>
  <c r="O47" i="6"/>
  <c r="O15" i="5" s="1"/>
  <c r="O12" i="13" s="1"/>
  <c r="Z47" i="6"/>
  <c r="Z15" i="5" s="1"/>
  <c r="Z12" i="13" s="1"/>
  <c r="R47" i="6"/>
  <c r="R15" i="5" s="1"/>
  <c r="R12" i="13" s="1"/>
  <c r="AG48" i="6"/>
  <c r="AG16" i="5" s="1"/>
  <c r="AG13" i="13" s="1"/>
  <c r="Y48" i="6"/>
  <c r="Y16" i="5" s="1"/>
  <c r="Y13" i="13" s="1"/>
  <c r="Q48" i="6"/>
  <c r="Q16" i="5" s="1"/>
  <c r="Q13" i="13" s="1"/>
  <c r="F58" i="6"/>
  <c r="F8" i="5" s="1"/>
  <c r="AD58" i="6"/>
  <c r="AD8" i="5" s="1"/>
  <c r="V58" i="6"/>
  <c r="V8" i="5" s="1"/>
  <c r="L47" i="6"/>
  <c r="L15" i="5" s="1"/>
  <c r="J48" i="6"/>
  <c r="J16" i="5" s="1"/>
  <c r="AG47" i="6"/>
  <c r="AG15" i="5" s="1"/>
  <c r="AG12" i="13" s="1"/>
  <c r="Y47" i="6"/>
  <c r="Y15" i="5" s="1"/>
  <c r="Y12" i="13" s="1"/>
  <c r="Q47" i="6"/>
  <c r="Q15" i="5" s="1"/>
  <c r="Q12" i="13" s="1"/>
  <c r="AF48" i="6"/>
  <c r="AF16" i="5" s="1"/>
  <c r="X48" i="6"/>
  <c r="X16" i="5" s="1"/>
  <c r="X13" i="13" s="1"/>
  <c r="P48" i="6"/>
  <c r="P16" i="5" s="1"/>
  <c r="Z58" i="6"/>
  <c r="Z8" i="5" s="1"/>
  <c r="M58" i="6"/>
  <c r="M8" i="5" s="1"/>
  <c r="E58" i="6"/>
  <c r="E8" i="5" s="1"/>
  <c r="AC58" i="6"/>
  <c r="AC8" i="5" s="1"/>
  <c r="AF47" i="6"/>
  <c r="AF15" i="5" s="1"/>
  <c r="X47" i="6"/>
  <c r="X15" i="5" s="1"/>
  <c r="AE48" i="6"/>
  <c r="AE16" i="5" s="1"/>
  <c r="AE13" i="13" s="1"/>
  <c r="AA87" i="9" l="1"/>
  <c r="V38" i="14"/>
  <c r="T39" i="14"/>
  <c r="V36" i="14"/>
  <c r="O43" i="14"/>
  <c r="W36" i="14"/>
  <c r="V41" i="14"/>
  <c r="U46" i="14"/>
  <c r="AE41" i="14"/>
  <c r="AD38" i="14"/>
  <c r="AB35" i="14"/>
  <c r="O42" i="14"/>
  <c r="D45" i="14"/>
  <c r="T87" i="9"/>
  <c r="W44" i="14"/>
  <c r="AD41" i="14"/>
  <c r="Y46" i="14"/>
  <c r="P37" i="14"/>
  <c r="X37" i="14"/>
  <c r="AF37" i="14"/>
  <c r="AD36" i="14"/>
  <c r="G42" i="14"/>
  <c r="M42" i="14"/>
  <c r="AD35" i="14"/>
  <c r="L87" i="9"/>
  <c r="J36" i="14"/>
  <c r="O45" i="14"/>
  <c r="D28" i="14"/>
  <c r="X43" i="14"/>
  <c r="L43" i="14"/>
  <c r="AF46" i="14"/>
  <c r="AD43" i="14"/>
  <c r="D39" i="14"/>
  <c r="I42" i="14"/>
  <c r="F46" i="14"/>
  <c r="AF79" i="9"/>
  <c r="V76" i="9"/>
  <c r="D31" i="14"/>
  <c r="D35" i="14"/>
  <c r="G43" i="14"/>
  <c r="AF86" i="9"/>
  <c r="I86" i="9"/>
  <c r="AE35" i="14"/>
  <c r="T77" i="9"/>
  <c r="D23" i="14"/>
  <c r="W40" i="14"/>
  <c r="Q39" i="14"/>
  <c r="K43" i="14"/>
  <c r="S84" i="9"/>
  <c r="AG78" i="9"/>
  <c r="D40" i="14"/>
  <c r="K37" i="14"/>
  <c r="I35" i="14"/>
  <c r="AD40" i="14"/>
  <c r="V44" i="14"/>
  <c r="AA42" i="14"/>
  <c r="X80" i="9"/>
  <c r="W86" i="9"/>
  <c r="S45" i="14"/>
  <c r="AF38" i="14"/>
  <c r="W42" i="14"/>
  <c r="Y37" i="14"/>
  <c r="K41" i="14"/>
  <c r="E86" i="9"/>
  <c r="O79" i="9"/>
  <c r="D37" i="14"/>
  <c r="U44" i="14"/>
  <c r="K45" i="14"/>
  <c r="F41" i="14"/>
  <c r="F43" i="14"/>
  <c r="E37" i="14"/>
  <c r="AG40" i="14"/>
  <c r="AE39" i="14"/>
  <c r="K39" i="14"/>
  <c r="W45" i="14"/>
  <c r="AG44" i="14"/>
  <c r="T35" i="14"/>
  <c r="J46" i="14"/>
  <c r="M40" i="14"/>
  <c r="U35" i="14"/>
  <c r="Y45" i="14"/>
  <c r="Q36" i="14"/>
  <c r="Q38" i="14"/>
  <c r="AA5" i="9"/>
  <c r="AA5" i="13"/>
  <c r="O5" i="9"/>
  <c r="O5" i="13"/>
  <c r="I5" i="9"/>
  <c r="I5" i="13"/>
  <c r="U16" i="9"/>
  <c r="U16" i="13"/>
  <c r="AE7" i="9"/>
  <c r="AE7" i="13"/>
  <c r="O84" i="9"/>
  <c r="P17" i="9"/>
  <c r="P17" i="13"/>
  <c r="Z11" i="9"/>
  <c r="Z11" i="13"/>
  <c r="AG80" i="9"/>
  <c r="AA14" i="9"/>
  <c r="AA14" i="13"/>
  <c r="Z34" i="14"/>
  <c r="Z29" i="14"/>
  <c r="Z23" i="14"/>
  <c r="Z28" i="14"/>
  <c r="Z22" i="14"/>
  <c r="Z31" i="14"/>
  <c r="Z27" i="14"/>
  <c r="Z21" i="14"/>
  <c r="Z24" i="14"/>
  <c r="Z20" i="14"/>
  <c r="Z30" i="14"/>
  <c r="F40" i="14"/>
  <c r="H34" i="14"/>
  <c r="H29" i="14"/>
  <c r="H21" i="14"/>
  <c r="H23" i="14"/>
  <c r="H28" i="14"/>
  <c r="H30" i="14"/>
  <c r="H27" i="14"/>
  <c r="H20" i="14"/>
  <c r="H24" i="14"/>
  <c r="H31" i="14"/>
  <c r="H22" i="14"/>
  <c r="Z35" i="14"/>
  <c r="AC34" i="14"/>
  <c r="AC28" i="14"/>
  <c r="AC22" i="14"/>
  <c r="AC31" i="14"/>
  <c r="AC27" i="14"/>
  <c r="AC21" i="14"/>
  <c r="AC30" i="14"/>
  <c r="AC24" i="14"/>
  <c r="AC20" i="14"/>
  <c r="AC29" i="14"/>
  <c r="AC23" i="14"/>
  <c r="E46" i="14"/>
  <c r="X45" i="14"/>
  <c r="R42" i="14"/>
  <c r="AC39" i="14"/>
  <c r="S34" i="14"/>
  <c r="S30" i="14"/>
  <c r="S23" i="14"/>
  <c r="S27" i="14"/>
  <c r="S29" i="14"/>
  <c r="S22" i="14"/>
  <c r="S24" i="14"/>
  <c r="S20" i="14"/>
  <c r="S21" i="14"/>
  <c r="S31" i="14"/>
  <c r="S28" i="14"/>
  <c r="S42" i="14"/>
  <c r="AC41" i="14"/>
  <c r="E39" i="14"/>
  <c r="E40" i="14"/>
  <c r="X12" i="9"/>
  <c r="X12" i="13"/>
  <c r="J13" i="9"/>
  <c r="J13" i="13"/>
  <c r="Q5" i="9"/>
  <c r="Q5" i="13"/>
  <c r="R5" i="9"/>
  <c r="R5" i="13"/>
  <c r="AD12" i="9"/>
  <c r="AD12" i="13"/>
  <c r="N12" i="9"/>
  <c r="N5" i="13"/>
  <c r="AA7" i="9"/>
  <c r="AA7" i="13"/>
  <c r="H16" i="9"/>
  <c r="H16" i="13"/>
  <c r="K7" i="9"/>
  <c r="K7" i="13"/>
  <c r="L7" i="9"/>
  <c r="L7" i="13"/>
  <c r="K16" i="9"/>
  <c r="K16" i="13"/>
  <c r="P16" i="9"/>
  <c r="P16" i="13"/>
  <c r="L16" i="9"/>
  <c r="L16" i="13"/>
  <c r="Y7" i="9"/>
  <c r="Y7" i="13"/>
  <c r="AA16" i="9"/>
  <c r="AA16" i="13"/>
  <c r="Z7" i="9"/>
  <c r="Z7" i="13"/>
  <c r="E8" i="9"/>
  <c r="E8" i="13"/>
  <c r="Z17" i="9"/>
  <c r="Z17" i="13"/>
  <c r="Y10" i="9"/>
  <c r="Y10" i="13"/>
  <c r="AG10" i="9"/>
  <c r="AG10" i="13"/>
  <c r="AA85" i="9"/>
  <c r="S77" i="9"/>
  <c r="AA77" i="9"/>
  <c r="G83" i="9"/>
  <c r="D30" i="14"/>
  <c r="D22" i="14"/>
  <c r="D46" i="14"/>
  <c r="D38" i="14"/>
  <c r="D43" i="14"/>
  <c r="R41" i="14"/>
  <c r="P41" i="14"/>
  <c r="S43" i="14"/>
  <c r="AG42" i="14"/>
  <c r="AA40" i="14"/>
  <c r="X39" i="14"/>
  <c r="M44" i="14"/>
  <c r="Q43" i="14"/>
  <c r="AE42" i="14"/>
  <c r="V39" i="14"/>
  <c r="X36" i="14"/>
  <c r="T34" i="14"/>
  <c r="T23" i="14"/>
  <c r="T21" i="14"/>
  <c r="T31" i="14"/>
  <c r="T27" i="14"/>
  <c r="T22" i="14"/>
  <c r="T30" i="14"/>
  <c r="T24" i="14"/>
  <c r="T20" i="14"/>
  <c r="T29" i="14"/>
  <c r="T28" i="14"/>
  <c r="O34" i="14"/>
  <c r="O24" i="14"/>
  <c r="O20" i="14"/>
  <c r="O31" i="14"/>
  <c r="O23" i="14"/>
  <c r="O28" i="14"/>
  <c r="O21" i="14"/>
  <c r="O29" i="14"/>
  <c r="O30" i="14"/>
  <c r="O27" i="14"/>
  <c r="O22" i="14"/>
  <c r="V45" i="14"/>
  <c r="X42" i="14"/>
  <c r="AA39" i="14"/>
  <c r="AE37" i="14"/>
  <c r="F45" i="14"/>
  <c r="S41" i="14"/>
  <c r="O41" i="14"/>
  <c r="AB45" i="14"/>
  <c r="Z44" i="14"/>
  <c r="T40" i="14"/>
  <c r="AE38" i="14"/>
  <c r="AC37" i="14"/>
  <c r="AA36" i="14"/>
  <c r="Y35" i="14"/>
  <c r="O39" i="14"/>
  <c r="K46" i="14"/>
  <c r="J44" i="14"/>
  <c r="H42" i="14"/>
  <c r="G40" i="14"/>
  <c r="H38" i="14"/>
  <c r="G36" i="14"/>
  <c r="E34" i="14"/>
  <c r="E28" i="14"/>
  <c r="E22" i="14"/>
  <c r="E31" i="14"/>
  <c r="E27" i="14"/>
  <c r="E21" i="14"/>
  <c r="E30" i="14"/>
  <c r="E24" i="14"/>
  <c r="E20" i="14"/>
  <c r="E23" i="14"/>
  <c r="E29" i="14"/>
  <c r="M34" i="14"/>
  <c r="M28" i="14"/>
  <c r="M22" i="14"/>
  <c r="M31" i="14"/>
  <c r="M27" i="14"/>
  <c r="M21" i="14"/>
  <c r="M30" i="14"/>
  <c r="M24" i="14"/>
  <c r="M20" i="14"/>
  <c r="M29" i="14"/>
  <c r="M23" i="14"/>
  <c r="T41" i="14"/>
  <c r="O40" i="14"/>
  <c r="AE46" i="14"/>
  <c r="AC45" i="14"/>
  <c r="AE44" i="14"/>
  <c r="Z39" i="14"/>
  <c r="Z37" i="14"/>
  <c r="X34" i="14"/>
  <c r="X29" i="14"/>
  <c r="X28" i="14"/>
  <c r="X21" i="14"/>
  <c r="X23" i="14"/>
  <c r="X30" i="14"/>
  <c r="X22" i="14"/>
  <c r="X24" i="14"/>
  <c r="X20" i="14"/>
  <c r="X27" i="14"/>
  <c r="X31" i="14"/>
  <c r="E45" i="14"/>
  <c r="H41" i="14"/>
  <c r="T46" i="14"/>
  <c r="AF44" i="14"/>
  <c r="AF42" i="14"/>
  <c r="AC36" i="14"/>
  <c r="M46" i="14"/>
  <c r="P34" i="14"/>
  <c r="P23" i="14"/>
  <c r="P20" i="14"/>
  <c r="P22" i="14"/>
  <c r="P29" i="14"/>
  <c r="P28" i="14"/>
  <c r="P21" i="14"/>
  <c r="P24" i="14"/>
  <c r="P30" i="14"/>
  <c r="P31" i="14"/>
  <c r="P27" i="14"/>
  <c r="O38" i="14"/>
  <c r="M38" i="14"/>
  <c r="R45" i="14"/>
  <c r="Z43" i="14"/>
  <c r="AC38" i="14"/>
  <c r="H35" i="14"/>
  <c r="P5" i="9"/>
  <c r="P5" i="13"/>
  <c r="G12" i="9"/>
  <c r="G12" i="13"/>
  <c r="L5" i="9"/>
  <c r="L5" i="13"/>
  <c r="U7" i="9"/>
  <c r="U7" i="13"/>
  <c r="E14" i="9"/>
  <c r="E14" i="13"/>
  <c r="I7" i="9"/>
  <c r="I7" i="13"/>
  <c r="S83" i="9"/>
  <c r="Z10" i="9"/>
  <c r="Z10" i="13"/>
  <c r="Z14" i="9"/>
  <c r="Z14" i="13"/>
  <c r="S80" i="9"/>
  <c r="Q79" i="9"/>
  <c r="AC15" i="9"/>
  <c r="AC15" i="13"/>
  <c r="G38" i="14"/>
  <c r="AB38" i="14"/>
  <c r="I36" i="14"/>
  <c r="Z46" i="14"/>
  <c r="T43" i="14"/>
  <c r="P40" i="14"/>
  <c r="AF40" i="14"/>
  <c r="AA38" i="14"/>
  <c r="AA34" i="14"/>
  <c r="AA30" i="14"/>
  <c r="AA22" i="14"/>
  <c r="AA27" i="14"/>
  <c r="AA29" i="14"/>
  <c r="AA21" i="14"/>
  <c r="AA31" i="14"/>
  <c r="AA28" i="14"/>
  <c r="AA23" i="14"/>
  <c r="AA24" i="14"/>
  <c r="AA20" i="14"/>
  <c r="G46" i="14"/>
  <c r="F44" i="14"/>
  <c r="M43" i="14"/>
  <c r="J37" i="14"/>
  <c r="I38" i="14"/>
  <c r="M41" i="14"/>
  <c r="F34" i="14"/>
  <c r="F28" i="14"/>
  <c r="F22" i="14"/>
  <c r="F31" i="14"/>
  <c r="F27" i="14"/>
  <c r="F21" i="14"/>
  <c r="F20" i="14"/>
  <c r="F30" i="14"/>
  <c r="F24" i="14"/>
  <c r="F23" i="14"/>
  <c r="F29" i="14"/>
  <c r="F38" i="14"/>
  <c r="X46" i="14"/>
  <c r="AB44" i="14"/>
  <c r="AB42" i="14"/>
  <c r="AA37" i="14"/>
  <c r="AG34" i="14"/>
  <c r="AG30" i="14"/>
  <c r="AG24" i="14"/>
  <c r="AG20" i="14"/>
  <c r="AG29" i="14"/>
  <c r="AG23" i="14"/>
  <c r="AG28" i="14"/>
  <c r="AG22" i="14"/>
  <c r="AG21" i="14"/>
  <c r="AG31" i="14"/>
  <c r="AG27" i="14"/>
  <c r="E38" i="14"/>
  <c r="M5" i="9"/>
  <c r="M5" i="13"/>
  <c r="W5" i="9"/>
  <c r="W5" i="13"/>
  <c r="AA12" i="9"/>
  <c r="AA12" i="13"/>
  <c r="AB12" i="9"/>
  <c r="AB12" i="13"/>
  <c r="J5" i="9"/>
  <c r="J5" i="13"/>
  <c r="H12" i="9"/>
  <c r="H12" i="13"/>
  <c r="AF12" i="9"/>
  <c r="AF12" i="13"/>
  <c r="Z5" i="9"/>
  <c r="Z5" i="13"/>
  <c r="L12" i="9"/>
  <c r="L12" i="13"/>
  <c r="E12" i="9"/>
  <c r="E12" i="13"/>
  <c r="AE5" i="9"/>
  <c r="AE5" i="13"/>
  <c r="Z13" i="9"/>
  <c r="Z13" i="13"/>
  <c r="L13" i="9"/>
  <c r="L13" i="13"/>
  <c r="AF5" i="9"/>
  <c r="AF5" i="13"/>
  <c r="E13" i="9"/>
  <c r="E13" i="13"/>
  <c r="Y5" i="9"/>
  <c r="Y5" i="13"/>
  <c r="AC12" i="9"/>
  <c r="AC12" i="13"/>
  <c r="G13" i="9"/>
  <c r="G13" i="13"/>
  <c r="AB5" i="9"/>
  <c r="AB5" i="13"/>
  <c r="U13" i="9"/>
  <c r="U13" i="13"/>
  <c r="I12" i="9"/>
  <c r="I12" i="13"/>
  <c r="K5" i="9"/>
  <c r="K5" i="13"/>
  <c r="U5" i="9"/>
  <c r="U5" i="13"/>
  <c r="U8" i="9"/>
  <c r="U8" i="13"/>
  <c r="AE77" i="9"/>
  <c r="S78" i="9"/>
  <c r="AE79" i="9"/>
  <c r="AC17" i="9"/>
  <c r="AC17" i="13"/>
  <c r="AG15" i="9"/>
  <c r="AG15" i="13"/>
  <c r="AA11" i="9"/>
  <c r="AA11" i="13"/>
  <c r="AB84" i="9"/>
  <c r="X76" i="9"/>
  <c r="X78" i="9"/>
  <c r="G79" i="9"/>
  <c r="F80" i="9"/>
  <c r="L84" i="9"/>
  <c r="V86" i="9"/>
  <c r="U15" i="9"/>
  <c r="U15" i="13"/>
  <c r="R84" i="9"/>
  <c r="D27" i="14"/>
  <c r="D21" i="14"/>
  <c r="D44" i="14"/>
  <c r="D36" i="14"/>
  <c r="D41" i="14"/>
  <c r="AC46" i="14"/>
  <c r="AE45" i="14"/>
  <c r="Y44" i="14"/>
  <c r="W43" i="14"/>
  <c r="AE40" i="14"/>
  <c r="AB39" i="14"/>
  <c r="Z38" i="14"/>
  <c r="T37" i="14"/>
  <c r="AB37" i="14"/>
  <c r="R36" i="14"/>
  <c r="P35" i="14"/>
  <c r="X35" i="14"/>
  <c r="AF35" i="14"/>
  <c r="V34" i="14"/>
  <c r="V28" i="14"/>
  <c r="V22" i="14"/>
  <c r="V31" i="14"/>
  <c r="V27" i="14"/>
  <c r="V21" i="14"/>
  <c r="V24" i="14"/>
  <c r="V30" i="14"/>
  <c r="V20" i="14"/>
  <c r="V29" i="14"/>
  <c r="V23" i="14"/>
  <c r="AD34" i="14"/>
  <c r="AD30" i="14"/>
  <c r="AD24" i="14"/>
  <c r="AD20" i="14"/>
  <c r="AD29" i="14"/>
  <c r="AD23" i="14"/>
  <c r="AD28" i="14"/>
  <c r="AD22" i="14"/>
  <c r="AD21" i="14"/>
  <c r="AD31" i="14"/>
  <c r="AD27" i="14"/>
  <c r="H43" i="14"/>
  <c r="K42" i="14"/>
  <c r="J41" i="14"/>
  <c r="J40" i="14"/>
  <c r="J39" i="14"/>
  <c r="K38" i="14"/>
  <c r="I37" i="14"/>
  <c r="E35" i="14"/>
  <c r="M35" i="14"/>
  <c r="L34" i="14"/>
  <c r="L23" i="14"/>
  <c r="L31" i="14"/>
  <c r="L27" i="14"/>
  <c r="L20" i="14"/>
  <c r="L22" i="14"/>
  <c r="L30" i="14"/>
  <c r="L24" i="14"/>
  <c r="L28" i="14"/>
  <c r="L21" i="14"/>
  <c r="L29" i="14"/>
  <c r="Y43" i="14"/>
  <c r="U40" i="14"/>
  <c r="AD39" i="14"/>
  <c r="V37" i="14"/>
  <c r="AB36" i="14"/>
  <c r="L46" i="14"/>
  <c r="G37" i="14"/>
  <c r="Y41" i="14"/>
  <c r="P44" i="14"/>
  <c r="Y38" i="14"/>
  <c r="Q34" i="14"/>
  <c r="Q30" i="14"/>
  <c r="Q24" i="14"/>
  <c r="Q20" i="14"/>
  <c r="Q29" i="14"/>
  <c r="Q23" i="14"/>
  <c r="Q28" i="14"/>
  <c r="Q22" i="14"/>
  <c r="Q31" i="14"/>
  <c r="Q21" i="14"/>
  <c r="Q27" i="14"/>
  <c r="E41" i="14"/>
  <c r="M37" i="14"/>
  <c r="W41" i="14"/>
  <c r="P45" i="14"/>
  <c r="AF45" i="14"/>
  <c r="AD44" i="14"/>
  <c r="AB43" i="14"/>
  <c r="Z42" i="14"/>
  <c r="X40" i="14"/>
  <c r="U39" i="14"/>
  <c r="S38" i="14"/>
  <c r="Q37" i="14"/>
  <c r="AG37" i="14"/>
  <c r="AE36" i="14"/>
  <c r="AC35" i="14"/>
  <c r="W34" i="14"/>
  <c r="W28" i="14"/>
  <c r="W22" i="14"/>
  <c r="W31" i="14"/>
  <c r="W27" i="14"/>
  <c r="W21" i="14"/>
  <c r="W29" i="14"/>
  <c r="W24" i="14"/>
  <c r="W23" i="14"/>
  <c r="W30" i="14"/>
  <c r="W20" i="14"/>
  <c r="AE34" i="14"/>
  <c r="AE24" i="14"/>
  <c r="AE20" i="14"/>
  <c r="AE31" i="14"/>
  <c r="AE23" i="14"/>
  <c r="AE28" i="14"/>
  <c r="AE21" i="14"/>
  <c r="AE30" i="14"/>
  <c r="AE27" i="14"/>
  <c r="AE29" i="14"/>
  <c r="AE22" i="14"/>
  <c r="O35" i="14"/>
  <c r="H45" i="14"/>
  <c r="E43" i="14"/>
  <c r="L42" i="14"/>
  <c r="K40" i="14"/>
  <c r="L38" i="14"/>
  <c r="K36" i="14"/>
  <c r="X41" i="14"/>
  <c r="S46" i="14"/>
  <c r="Q45" i="14"/>
  <c r="AG45" i="14"/>
  <c r="U43" i="14"/>
  <c r="Q40" i="14"/>
  <c r="P38" i="14"/>
  <c r="T36" i="14"/>
  <c r="M45" i="14"/>
  <c r="H40" i="14"/>
  <c r="G35" i="14"/>
  <c r="V43" i="14"/>
  <c r="U38" i="14"/>
  <c r="W35" i="14"/>
  <c r="Y34" i="14"/>
  <c r="Y30" i="14"/>
  <c r="Y24" i="14"/>
  <c r="Y20" i="14"/>
  <c r="Y29" i="14"/>
  <c r="Y23" i="14"/>
  <c r="Y28" i="14"/>
  <c r="Y22" i="14"/>
  <c r="Y31" i="14"/>
  <c r="Y27" i="14"/>
  <c r="Y21" i="14"/>
  <c r="J45" i="14"/>
  <c r="J42" i="14"/>
  <c r="I40" i="14"/>
  <c r="M39" i="14"/>
  <c r="L37" i="14"/>
  <c r="K34" i="14"/>
  <c r="K30" i="14"/>
  <c r="K23" i="14"/>
  <c r="K28" i="14"/>
  <c r="K29" i="14"/>
  <c r="K22" i="14"/>
  <c r="K31" i="14"/>
  <c r="K20" i="14"/>
  <c r="K27" i="14"/>
  <c r="K24" i="14"/>
  <c r="K21" i="14"/>
  <c r="H46" i="14"/>
  <c r="L41" i="14"/>
  <c r="H36" i="14"/>
  <c r="Q41" i="14"/>
  <c r="Z45" i="14"/>
  <c r="P42" i="14"/>
  <c r="V40" i="14"/>
  <c r="W37" i="14"/>
  <c r="U36" i="14"/>
  <c r="U34" i="14"/>
  <c r="U28" i="14"/>
  <c r="U22" i="14"/>
  <c r="U31" i="14"/>
  <c r="U27" i="14"/>
  <c r="U21" i="14"/>
  <c r="U30" i="14"/>
  <c r="U24" i="14"/>
  <c r="U20" i="14"/>
  <c r="U23" i="14"/>
  <c r="U29" i="14"/>
  <c r="O37" i="14"/>
  <c r="I41" i="14"/>
  <c r="I39" i="14"/>
  <c r="H37" i="14"/>
  <c r="G34" i="14"/>
  <c r="G28" i="14"/>
  <c r="G22" i="14"/>
  <c r="G31" i="14"/>
  <c r="G27" i="14"/>
  <c r="G21" i="14"/>
  <c r="G29" i="14"/>
  <c r="G23" i="14"/>
  <c r="G24" i="14"/>
  <c r="G30" i="14"/>
  <c r="G20" i="14"/>
  <c r="E5" i="9"/>
  <c r="E5" i="13"/>
  <c r="AD5" i="9"/>
  <c r="AD5" i="13"/>
  <c r="J85" i="9"/>
  <c r="K14" i="9"/>
  <c r="K14" i="13"/>
  <c r="Y16" i="9"/>
  <c r="Y16" i="13"/>
  <c r="P7" i="9"/>
  <c r="P7" i="13"/>
  <c r="O17" i="9"/>
  <c r="O17" i="13"/>
  <c r="AF17" i="9"/>
  <c r="AF17" i="13"/>
  <c r="AB15" i="9"/>
  <c r="AB15" i="13"/>
  <c r="AG17" i="9"/>
  <c r="AG17" i="13"/>
  <c r="AE11" i="9"/>
  <c r="AE11" i="13"/>
  <c r="R34" i="14"/>
  <c r="R31" i="14"/>
  <c r="R27" i="14"/>
  <c r="R21" i="14"/>
  <c r="R30" i="14"/>
  <c r="R24" i="14"/>
  <c r="R20" i="14"/>
  <c r="R29" i="14"/>
  <c r="R23" i="14"/>
  <c r="R22" i="14"/>
  <c r="R28" i="14"/>
  <c r="F39" i="14"/>
  <c r="P36" i="14"/>
  <c r="J43" i="14"/>
  <c r="J34" i="14"/>
  <c r="J29" i="14"/>
  <c r="J23" i="14"/>
  <c r="J28" i="14"/>
  <c r="J22" i="14"/>
  <c r="J31" i="14"/>
  <c r="J27" i="14"/>
  <c r="J21" i="14"/>
  <c r="J20" i="14"/>
  <c r="J30" i="14"/>
  <c r="J24" i="14"/>
  <c r="AB46" i="14"/>
  <c r="S35" i="14"/>
  <c r="F42" i="14"/>
  <c r="J35" i="14"/>
  <c r="AF41" i="14"/>
  <c r="AA46" i="14"/>
  <c r="AA44" i="14"/>
  <c r="R39" i="14"/>
  <c r="R37" i="14"/>
  <c r="E42" i="14"/>
  <c r="T44" i="14"/>
  <c r="S39" i="14"/>
  <c r="H44" i="14"/>
  <c r="J38" i="14"/>
  <c r="AF36" i="14"/>
  <c r="H39" i="14"/>
  <c r="AA35" i="14"/>
  <c r="I46" i="14"/>
  <c r="AF13" i="9"/>
  <c r="AF13" i="13"/>
  <c r="F5" i="9"/>
  <c r="F5" i="13"/>
  <c r="K13" i="9"/>
  <c r="K13" i="13"/>
  <c r="X5" i="9"/>
  <c r="X5" i="13"/>
  <c r="U12" i="9"/>
  <c r="U12" i="13"/>
  <c r="T13" i="9"/>
  <c r="T13" i="13"/>
  <c r="T5" i="9"/>
  <c r="T5" i="13"/>
  <c r="S5" i="9"/>
  <c r="S5" i="13"/>
  <c r="AB16" i="9"/>
  <c r="AB16" i="13"/>
  <c r="AC5" i="9"/>
  <c r="AC5" i="13"/>
  <c r="P13" i="9"/>
  <c r="P13" i="13"/>
  <c r="V5" i="9"/>
  <c r="V5" i="13"/>
  <c r="D12" i="9"/>
  <c r="D12" i="13"/>
  <c r="G5" i="9"/>
  <c r="G5" i="13"/>
  <c r="H5" i="9"/>
  <c r="H5" i="13"/>
  <c r="AG5" i="9"/>
  <c r="AG5" i="13"/>
  <c r="P12" i="9"/>
  <c r="P12" i="13"/>
  <c r="L10" i="9"/>
  <c r="L10" i="13"/>
  <c r="E7" i="9"/>
  <c r="E7" i="13"/>
  <c r="G10" i="9"/>
  <c r="G10" i="13"/>
  <c r="S85" i="9"/>
  <c r="AE86" i="9"/>
  <c r="AC78" i="9"/>
  <c r="AE83" i="9"/>
  <c r="P78" i="9"/>
  <c r="R78" i="9"/>
  <c r="P76" i="9"/>
  <c r="J87" i="9"/>
  <c r="D24" i="14"/>
  <c r="D29" i="14"/>
  <c r="D20" i="14"/>
  <c r="D42" i="14"/>
  <c r="D34" i="14"/>
  <c r="Z41" i="14"/>
  <c r="Q46" i="14"/>
  <c r="AG46" i="14"/>
  <c r="AC44" i="14"/>
  <c r="AA43" i="14"/>
  <c r="AC42" i="14"/>
  <c r="S40" i="14"/>
  <c r="P39" i="14"/>
  <c r="AF39" i="14"/>
  <c r="O36" i="14"/>
  <c r="G45" i="14"/>
  <c r="E44" i="14"/>
  <c r="AG43" i="14"/>
  <c r="Y40" i="14"/>
  <c r="T38" i="14"/>
  <c r="AD37" i="14"/>
  <c r="R35" i="14"/>
  <c r="AF34" i="14"/>
  <c r="AF22" i="14"/>
  <c r="AF30" i="14"/>
  <c r="AF24" i="14"/>
  <c r="AF20" i="14"/>
  <c r="AF29" i="14"/>
  <c r="AF23" i="14"/>
  <c r="AF27" i="14"/>
  <c r="AF21" i="14"/>
  <c r="AF31" i="14"/>
  <c r="AF28" i="14"/>
  <c r="G44" i="14"/>
  <c r="L36" i="14"/>
  <c r="P46" i="14"/>
  <c r="R43" i="14"/>
  <c r="R40" i="14"/>
  <c r="S37" i="14"/>
  <c r="Y36" i="14"/>
  <c r="L44" i="14"/>
  <c r="AA41" i="14"/>
  <c r="V46" i="14"/>
  <c r="T45" i="14"/>
  <c r="R44" i="14"/>
  <c r="P43" i="14"/>
  <c r="AF43" i="14"/>
  <c r="AD42" i="14"/>
  <c r="AB40" i="14"/>
  <c r="Y39" i="14"/>
  <c r="W38" i="14"/>
  <c r="U37" i="14"/>
  <c r="S36" i="14"/>
  <c r="Q35" i="14"/>
  <c r="AG35" i="14"/>
  <c r="L45" i="14"/>
  <c r="I43" i="14"/>
  <c r="G41" i="14"/>
  <c r="G39" i="14"/>
  <c r="F37" i="14"/>
  <c r="F35" i="14"/>
  <c r="I34" i="14"/>
  <c r="I30" i="14"/>
  <c r="I24" i="14"/>
  <c r="I20" i="14"/>
  <c r="I29" i="14"/>
  <c r="I23" i="14"/>
  <c r="I28" i="14"/>
  <c r="I22" i="14"/>
  <c r="I27" i="14"/>
  <c r="I21" i="14"/>
  <c r="I31" i="14"/>
  <c r="AB41" i="14"/>
  <c r="W46" i="14"/>
  <c r="U45" i="14"/>
  <c r="S44" i="14"/>
  <c r="AC43" i="14"/>
  <c r="AC40" i="14"/>
  <c r="X38" i="14"/>
  <c r="V35" i="14"/>
  <c r="O44" i="14"/>
  <c r="K44" i="14"/>
  <c r="L39" i="14"/>
  <c r="U41" i="14"/>
  <c r="AD45" i="14"/>
  <c r="T42" i="14"/>
  <c r="Z40" i="14"/>
  <c r="AG38" i="14"/>
  <c r="M36" i="14"/>
  <c r="AB34" i="14"/>
  <c r="AB22" i="14"/>
  <c r="AB21" i="14"/>
  <c r="AB31" i="14"/>
  <c r="AB27" i="14"/>
  <c r="AB30" i="14"/>
  <c r="AB24" i="14"/>
  <c r="AB20" i="14"/>
  <c r="AB28" i="14"/>
  <c r="AB23" i="14"/>
  <c r="AB29" i="14"/>
  <c r="I45" i="14"/>
  <c r="L40" i="14"/>
  <c r="K35" i="14"/>
  <c r="AG41" i="14"/>
  <c r="X44" i="14"/>
  <c r="W39" i="14"/>
  <c r="AG36" i="14"/>
  <c r="E36" i="14"/>
  <c r="D5" i="9"/>
  <c r="D5" i="13"/>
  <c r="D8" i="9"/>
  <c r="D10" i="9"/>
  <c r="D11" i="9"/>
  <c r="D17" i="9"/>
  <c r="M17" i="9"/>
  <c r="AD85" i="9"/>
  <c r="AD80" i="9"/>
  <c r="AD83" i="9"/>
  <c r="E76" i="9"/>
  <c r="E85" i="9"/>
  <c r="E77" i="9"/>
  <c r="E84" i="9"/>
  <c r="E78" i="9"/>
  <c r="E79" i="9"/>
  <c r="E83" i="9"/>
  <c r="E87" i="9"/>
  <c r="M78" i="9"/>
  <c r="M86" i="9"/>
  <c r="M77" i="9"/>
  <c r="M80" i="9"/>
  <c r="M85" i="9"/>
  <c r="M76" i="9"/>
  <c r="M79" i="9"/>
  <c r="M87" i="9"/>
  <c r="H83" i="9"/>
  <c r="H77" i="9"/>
  <c r="K79" i="9"/>
  <c r="K86" i="9"/>
  <c r="K83" i="9"/>
  <c r="K78" i="9"/>
  <c r="K85" i="9"/>
  <c r="K87" i="9"/>
  <c r="K80" i="9"/>
  <c r="K84" i="9"/>
  <c r="K77" i="9"/>
  <c r="K76" i="9"/>
  <c r="R14" i="9"/>
  <c r="W8" i="9"/>
  <c r="J16" i="9"/>
  <c r="M7" i="9"/>
  <c r="X8" i="9"/>
  <c r="F16" i="9"/>
  <c r="M8" i="9"/>
  <c r="R17" i="9"/>
  <c r="T84" i="9"/>
  <c r="T86" i="9"/>
  <c r="T79" i="9"/>
  <c r="Q10" i="9"/>
  <c r="Y80" i="9"/>
  <c r="Y85" i="9"/>
  <c r="W84" i="9"/>
  <c r="W77" i="9"/>
  <c r="W87" i="9"/>
  <c r="W76" i="9"/>
  <c r="W80" i="9"/>
  <c r="W83" i="9"/>
  <c r="W85" i="9"/>
  <c r="W78" i="9"/>
  <c r="U84" i="9"/>
  <c r="U80" i="9"/>
  <c r="U78" i="9"/>
  <c r="U79" i="9"/>
  <c r="U87" i="9"/>
  <c r="U83" i="9"/>
  <c r="U86" i="9"/>
  <c r="U76" i="9"/>
  <c r="U85" i="9"/>
  <c r="U77" i="9"/>
  <c r="W79" i="9"/>
  <c r="E80" i="9"/>
  <c r="M84" i="9"/>
  <c r="G76" i="9"/>
  <c r="V85" i="9"/>
  <c r="L86" i="9"/>
  <c r="AC83" i="9"/>
  <c r="AC77" i="9"/>
  <c r="AC85" i="9"/>
  <c r="R10" i="9"/>
  <c r="P79" i="9"/>
  <c r="P83" i="9"/>
  <c r="AF83" i="9"/>
  <c r="AF76" i="9"/>
  <c r="Z77" i="9"/>
  <c r="Z78" i="9"/>
  <c r="Z79" i="9"/>
  <c r="AB83" i="9"/>
  <c r="AB77" i="9"/>
  <c r="AB86" i="9"/>
  <c r="AB80" i="9"/>
  <c r="AB85" i="9"/>
  <c r="AB78" i="9"/>
  <c r="AB87" i="9"/>
  <c r="AB76" i="9"/>
  <c r="V87" i="9"/>
  <c r="V78" i="9"/>
  <c r="V83" i="9"/>
  <c r="V84" i="9"/>
  <c r="V79" i="9"/>
  <c r="V80" i="9"/>
  <c r="V77" i="9"/>
  <c r="P80" i="9"/>
  <c r="X84" i="9"/>
  <c r="AB79" i="9"/>
  <c r="O77" i="9"/>
  <c r="F78" i="9"/>
  <c r="I77" i="9"/>
  <c r="I79" i="9"/>
  <c r="I87" i="9"/>
  <c r="I83" i="9"/>
  <c r="I78" i="9"/>
  <c r="I80" i="9"/>
  <c r="I84" i="9"/>
  <c r="S11" i="9"/>
  <c r="R85" i="9"/>
  <c r="R87" i="9"/>
  <c r="R76" i="9"/>
  <c r="X17" i="9"/>
  <c r="T15" i="9"/>
  <c r="M13" i="9"/>
  <c r="AA83" i="9"/>
  <c r="Y84" i="9"/>
  <c r="O76" i="9"/>
  <c r="F84" i="9"/>
  <c r="I76" i="9"/>
  <c r="M83" i="9"/>
  <c r="AD86" i="9"/>
  <c r="T76" i="9"/>
  <c r="AF80" i="9"/>
  <c r="Z76" i="9"/>
  <c r="P86" i="9"/>
  <c r="AF77" i="9"/>
  <c r="R86" i="9"/>
  <c r="L76" i="9"/>
  <c r="R12" i="9"/>
  <c r="R13" i="9"/>
  <c r="W12" i="9"/>
  <c r="T7" i="9"/>
  <c r="Q8" i="9"/>
  <c r="F15" i="9"/>
  <c r="M14" i="9"/>
  <c r="J84" i="9"/>
  <c r="J86" i="9"/>
  <c r="J83" i="9"/>
  <c r="J80" i="9"/>
  <c r="J79" i="9"/>
  <c r="J78" i="9"/>
  <c r="J77" i="9"/>
  <c r="I85" i="9"/>
  <c r="AD78" i="9"/>
  <c r="AD79" i="9"/>
  <c r="J76" i="9"/>
  <c r="H84" i="9"/>
  <c r="O14" i="9"/>
  <c r="S12" i="9"/>
  <c r="G11" i="9"/>
  <c r="AC16" i="9"/>
  <c r="AB7" i="9"/>
  <c r="I16" i="9"/>
  <c r="G8" i="9"/>
  <c r="V16" i="9"/>
  <c r="AE8" i="9"/>
  <c r="I11" i="9"/>
  <c r="W16" i="9"/>
  <c r="AF8" i="9"/>
  <c r="J11" i="9"/>
  <c r="X16" i="9"/>
  <c r="Y8" i="9"/>
  <c r="J8" i="9"/>
  <c r="S8" i="9"/>
  <c r="AG7" i="9"/>
  <c r="E11" i="9"/>
  <c r="L8" i="9"/>
  <c r="T8" i="9"/>
  <c r="G16" i="9"/>
  <c r="J7" i="9"/>
  <c r="R15" i="9"/>
  <c r="Z15" i="9"/>
  <c r="P14" i="9"/>
  <c r="X14" i="9"/>
  <c r="AF14" i="9"/>
  <c r="T11" i="9"/>
  <c r="AB11" i="9"/>
  <c r="S87" i="9"/>
  <c r="S79" i="9"/>
  <c r="AA84" i="9"/>
  <c r="AA80" i="9"/>
  <c r="AA79" i="9"/>
  <c r="AE76" i="9"/>
  <c r="O10" i="9"/>
  <c r="G17" i="9"/>
  <c r="G78" i="9"/>
  <c r="G86" i="9"/>
  <c r="G77" i="9"/>
  <c r="P10" i="9"/>
  <c r="F17" i="9"/>
  <c r="L14" i="9"/>
  <c r="I8" i="9"/>
  <c r="L78" i="9"/>
  <c r="L77" i="9"/>
  <c r="L85" i="9"/>
  <c r="S17" i="9"/>
  <c r="AA17" i="9"/>
  <c r="Q16" i="9"/>
  <c r="S15" i="9"/>
  <c r="AA15" i="9"/>
  <c r="Q14" i="9"/>
  <c r="Y14" i="9"/>
  <c r="AG14" i="9"/>
  <c r="U11" i="9"/>
  <c r="AC11" i="9"/>
  <c r="Z8" i="9"/>
  <c r="P85" i="9"/>
  <c r="P84" i="9"/>
  <c r="T78" i="9"/>
  <c r="T83" i="9"/>
  <c r="T85" i="9"/>
  <c r="X77" i="9"/>
  <c r="X87" i="9"/>
  <c r="AF87" i="9"/>
  <c r="AF84" i="9"/>
  <c r="O85" i="9"/>
  <c r="O78" i="9"/>
  <c r="O83" i="9"/>
  <c r="D14" i="9"/>
  <c r="H17" i="9"/>
  <c r="E16" i="9"/>
  <c r="G15" i="9"/>
  <c r="F14" i="9"/>
  <c r="H10" i="9"/>
  <c r="H7" i="9"/>
  <c r="F79" i="9"/>
  <c r="F86" i="9"/>
  <c r="F76" i="9"/>
  <c r="T10" i="9"/>
  <c r="R83" i="9"/>
  <c r="R79" i="9"/>
  <c r="R77" i="9"/>
  <c r="W10" i="9"/>
  <c r="AE10" i="9"/>
  <c r="Q87" i="9"/>
  <c r="Q90" i="9" s="1"/>
  <c r="Q85" i="9"/>
  <c r="Q77" i="9"/>
  <c r="Y77" i="9"/>
  <c r="Y86" i="9"/>
  <c r="Y78" i="9"/>
  <c r="AC87" i="9"/>
  <c r="AC79" i="9"/>
  <c r="AG86" i="9"/>
  <c r="AG87" i="9"/>
  <c r="AG79" i="9"/>
  <c r="H15" i="9"/>
  <c r="X10" i="9"/>
  <c r="Z85" i="9"/>
  <c r="Z86" i="9"/>
  <c r="Z80" i="9"/>
  <c r="E15" i="9"/>
  <c r="H14" i="9"/>
  <c r="H80" i="9"/>
  <c r="H87" i="9"/>
  <c r="Q76" i="9"/>
  <c r="AG76" i="9"/>
  <c r="Z12" i="9"/>
  <c r="AE12" i="9"/>
  <c r="Y13" i="9"/>
  <c r="F12" i="9"/>
  <c r="AA13" i="9"/>
  <c r="V13" i="9"/>
  <c r="AC8" i="9"/>
  <c r="K10" i="9"/>
  <c r="V8" i="9"/>
  <c r="M16" i="9"/>
  <c r="AD16" i="9"/>
  <c r="E10" i="9"/>
  <c r="AE16" i="9"/>
  <c r="V7" i="9"/>
  <c r="O7" i="9"/>
  <c r="F10" i="9"/>
  <c r="AF16" i="9"/>
  <c r="AG8" i="9"/>
  <c r="G7" i="9"/>
  <c r="R16" i="9"/>
  <c r="AA8" i="9"/>
  <c r="M11" i="9"/>
  <c r="AB8" i="9"/>
  <c r="F11" i="9"/>
  <c r="V17" i="9"/>
  <c r="AD17" i="9"/>
  <c r="U10" i="9"/>
  <c r="AC10" i="9"/>
  <c r="S86" i="9"/>
  <c r="AA78" i="9"/>
  <c r="AA86" i="9"/>
  <c r="AE85" i="9"/>
  <c r="AE84" i="9"/>
  <c r="AE87" i="9"/>
  <c r="AE93" i="9" s="1"/>
  <c r="J15" i="9"/>
  <c r="I14" i="9"/>
  <c r="E17" i="9"/>
  <c r="L15" i="9"/>
  <c r="H8" i="9"/>
  <c r="G84" i="9"/>
  <c r="G80" i="9"/>
  <c r="G87" i="9"/>
  <c r="Q17" i="9"/>
  <c r="Y15" i="9"/>
  <c r="AE14" i="9"/>
  <c r="AD76" i="9"/>
  <c r="AD77" i="9"/>
  <c r="L79" i="9"/>
  <c r="L80" i="9"/>
  <c r="V10" i="9"/>
  <c r="AD10" i="9"/>
  <c r="R8" i="9"/>
  <c r="AF7" i="9"/>
  <c r="X86" i="9"/>
  <c r="X79" i="9"/>
  <c r="O15" i="9"/>
  <c r="O86" i="9"/>
  <c r="O80" i="9"/>
  <c r="D78" i="9"/>
  <c r="D80" i="9"/>
  <c r="D79" i="9"/>
  <c r="D85" i="9"/>
  <c r="D87" i="9"/>
  <c r="D84" i="9"/>
  <c r="D77" i="9"/>
  <c r="D83" i="9"/>
  <c r="D86" i="9"/>
  <c r="D76" i="9"/>
  <c r="F85" i="9"/>
  <c r="F87" i="9"/>
  <c r="F83" i="9"/>
  <c r="U17" i="9"/>
  <c r="W14" i="9"/>
  <c r="T17" i="9"/>
  <c r="AB17" i="9"/>
  <c r="P15" i="9"/>
  <c r="X15" i="9"/>
  <c r="AF15" i="9"/>
  <c r="V14" i="9"/>
  <c r="AD14" i="9"/>
  <c r="V11" i="9"/>
  <c r="AD11" i="9"/>
  <c r="Q84" i="9"/>
  <c r="Q91" i="9" s="1"/>
  <c r="Q80" i="9"/>
  <c r="Q86" i="9"/>
  <c r="Y83" i="9"/>
  <c r="Y87" i="9"/>
  <c r="Y76" i="9"/>
  <c r="AC86" i="9"/>
  <c r="AC76" i="9"/>
  <c r="AG84" i="9"/>
  <c r="AG85" i="9"/>
  <c r="AG83" i="9"/>
  <c r="Y17" i="9"/>
  <c r="Q15" i="9"/>
  <c r="S14" i="9"/>
  <c r="W11" i="9"/>
  <c r="Z84" i="9"/>
  <c r="Z87" i="9"/>
  <c r="H79" i="9"/>
  <c r="H76" i="9"/>
  <c r="H78" i="9"/>
  <c r="R11" i="9"/>
  <c r="Q12" i="9"/>
  <c r="Q13" i="9"/>
  <c r="S13" i="9"/>
  <c r="Y12" i="9"/>
  <c r="O12" i="9"/>
  <c r="O13" i="9"/>
  <c r="F13" i="9"/>
  <c r="H13" i="9"/>
  <c r="V12" i="9"/>
  <c r="K12" i="9"/>
  <c r="N5" i="9"/>
  <c r="N16" i="9"/>
  <c r="N8" i="9"/>
  <c r="N10" i="9"/>
  <c r="N17" i="9"/>
  <c r="N7" i="9"/>
  <c r="N15" i="9"/>
  <c r="N11" i="9"/>
  <c r="N14" i="9"/>
  <c r="AE13" i="9"/>
  <c r="X13" i="9"/>
  <c r="AG12" i="9"/>
  <c r="AG13" i="9"/>
  <c r="M12" i="9"/>
  <c r="AC13" i="9"/>
  <c r="AB13" i="9"/>
  <c r="T12" i="9"/>
  <c r="D13" i="9"/>
  <c r="AD13" i="9"/>
  <c r="J12" i="9"/>
  <c r="W13" i="9"/>
  <c r="I13" i="9"/>
  <c r="T16" i="9"/>
  <c r="S7" i="9"/>
  <c r="D7" i="9"/>
  <c r="F8" i="9"/>
  <c r="AD8" i="9"/>
  <c r="H11" i="9"/>
  <c r="AC7" i="9"/>
  <c r="O8" i="9"/>
  <c r="M10" i="9"/>
  <c r="P8" i="9"/>
  <c r="AD7" i="9"/>
  <c r="W7" i="9"/>
  <c r="O16" i="9"/>
  <c r="K11" i="9"/>
  <c r="Z16" i="9"/>
  <c r="Q7" i="9"/>
  <c r="I10" i="9"/>
  <c r="S16" i="9"/>
  <c r="R7" i="9"/>
  <c r="D16" i="9"/>
  <c r="J10" i="9"/>
  <c r="V15" i="9"/>
  <c r="AD15" i="9"/>
  <c r="T14" i="9"/>
  <c r="AB14" i="9"/>
  <c r="P11" i="9"/>
  <c r="X11" i="9"/>
  <c r="AF11" i="9"/>
  <c r="S76" i="9"/>
  <c r="AA76" i="9"/>
  <c r="AE78" i="9"/>
  <c r="AE80" i="9"/>
  <c r="D15" i="9"/>
  <c r="K17" i="9"/>
  <c r="G85" i="9"/>
  <c r="AB10" i="9"/>
  <c r="AD84" i="9"/>
  <c r="AD87" i="9"/>
  <c r="M15" i="9"/>
  <c r="F7" i="9"/>
  <c r="L83" i="9"/>
  <c r="O11" i="9"/>
  <c r="W17" i="9"/>
  <c r="AE17" i="9"/>
  <c r="AG16" i="9"/>
  <c r="W15" i="9"/>
  <c r="AE15" i="9"/>
  <c r="U14" i="9"/>
  <c r="AC14" i="9"/>
  <c r="Q11" i="9"/>
  <c r="Y11" i="9"/>
  <c r="AG11" i="9"/>
  <c r="X7" i="9"/>
  <c r="P87" i="9"/>
  <c r="P77" i="9"/>
  <c r="T80" i="9"/>
  <c r="X85" i="9"/>
  <c r="X83" i="9"/>
  <c r="AF85" i="9"/>
  <c r="AF78" i="9"/>
  <c r="O87" i="9"/>
  <c r="L17" i="9"/>
  <c r="K15" i="9"/>
  <c r="J14" i="9"/>
  <c r="L11" i="9"/>
  <c r="K8" i="9"/>
  <c r="F77" i="9"/>
  <c r="R80" i="9"/>
  <c r="S10" i="9"/>
  <c r="AA10" i="9"/>
  <c r="Q78" i="9"/>
  <c r="Y79" i="9"/>
  <c r="AC80" i="9"/>
  <c r="AC84" i="9"/>
  <c r="AG77" i="9"/>
  <c r="I17" i="9"/>
  <c r="G14" i="9"/>
  <c r="AF10" i="9"/>
  <c r="Z83" i="9"/>
  <c r="J17" i="9"/>
  <c r="I15" i="9"/>
  <c r="H86" i="9"/>
  <c r="H85" i="9"/>
  <c r="H10" i="2"/>
  <c r="E10" i="2"/>
  <c r="E7" i="2"/>
  <c r="C57" i="5" s="1"/>
  <c r="G92" i="9" l="1"/>
  <c r="G90" i="9"/>
  <c r="S91" i="9"/>
  <c r="Q93" i="9"/>
  <c r="C9" i="5"/>
  <c r="H94" i="9"/>
  <c r="C100" i="9"/>
  <c r="C116" i="9" s="1"/>
  <c r="D58" i="13"/>
  <c r="C6" i="13"/>
  <c r="Q92" i="9"/>
  <c r="AE92" i="9"/>
  <c r="G93" i="9"/>
  <c r="AE91" i="9"/>
  <c r="S93" i="9"/>
  <c r="G91" i="9"/>
  <c r="Z91" i="9"/>
  <c r="Z90" i="9"/>
  <c r="Z94" i="9"/>
  <c r="Z92" i="9"/>
  <c r="Z93" i="9"/>
  <c r="F92" i="9"/>
  <c r="F91" i="9"/>
  <c r="F90" i="9"/>
  <c r="F94" i="9"/>
  <c r="F93" i="9"/>
  <c r="V90" i="9"/>
  <c r="V94" i="9"/>
  <c r="V92" i="9"/>
  <c r="V91" i="9"/>
  <c r="V93" i="9"/>
  <c r="P93" i="9"/>
  <c r="P90" i="9"/>
  <c r="P92" i="9"/>
  <c r="P94" i="9"/>
  <c r="P91" i="9"/>
  <c r="U94" i="9"/>
  <c r="U93" i="9"/>
  <c r="U91" i="9"/>
  <c r="U90" i="9"/>
  <c r="U92" i="9"/>
  <c r="W92" i="9"/>
  <c r="W91" i="9"/>
  <c r="W94" i="9"/>
  <c r="W93" i="9"/>
  <c r="W90" i="9"/>
  <c r="Q94" i="9"/>
  <c r="S92" i="9"/>
  <c r="Y94" i="9"/>
  <c r="Y93" i="9"/>
  <c r="Y90" i="9"/>
  <c r="Y91" i="9"/>
  <c r="Y92" i="9"/>
  <c r="J94" i="9"/>
  <c r="J92" i="9"/>
  <c r="J91" i="9"/>
  <c r="J90" i="9"/>
  <c r="J93" i="9"/>
  <c r="M92" i="9"/>
  <c r="M94" i="9"/>
  <c r="M91" i="9"/>
  <c r="M93" i="9"/>
  <c r="M90" i="9"/>
  <c r="AE94" i="9"/>
  <c r="AC94" i="9"/>
  <c r="AC91" i="9"/>
  <c r="AC90" i="9"/>
  <c r="AC92" i="9"/>
  <c r="AC93" i="9"/>
  <c r="K92" i="9"/>
  <c r="K94" i="9"/>
  <c r="K91" i="9"/>
  <c r="K93" i="9"/>
  <c r="K90" i="9"/>
  <c r="H91" i="9"/>
  <c r="H93" i="9"/>
  <c r="H92" i="9"/>
  <c r="H90" i="9"/>
  <c r="S94" i="9"/>
  <c r="D90" i="9"/>
  <c r="D93" i="9"/>
  <c r="D94" i="9"/>
  <c r="D91" i="9"/>
  <c r="D92" i="9"/>
  <c r="C114" i="9"/>
  <c r="C122" i="9"/>
  <c r="C123" i="9"/>
  <c r="C125" i="9"/>
  <c r="C115" i="9"/>
  <c r="C118" i="9"/>
  <c r="X92" i="9"/>
  <c r="X94" i="9"/>
  <c r="X91" i="9"/>
  <c r="X93" i="9"/>
  <c r="X90" i="9"/>
  <c r="AG91" i="9"/>
  <c r="AG94" i="9"/>
  <c r="AG92" i="9"/>
  <c r="AG93" i="9"/>
  <c r="AG90" i="9"/>
  <c r="AE90" i="9"/>
  <c r="I90" i="9"/>
  <c r="I92" i="9"/>
  <c r="I94" i="9"/>
  <c r="I91" i="9"/>
  <c r="I93" i="9"/>
  <c r="G94" i="9"/>
  <c r="AB90" i="9"/>
  <c r="AB93" i="9"/>
  <c r="AB91" i="9"/>
  <c r="AB92" i="9"/>
  <c r="AB94" i="9"/>
  <c r="AD91" i="9"/>
  <c r="AD94" i="9"/>
  <c r="AD92" i="9"/>
  <c r="AD93" i="9"/>
  <c r="AD90" i="9"/>
  <c r="S90" i="9"/>
  <c r="C6" i="9"/>
  <c r="L90" i="9"/>
  <c r="L92" i="9"/>
  <c r="L94" i="9"/>
  <c r="L91" i="9"/>
  <c r="L93" i="9"/>
  <c r="R92" i="9"/>
  <c r="R94" i="9"/>
  <c r="R91" i="9"/>
  <c r="R93" i="9"/>
  <c r="R90" i="9"/>
  <c r="O90" i="9"/>
  <c r="O92" i="9"/>
  <c r="O91" i="9"/>
  <c r="O93" i="9"/>
  <c r="O94" i="9"/>
  <c r="T94" i="9"/>
  <c r="T91" i="9"/>
  <c r="T92" i="9"/>
  <c r="T90" i="9"/>
  <c r="T93" i="9"/>
  <c r="AA94" i="9"/>
  <c r="AA93" i="9"/>
  <c r="AA91" i="9"/>
  <c r="AA90" i="9"/>
  <c r="AA92" i="9"/>
  <c r="AF91" i="9"/>
  <c r="AF90" i="9"/>
  <c r="AF93" i="9"/>
  <c r="AF94" i="9"/>
  <c r="AF92" i="9"/>
  <c r="E92" i="9"/>
  <c r="E90" i="9"/>
  <c r="E93" i="9"/>
  <c r="E94" i="9"/>
  <c r="E91" i="9"/>
  <c r="N12" i="5"/>
  <c r="AH12" i="5"/>
  <c r="F12" i="5"/>
  <c r="T12" i="5"/>
  <c r="G12" i="5"/>
  <c r="V12" i="5"/>
  <c r="Z12" i="5"/>
  <c r="P12" i="5"/>
  <c r="W12" i="5"/>
  <c r="R12" i="5"/>
  <c r="H12" i="5"/>
  <c r="AE12" i="5"/>
  <c r="D12" i="5"/>
  <c r="AC12" i="5"/>
  <c r="AG12" i="5"/>
  <c r="O12" i="5"/>
  <c r="AB12" i="5"/>
  <c r="E12" i="5"/>
  <c r="U12" i="5"/>
  <c r="AA12" i="5"/>
  <c r="Y12" i="5"/>
  <c r="I12" i="5"/>
  <c r="M12" i="5"/>
  <c r="L12" i="5"/>
  <c r="S12" i="5"/>
  <c r="Q12" i="5"/>
  <c r="X12" i="5"/>
  <c r="J12" i="5"/>
  <c r="C12" i="5"/>
  <c r="K12" i="5"/>
  <c r="AF12" i="5"/>
  <c r="AD12" i="5"/>
  <c r="C73" i="5"/>
  <c r="C72" i="5"/>
  <c r="C71" i="5"/>
  <c r="C74" i="5"/>
  <c r="C75" i="5"/>
  <c r="AH9" i="5"/>
  <c r="N9" i="5"/>
  <c r="AB9" i="5"/>
  <c r="T9" i="5"/>
  <c r="I9" i="5"/>
  <c r="AD9" i="5"/>
  <c r="H9" i="5"/>
  <c r="L9" i="5"/>
  <c r="S9" i="5"/>
  <c r="M9" i="5"/>
  <c r="AG9" i="5"/>
  <c r="Z9" i="5"/>
  <c r="V9" i="5"/>
  <c r="F9" i="5"/>
  <c r="E9" i="5"/>
  <c r="O9" i="5"/>
  <c r="Y9" i="5"/>
  <c r="W9" i="5"/>
  <c r="Q9" i="5"/>
  <c r="AF9" i="5"/>
  <c r="J9" i="5"/>
  <c r="U9" i="5"/>
  <c r="AA9" i="5"/>
  <c r="X9" i="5"/>
  <c r="G9" i="5"/>
  <c r="K9" i="5"/>
  <c r="D9" i="5"/>
  <c r="D6" i="13" s="1"/>
  <c r="P9" i="5"/>
  <c r="AE9" i="5"/>
  <c r="R9" i="5"/>
  <c r="AC9" i="5"/>
  <c r="C117" i="9" l="1"/>
  <c r="C121" i="9"/>
  <c r="C124" i="9"/>
  <c r="C131" i="9" s="1"/>
  <c r="AF6" i="9"/>
  <c r="AF6" i="13"/>
  <c r="Y9" i="9"/>
  <c r="Y9" i="13"/>
  <c r="N9" i="9"/>
  <c r="N9" i="13"/>
  <c r="Q6" i="9"/>
  <c r="Q6" i="13"/>
  <c r="AB6" i="9"/>
  <c r="AB6" i="13"/>
  <c r="AD9" i="9"/>
  <c r="AD9" i="13"/>
  <c r="J9" i="9"/>
  <c r="J9" i="13"/>
  <c r="L9" i="9"/>
  <c r="L9" i="13"/>
  <c r="AA9" i="9"/>
  <c r="AA9" i="13"/>
  <c r="O9" i="9"/>
  <c r="O9" i="13"/>
  <c r="AE9" i="9"/>
  <c r="AE9" i="13"/>
  <c r="P9" i="9"/>
  <c r="P9" i="13"/>
  <c r="T9" i="9"/>
  <c r="T9" i="13"/>
  <c r="P6" i="9"/>
  <c r="P6" i="13"/>
  <c r="O6" i="9"/>
  <c r="O6" i="13"/>
  <c r="S9" i="9"/>
  <c r="S9" i="13"/>
  <c r="D9" i="9"/>
  <c r="D9" i="13"/>
  <c r="D21" i="13" s="1"/>
  <c r="W9" i="9"/>
  <c r="W9" i="13"/>
  <c r="E6" i="9"/>
  <c r="E6" i="13"/>
  <c r="H6" i="9"/>
  <c r="H6" i="13"/>
  <c r="R6" i="9"/>
  <c r="R6" i="13"/>
  <c r="K6" i="9"/>
  <c r="K6" i="13"/>
  <c r="U6" i="9"/>
  <c r="U6" i="13"/>
  <c r="W6" i="9"/>
  <c r="W6" i="13"/>
  <c r="F6" i="9"/>
  <c r="F6" i="13"/>
  <c r="M6" i="9"/>
  <c r="M6" i="13"/>
  <c r="AD6" i="9"/>
  <c r="AD21" i="9" s="1"/>
  <c r="AD6" i="13"/>
  <c r="N6" i="9"/>
  <c r="N6" i="13"/>
  <c r="AF9" i="9"/>
  <c r="AF21" i="9" s="1"/>
  <c r="AF9" i="13"/>
  <c r="AF38" i="13" s="1"/>
  <c r="X9" i="9"/>
  <c r="X9" i="13"/>
  <c r="M9" i="9"/>
  <c r="M24" i="9" s="1"/>
  <c r="M9" i="13"/>
  <c r="U9" i="9"/>
  <c r="U9" i="13"/>
  <c r="AG9" i="9"/>
  <c r="AG9" i="13"/>
  <c r="H9" i="9"/>
  <c r="H9" i="13"/>
  <c r="Z9" i="9"/>
  <c r="Z22" i="9" s="1"/>
  <c r="Z9" i="13"/>
  <c r="F9" i="9"/>
  <c r="F9" i="13"/>
  <c r="F38" i="13" s="1"/>
  <c r="F9" i="4" s="1"/>
  <c r="X6" i="9"/>
  <c r="X6" i="13"/>
  <c r="Z6" i="9"/>
  <c r="Z6" i="13"/>
  <c r="L6" i="9"/>
  <c r="L21" i="9" s="1"/>
  <c r="L6" i="13"/>
  <c r="T6" i="9"/>
  <c r="T6" i="13"/>
  <c r="C9" i="13"/>
  <c r="C38" i="13" s="1"/>
  <c r="C12" i="12"/>
  <c r="AB9" i="9"/>
  <c r="AB9" i="13"/>
  <c r="AB38" i="13" s="1"/>
  <c r="G9" i="9"/>
  <c r="G24" i="9" s="1"/>
  <c r="G9" i="13"/>
  <c r="AC6" i="9"/>
  <c r="AC6" i="13"/>
  <c r="AA6" i="9"/>
  <c r="AA22" i="9" s="1"/>
  <c r="AA6" i="13"/>
  <c r="AG6" i="9"/>
  <c r="AG6" i="13"/>
  <c r="AE6" i="9"/>
  <c r="AE22" i="9" s="1"/>
  <c r="AE6" i="13"/>
  <c r="G6" i="9"/>
  <c r="G6" i="13"/>
  <c r="J6" i="9"/>
  <c r="J6" i="13"/>
  <c r="Y6" i="9"/>
  <c r="Y24" i="9" s="1"/>
  <c r="Y6" i="13"/>
  <c r="V6" i="9"/>
  <c r="V6" i="13"/>
  <c r="S6" i="9"/>
  <c r="S6" i="13"/>
  <c r="I6" i="9"/>
  <c r="I6" i="13"/>
  <c r="AH6" i="9"/>
  <c r="AH6" i="13"/>
  <c r="K9" i="9"/>
  <c r="K31" i="9" s="1"/>
  <c r="K9" i="13"/>
  <c r="Q9" i="9"/>
  <c r="Q9" i="13"/>
  <c r="I9" i="9"/>
  <c r="I9" i="13"/>
  <c r="I38" i="13" s="1"/>
  <c r="I9" i="4" s="1"/>
  <c r="E9" i="9"/>
  <c r="E9" i="13"/>
  <c r="AC9" i="9"/>
  <c r="AC27" i="9" s="1"/>
  <c r="AC9" i="13"/>
  <c r="R9" i="9"/>
  <c r="R9" i="13"/>
  <c r="R38" i="13" s="1"/>
  <c r="V9" i="9"/>
  <c r="V9" i="13"/>
  <c r="AH9" i="9"/>
  <c r="AH9" i="13"/>
  <c r="AH38" i="13" s="1"/>
  <c r="D87" i="13"/>
  <c r="D82" i="13"/>
  <c r="D81" i="13"/>
  <c r="D75" i="13"/>
  <c r="D73" i="13"/>
  <c r="D83" i="13"/>
  <c r="D76" i="13"/>
  <c r="D74" i="13"/>
  <c r="D86" i="13"/>
  <c r="D80" i="13"/>
  <c r="D79" i="13"/>
  <c r="D72" i="13"/>
  <c r="D91" i="13"/>
  <c r="D93" i="13"/>
  <c r="D95" i="13"/>
  <c r="D89" i="13"/>
  <c r="D96" i="13"/>
  <c r="D88" i="13"/>
  <c r="D97" i="13"/>
  <c r="D94" i="13"/>
  <c r="D92" i="13"/>
  <c r="D98" i="13"/>
  <c r="D90" i="13"/>
  <c r="D30" i="13"/>
  <c r="D34" i="13"/>
  <c r="D43" i="13"/>
  <c r="D20" i="13"/>
  <c r="D42" i="13"/>
  <c r="D37" i="13"/>
  <c r="R27" i="9"/>
  <c r="R30" i="9"/>
  <c r="J22" i="9"/>
  <c r="Y30" i="9"/>
  <c r="Y20" i="9"/>
  <c r="Y21" i="9"/>
  <c r="Y31" i="9"/>
  <c r="S30" i="9"/>
  <c r="S29" i="9"/>
  <c r="S21" i="9"/>
  <c r="S28" i="9"/>
  <c r="S20" i="9"/>
  <c r="S23" i="9"/>
  <c r="S27" i="9"/>
  <c r="S24" i="9"/>
  <c r="S31" i="9"/>
  <c r="S22" i="9"/>
  <c r="I22" i="9"/>
  <c r="I24" i="9"/>
  <c r="I20" i="9"/>
  <c r="AH30" i="9"/>
  <c r="AH24" i="9"/>
  <c r="AH20" i="9"/>
  <c r="AH21" i="9"/>
  <c r="AH27" i="9"/>
  <c r="AH31" i="9"/>
  <c r="AH22" i="9"/>
  <c r="AH28" i="9"/>
  <c r="AH23" i="9"/>
  <c r="N31" i="9"/>
  <c r="P22" i="9"/>
  <c r="P29" i="9"/>
  <c r="P20" i="9"/>
  <c r="P27" i="9"/>
  <c r="P24" i="9"/>
  <c r="P21" i="9"/>
  <c r="P28" i="9"/>
  <c r="P30" i="9"/>
  <c r="P23" i="9"/>
  <c r="P31" i="9"/>
  <c r="X20" i="9"/>
  <c r="X29" i="9"/>
  <c r="AF23" i="9"/>
  <c r="AF27" i="9"/>
  <c r="AF31" i="9"/>
  <c r="O24" i="9"/>
  <c r="L30" i="9"/>
  <c r="T28" i="9"/>
  <c r="T30" i="9"/>
  <c r="T23" i="9"/>
  <c r="T20" i="9"/>
  <c r="T22" i="9"/>
  <c r="T24" i="9"/>
  <c r="T27" i="9"/>
  <c r="T31" i="9"/>
  <c r="T29" i="9"/>
  <c r="T21" i="9"/>
  <c r="C9" i="9"/>
  <c r="C21" i="9" s="1"/>
  <c r="C14" i="12"/>
  <c r="N29" i="9"/>
  <c r="C13" i="12"/>
  <c r="D23" i="5"/>
  <c r="D5" i="12" s="1"/>
  <c r="D6" i="9"/>
  <c r="AA30" i="9"/>
  <c r="AA31" i="9"/>
  <c r="Q21" i="9"/>
  <c r="Q24" i="9"/>
  <c r="Q28" i="9"/>
  <c r="Q23" i="9"/>
  <c r="Q27" i="9"/>
  <c r="Q29" i="9"/>
  <c r="Q31" i="9"/>
  <c r="Q20" i="9"/>
  <c r="Q30" i="9"/>
  <c r="Q22" i="9"/>
  <c r="AG31" i="9"/>
  <c r="AG21" i="9"/>
  <c r="AG30" i="9"/>
  <c r="H21" i="9"/>
  <c r="H29" i="9"/>
  <c r="H30" i="9"/>
  <c r="H20" i="9"/>
  <c r="H23" i="9"/>
  <c r="H28" i="9"/>
  <c r="H31" i="9"/>
  <c r="H27" i="9"/>
  <c r="H22" i="9"/>
  <c r="H24" i="9"/>
  <c r="AB24" i="9"/>
  <c r="AB28" i="9"/>
  <c r="AB23" i="9"/>
  <c r="AB31" i="9"/>
  <c r="AB22" i="9"/>
  <c r="AB29" i="9"/>
  <c r="AB30" i="9"/>
  <c r="AB27" i="9"/>
  <c r="AB20" i="9"/>
  <c r="AB21" i="9"/>
  <c r="K29" i="9"/>
  <c r="W22" i="9"/>
  <c r="W31" i="9"/>
  <c r="W21" i="9"/>
  <c r="W30" i="9"/>
  <c r="W24" i="9"/>
  <c r="W20" i="9"/>
  <c r="W27" i="9"/>
  <c r="W23" i="9"/>
  <c r="W29" i="9"/>
  <c r="W28" i="9"/>
  <c r="F31" i="9"/>
  <c r="F20" i="9"/>
  <c r="C128" i="9"/>
  <c r="C130" i="9"/>
  <c r="C129" i="9"/>
  <c r="C132" i="9"/>
  <c r="H27" i="5"/>
  <c r="H9" i="12" s="1"/>
  <c r="H25" i="5"/>
  <c r="H7" i="12" s="1"/>
  <c r="H24" i="5"/>
  <c r="H6" i="12" s="1"/>
  <c r="H26" i="5"/>
  <c r="H8" i="12" s="1"/>
  <c r="H23" i="5"/>
  <c r="H5" i="12" s="1"/>
  <c r="U24" i="5"/>
  <c r="U6" i="12" s="1"/>
  <c r="U25" i="5"/>
  <c r="U7" i="12" s="1"/>
  <c r="U23" i="5"/>
  <c r="U5" i="12" s="1"/>
  <c r="U26" i="5"/>
  <c r="U8" i="12" s="1"/>
  <c r="U27" i="5"/>
  <c r="U9" i="12" s="1"/>
  <c r="F27" i="5"/>
  <c r="F9" i="12" s="1"/>
  <c r="F23" i="5"/>
  <c r="F5" i="12" s="1"/>
  <c r="F26" i="5"/>
  <c r="F8" i="12" s="1"/>
  <c r="F24" i="5"/>
  <c r="F6" i="12" s="1"/>
  <c r="F25" i="5"/>
  <c r="F7" i="12" s="1"/>
  <c r="AD26" i="5"/>
  <c r="AD8" i="12" s="1"/>
  <c r="AD24" i="5"/>
  <c r="AD6" i="12" s="1"/>
  <c r="AD23" i="5"/>
  <c r="AD5" i="12" s="1"/>
  <c r="AD25" i="5"/>
  <c r="AD7" i="12" s="1"/>
  <c r="AD27" i="5"/>
  <c r="AD9" i="12" s="1"/>
  <c r="AA23" i="5"/>
  <c r="AA5" i="12" s="1"/>
  <c r="AA27" i="5"/>
  <c r="AA9" i="12" s="1"/>
  <c r="AA26" i="5"/>
  <c r="AA8" i="12" s="1"/>
  <c r="AA24" i="5"/>
  <c r="AA6" i="12" s="1"/>
  <c r="AA25" i="5"/>
  <c r="AA7" i="12" s="1"/>
  <c r="R26" i="5"/>
  <c r="R8" i="12" s="1"/>
  <c r="R23" i="5"/>
  <c r="R5" i="12" s="1"/>
  <c r="R25" i="5"/>
  <c r="R7" i="12" s="1"/>
  <c r="R24" i="5"/>
  <c r="R6" i="12" s="1"/>
  <c r="R27" i="5"/>
  <c r="R9" i="12" s="1"/>
  <c r="AE25" i="5"/>
  <c r="AE7" i="12" s="1"/>
  <c r="AE24" i="5"/>
  <c r="AE6" i="12" s="1"/>
  <c r="AE23" i="5"/>
  <c r="AE5" i="12" s="1"/>
  <c r="AE27" i="5"/>
  <c r="AE9" i="12" s="1"/>
  <c r="AE26" i="5"/>
  <c r="AE8" i="12" s="1"/>
  <c r="J26" i="5"/>
  <c r="J8" i="12" s="1"/>
  <c r="J23" i="5"/>
  <c r="J5" i="12" s="1"/>
  <c r="J24" i="5"/>
  <c r="J6" i="12" s="1"/>
  <c r="J25" i="5"/>
  <c r="J7" i="12" s="1"/>
  <c r="J27" i="5"/>
  <c r="J9" i="12" s="1"/>
  <c r="V27" i="5"/>
  <c r="V9" i="12" s="1"/>
  <c r="V26" i="5"/>
  <c r="V8" i="12" s="1"/>
  <c r="V24" i="5"/>
  <c r="V6" i="12" s="1"/>
  <c r="V25" i="5"/>
  <c r="V7" i="12" s="1"/>
  <c r="V23" i="5"/>
  <c r="V5" i="12" s="1"/>
  <c r="I23" i="5"/>
  <c r="I5" i="12" s="1"/>
  <c r="I25" i="5"/>
  <c r="I7" i="12" s="1"/>
  <c r="I24" i="5"/>
  <c r="I6" i="12" s="1"/>
  <c r="I26" i="5"/>
  <c r="I8" i="12" s="1"/>
  <c r="I27" i="5"/>
  <c r="I9" i="12" s="1"/>
  <c r="E25" i="5"/>
  <c r="E7" i="12" s="1"/>
  <c r="E24" i="5"/>
  <c r="E6" i="12" s="1"/>
  <c r="E26" i="5"/>
  <c r="E8" i="12" s="1"/>
  <c r="E23" i="5"/>
  <c r="E5" i="12" s="1"/>
  <c r="E27" i="5"/>
  <c r="E9" i="12" s="1"/>
  <c r="T27" i="5"/>
  <c r="T9" i="12" s="1"/>
  <c r="T23" i="5"/>
  <c r="T5" i="12" s="1"/>
  <c r="T26" i="5"/>
  <c r="T8" i="12" s="1"/>
  <c r="T25" i="5"/>
  <c r="T7" i="12" s="1"/>
  <c r="T24" i="5"/>
  <c r="T6" i="12" s="1"/>
  <c r="D26" i="5"/>
  <c r="D8" i="12" s="1"/>
  <c r="D24" i="5"/>
  <c r="D6" i="12" s="1"/>
  <c r="D25" i="5"/>
  <c r="D7" i="12" s="1"/>
  <c r="D27" i="5"/>
  <c r="D9" i="12" s="1"/>
  <c r="Q25" i="5"/>
  <c r="Q7" i="12" s="1"/>
  <c r="Q24" i="5"/>
  <c r="Q6" i="12" s="1"/>
  <c r="Q26" i="5"/>
  <c r="Q8" i="12" s="1"/>
  <c r="Q27" i="5"/>
  <c r="Q9" i="12" s="1"/>
  <c r="Q23" i="5"/>
  <c r="Q5" i="12" s="1"/>
  <c r="AG26" i="5"/>
  <c r="AG8" i="12" s="1"/>
  <c r="AG25" i="5"/>
  <c r="AG7" i="12" s="1"/>
  <c r="AG27" i="5"/>
  <c r="AG9" i="12" s="1"/>
  <c r="AG24" i="5"/>
  <c r="AG6" i="12" s="1"/>
  <c r="AG23" i="5"/>
  <c r="AG5" i="12" s="1"/>
  <c r="AB23" i="5"/>
  <c r="AB5" i="12" s="1"/>
  <c r="AB26" i="5"/>
  <c r="AB8" i="12" s="1"/>
  <c r="AB27" i="5"/>
  <c r="AB9" i="12" s="1"/>
  <c r="AB25" i="5"/>
  <c r="AB7" i="12" s="1"/>
  <c r="AB24" i="5"/>
  <c r="AB6" i="12" s="1"/>
  <c r="AF27" i="5"/>
  <c r="AF9" i="12" s="1"/>
  <c r="AF23" i="5"/>
  <c r="AF5" i="12" s="1"/>
  <c r="AF26" i="5"/>
  <c r="AF8" i="12" s="1"/>
  <c r="AF25" i="5"/>
  <c r="AF7" i="12" s="1"/>
  <c r="AF24" i="5"/>
  <c r="AF6" i="12" s="1"/>
  <c r="K23" i="5"/>
  <c r="K5" i="12" s="1"/>
  <c r="K27" i="5"/>
  <c r="K9" i="12" s="1"/>
  <c r="K24" i="5"/>
  <c r="K6" i="12" s="1"/>
  <c r="K26" i="5"/>
  <c r="K8" i="12" s="1"/>
  <c r="K25" i="5"/>
  <c r="K7" i="12" s="1"/>
  <c r="W23" i="5"/>
  <c r="W5" i="12" s="1"/>
  <c r="W25" i="5"/>
  <c r="W7" i="12" s="1"/>
  <c r="W24" i="5"/>
  <c r="W6" i="12" s="1"/>
  <c r="W27" i="5"/>
  <c r="W9" i="12" s="1"/>
  <c r="W26" i="5"/>
  <c r="W8" i="12" s="1"/>
  <c r="M23" i="5"/>
  <c r="M5" i="12" s="1"/>
  <c r="M25" i="5"/>
  <c r="M7" i="12" s="1"/>
  <c r="M24" i="5"/>
  <c r="M6" i="12" s="1"/>
  <c r="M27" i="5"/>
  <c r="M9" i="12" s="1"/>
  <c r="M26" i="5"/>
  <c r="M8" i="12" s="1"/>
  <c r="N27" i="5"/>
  <c r="N9" i="12" s="1"/>
  <c r="N23" i="5"/>
  <c r="N5" i="12" s="1"/>
  <c r="N24" i="5"/>
  <c r="N6" i="12" s="1"/>
  <c r="N25" i="5"/>
  <c r="N7" i="12" s="1"/>
  <c r="N26" i="5"/>
  <c r="N8" i="12" s="1"/>
  <c r="AC25" i="5"/>
  <c r="AC7" i="12" s="1"/>
  <c r="AC23" i="5"/>
  <c r="AC5" i="12" s="1"/>
  <c r="AC27" i="5"/>
  <c r="AC9" i="12" s="1"/>
  <c r="AC26" i="5"/>
  <c r="AC8" i="12" s="1"/>
  <c r="AC24" i="5"/>
  <c r="AC6" i="12" s="1"/>
  <c r="Z26" i="5"/>
  <c r="Z8" i="12" s="1"/>
  <c r="Z24" i="5"/>
  <c r="Z6" i="12" s="1"/>
  <c r="Z25" i="5"/>
  <c r="Z7" i="12" s="1"/>
  <c r="Z27" i="5"/>
  <c r="Z9" i="12" s="1"/>
  <c r="Z23" i="5"/>
  <c r="Z5" i="12" s="1"/>
  <c r="G25" i="5"/>
  <c r="G7" i="12" s="1"/>
  <c r="G26" i="5"/>
  <c r="G8" i="12" s="1"/>
  <c r="G23" i="5"/>
  <c r="G5" i="12" s="1"/>
  <c r="G24" i="5"/>
  <c r="G6" i="12" s="1"/>
  <c r="G27" i="5"/>
  <c r="G9" i="12" s="1"/>
  <c r="Y25" i="5"/>
  <c r="Y7" i="12" s="1"/>
  <c r="Y24" i="5"/>
  <c r="Y6" i="12" s="1"/>
  <c r="Y23" i="5"/>
  <c r="Y5" i="12" s="1"/>
  <c r="Y26" i="5"/>
  <c r="Y8" i="12" s="1"/>
  <c r="Y27" i="5"/>
  <c r="Y9" i="12" s="1"/>
  <c r="S25" i="5"/>
  <c r="S7" i="12" s="1"/>
  <c r="S23" i="5"/>
  <c r="S5" i="12" s="1"/>
  <c r="S24" i="5"/>
  <c r="S6" i="12" s="1"/>
  <c r="S27" i="5"/>
  <c r="S9" i="12" s="1"/>
  <c r="S26" i="5"/>
  <c r="S8" i="12" s="1"/>
  <c r="C25" i="5"/>
  <c r="C7" i="12" s="1"/>
  <c r="C24" i="5"/>
  <c r="C6" i="12" s="1"/>
  <c r="C23" i="5"/>
  <c r="C5" i="12" s="1"/>
  <c r="C26" i="5"/>
  <c r="C8" i="12" s="1"/>
  <c r="C27" i="5"/>
  <c r="C9" i="12" s="1"/>
  <c r="P26" i="5"/>
  <c r="P8" i="12" s="1"/>
  <c r="P25" i="5"/>
  <c r="P7" i="12" s="1"/>
  <c r="P24" i="5"/>
  <c r="P6" i="12" s="1"/>
  <c r="P27" i="5"/>
  <c r="P9" i="12" s="1"/>
  <c r="P23" i="5"/>
  <c r="P5" i="12" s="1"/>
  <c r="X25" i="5"/>
  <c r="X7" i="12" s="1"/>
  <c r="X24" i="5"/>
  <c r="X6" i="12" s="1"/>
  <c r="X23" i="5"/>
  <c r="X5" i="12" s="1"/>
  <c r="X26" i="5"/>
  <c r="X8" i="12" s="1"/>
  <c r="X27" i="5"/>
  <c r="X9" i="12" s="1"/>
  <c r="O24" i="5"/>
  <c r="O6" i="12" s="1"/>
  <c r="O26" i="5"/>
  <c r="O8" i="12" s="1"/>
  <c r="O25" i="5"/>
  <c r="O7" i="12" s="1"/>
  <c r="O23" i="5"/>
  <c r="O5" i="12" s="1"/>
  <c r="O27" i="5"/>
  <c r="O9" i="12" s="1"/>
  <c r="L27" i="5"/>
  <c r="L9" i="12" s="1"/>
  <c r="L23" i="5"/>
  <c r="L5" i="12" s="1"/>
  <c r="L26" i="5"/>
  <c r="L8" i="12" s="1"/>
  <c r="L25" i="5"/>
  <c r="L7" i="12" s="1"/>
  <c r="L24" i="5"/>
  <c r="L6" i="12" s="1"/>
  <c r="AH27" i="5"/>
  <c r="AH9" i="12" s="1"/>
  <c r="AH23" i="5"/>
  <c r="AH5" i="12" s="1"/>
  <c r="AH26" i="5"/>
  <c r="AH8" i="12" s="1"/>
  <c r="AH25" i="5"/>
  <c r="AH7" i="12" s="1"/>
  <c r="AH24" i="5"/>
  <c r="AH6" i="12" s="1"/>
  <c r="D14" i="7" l="1"/>
  <c r="D14" i="4"/>
  <c r="D5" i="4"/>
  <c r="D5" i="7"/>
  <c r="D13" i="7"/>
  <c r="D13" i="4"/>
  <c r="P38" i="13"/>
  <c r="AH29" i="9"/>
  <c r="AC38" i="13"/>
  <c r="K38" i="13"/>
  <c r="K9" i="4" s="1"/>
  <c r="M38" i="13"/>
  <c r="M9" i="4" s="1"/>
  <c r="C20" i="9"/>
  <c r="V21" i="9"/>
  <c r="U29" i="9"/>
  <c r="E29" i="9"/>
  <c r="O21" i="9"/>
  <c r="J24" i="9"/>
  <c r="N20" i="9"/>
  <c r="C34" i="13"/>
  <c r="N23" i="9"/>
  <c r="N30" i="9"/>
  <c r="Z24" i="9"/>
  <c r="O29" i="9"/>
  <c r="N27" i="9"/>
  <c r="Y28" i="9"/>
  <c r="J31" i="9"/>
  <c r="E38" i="13"/>
  <c r="E9" i="4" s="1"/>
  <c r="H38" i="13"/>
  <c r="H9" i="4" s="1"/>
  <c r="AD38" i="13"/>
  <c r="Y38" i="13"/>
  <c r="N22" i="9"/>
  <c r="N21" i="9"/>
  <c r="E28" i="9"/>
  <c r="AC30" i="9"/>
  <c r="AC37" i="9" s="1"/>
  <c r="N28" i="9"/>
  <c r="N35" i="9" s="1"/>
  <c r="Z30" i="9"/>
  <c r="O27" i="9"/>
  <c r="V28" i="9"/>
  <c r="V35" i="9" s="1"/>
  <c r="AD24" i="9"/>
  <c r="E20" i="9"/>
  <c r="AC22" i="9"/>
  <c r="Z20" i="9"/>
  <c r="O23" i="9"/>
  <c r="V27" i="9"/>
  <c r="Y22" i="9"/>
  <c r="V38" i="13"/>
  <c r="AD28" i="9"/>
  <c r="U20" i="9"/>
  <c r="G23" i="9"/>
  <c r="O30" i="9"/>
  <c r="O37" i="9" s="1"/>
  <c r="O20" i="9"/>
  <c r="V31" i="9"/>
  <c r="I28" i="9"/>
  <c r="J21" i="9"/>
  <c r="X28" i="9"/>
  <c r="AG22" i="9"/>
  <c r="F23" i="9"/>
  <c r="R21" i="9"/>
  <c r="M20" i="9"/>
  <c r="U31" i="9"/>
  <c r="G27" i="9"/>
  <c r="O22" i="9"/>
  <c r="O28" i="9"/>
  <c r="AE23" i="9"/>
  <c r="Y29" i="9"/>
  <c r="Y23" i="9"/>
  <c r="U38" i="13"/>
  <c r="L38" i="13"/>
  <c r="L9" i="4" s="1"/>
  <c r="M29" i="9"/>
  <c r="K22" i="9"/>
  <c r="G28" i="9"/>
  <c r="O31" i="9"/>
  <c r="O38" i="9" s="1"/>
  <c r="AE27" i="9"/>
  <c r="Y27" i="9"/>
  <c r="N24" i="9"/>
  <c r="M27" i="9"/>
  <c r="M36" i="9" s="1"/>
  <c r="K21" i="9"/>
  <c r="L24" i="9"/>
  <c r="O35" i="13"/>
  <c r="O6" i="7" s="1"/>
  <c r="O36" i="13"/>
  <c r="O44" i="13"/>
  <c r="O15" i="7" s="1"/>
  <c r="O41" i="13"/>
  <c r="O12" i="7" s="1"/>
  <c r="O40" i="13"/>
  <c r="O11" i="7" s="1"/>
  <c r="O39" i="13"/>
  <c r="O10" i="7" s="1"/>
  <c r="O42" i="13"/>
  <c r="O13" i="7" s="1"/>
  <c r="O43" i="13"/>
  <c r="O14" i="7" s="1"/>
  <c r="O45" i="13"/>
  <c r="O16" i="7" s="1"/>
  <c r="O37" i="13"/>
  <c r="O46" i="13"/>
  <c r="O17" i="7" s="1"/>
  <c r="O24" i="13"/>
  <c r="O23" i="13"/>
  <c r="O21" i="13"/>
  <c r="O22" i="13"/>
  <c r="O28" i="13"/>
  <c r="O29" i="13"/>
  <c r="O20" i="13"/>
  <c r="O34" i="13"/>
  <c r="O5" i="7" s="1"/>
  <c r="O30" i="13"/>
  <c r="O27" i="13"/>
  <c r="O31" i="13"/>
  <c r="C23" i="13"/>
  <c r="C29" i="13"/>
  <c r="O38" i="13"/>
  <c r="AD30" i="9"/>
  <c r="AD31" i="9"/>
  <c r="M22" i="9"/>
  <c r="M23" i="9"/>
  <c r="M30" i="9"/>
  <c r="F28" i="9"/>
  <c r="F29" i="9"/>
  <c r="U22" i="9"/>
  <c r="U28" i="9"/>
  <c r="K23" i="9"/>
  <c r="K30" i="9"/>
  <c r="K28" i="9"/>
  <c r="AG29" i="9"/>
  <c r="AG36" i="9" s="1"/>
  <c r="AG27" i="9"/>
  <c r="AG24" i="9"/>
  <c r="E24" i="9"/>
  <c r="E23" i="9"/>
  <c r="AA27" i="9"/>
  <c r="AA28" i="9"/>
  <c r="AA35" i="9" s="1"/>
  <c r="AC24" i="9"/>
  <c r="AC29" i="9"/>
  <c r="AC36" i="9" s="1"/>
  <c r="G20" i="9"/>
  <c r="G22" i="9"/>
  <c r="G21" i="9"/>
  <c r="L31" i="9"/>
  <c r="L38" i="9" s="1"/>
  <c r="L28" i="9"/>
  <c r="Z23" i="9"/>
  <c r="Z27" i="9"/>
  <c r="Z29" i="9"/>
  <c r="Z36" i="9" s="1"/>
  <c r="AF30" i="9"/>
  <c r="AF24" i="9"/>
  <c r="AF22" i="9"/>
  <c r="X27" i="9"/>
  <c r="X38" i="9" s="1"/>
  <c r="X21" i="9"/>
  <c r="AE28" i="9"/>
  <c r="AE21" i="9"/>
  <c r="C27" i="9"/>
  <c r="I29" i="9"/>
  <c r="I31" i="9"/>
  <c r="I23" i="9"/>
  <c r="V24" i="9"/>
  <c r="V23" i="9"/>
  <c r="V22" i="9"/>
  <c r="J20" i="9"/>
  <c r="J30" i="9"/>
  <c r="J28" i="9"/>
  <c r="R31" i="9"/>
  <c r="R37" i="9" s="1"/>
  <c r="R20" i="9"/>
  <c r="D41" i="13"/>
  <c r="D46" i="13"/>
  <c r="D22" i="13"/>
  <c r="D36" i="13"/>
  <c r="D31" i="13"/>
  <c r="D24" i="13"/>
  <c r="Q38" i="13"/>
  <c r="AH31" i="13"/>
  <c r="AH35" i="13"/>
  <c r="AH6" i="7" s="1"/>
  <c r="AH44" i="13"/>
  <c r="AH15" i="7" s="1"/>
  <c r="AH46" i="13"/>
  <c r="AH17" i="7" s="1"/>
  <c r="AH37" i="13"/>
  <c r="AH45" i="13"/>
  <c r="AH16" i="7" s="1"/>
  <c r="AH39" i="13"/>
  <c r="AH10" i="7" s="1"/>
  <c r="AH22" i="13"/>
  <c r="AH30" i="13"/>
  <c r="AH36" i="13"/>
  <c r="AH43" i="13"/>
  <c r="AH14" i="7" s="1"/>
  <c r="AH34" i="13"/>
  <c r="AH5" i="7" s="1"/>
  <c r="AH23" i="13"/>
  <c r="AH24" i="13"/>
  <c r="AH40" i="13"/>
  <c r="AH11" i="7" s="1"/>
  <c r="AH20" i="13"/>
  <c r="AH27" i="13"/>
  <c r="AH28" i="13"/>
  <c r="AH21" i="13"/>
  <c r="AH29" i="13"/>
  <c r="AH42" i="13"/>
  <c r="AH13" i="7" s="1"/>
  <c r="AH41" i="13"/>
  <c r="AH12" i="7" s="1"/>
  <c r="S35" i="13"/>
  <c r="S6" i="7" s="1"/>
  <c r="S37" i="13"/>
  <c r="S40" i="13"/>
  <c r="S11" i="7" s="1"/>
  <c r="S36" i="13"/>
  <c r="S39" i="13"/>
  <c r="S10" i="7" s="1"/>
  <c r="S27" i="13"/>
  <c r="S24" i="13"/>
  <c r="S29" i="13"/>
  <c r="S42" i="13"/>
  <c r="S13" i="7" s="1"/>
  <c r="S31" i="13"/>
  <c r="S23" i="13"/>
  <c r="S43" i="13"/>
  <c r="S14" i="7" s="1"/>
  <c r="S45" i="13"/>
  <c r="S16" i="7" s="1"/>
  <c r="S34" i="13"/>
  <c r="S5" i="7" s="1"/>
  <c r="S28" i="13"/>
  <c r="S20" i="13"/>
  <c r="S22" i="13"/>
  <c r="S44" i="13"/>
  <c r="S15" i="7" s="1"/>
  <c r="S41" i="13"/>
  <c r="S12" i="7" s="1"/>
  <c r="S21" i="13"/>
  <c r="S30" i="13"/>
  <c r="S46" i="13"/>
  <c r="S17" i="7" s="1"/>
  <c r="Y35" i="13"/>
  <c r="Y6" i="7" s="1"/>
  <c r="Y41" i="13"/>
  <c r="Y12" i="7" s="1"/>
  <c r="Y40" i="13"/>
  <c r="Y11" i="7" s="1"/>
  <c r="Y44" i="13"/>
  <c r="Y15" i="7" s="1"/>
  <c r="Y37" i="13"/>
  <c r="Y43" i="13"/>
  <c r="Y14" i="7" s="1"/>
  <c r="Y46" i="13"/>
  <c r="Y17" i="7" s="1"/>
  <c r="Y42" i="13"/>
  <c r="Y13" i="7" s="1"/>
  <c r="Y24" i="13"/>
  <c r="Y27" i="13"/>
  <c r="Y28" i="13"/>
  <c r="Y39" i="13"/>
  <c r="Y10" i="7" s="1"/>
  <c r="Y30" i="13"/>
  <c r="Y31" i="13"/>
  <c r="Y34" i="13"/>
  <c r="Y5" i="7" s="1"/>
  <c r="Y20" i="13"/>
  <c r="Y29" i="13"/>
  <c r="Y23" i="13"/>
  <c r="Y36" i="13"/>
  <c r="Y45" i="13"/>
  <c r="Y16" i="7" s="1"/>
  <c r="Y22" i="13"/>
  <c r="Y21" i="13"/>
  <c r="G35" i="13"/>
  <c r="G44" i="13"/>
  <c r="G36" i="13"/>
  <c r="G42" i="13"/>
  <c r="G41" i="13"/>
  <c r="G37" i="13"/>
  <c r="G46" i="13"/>
  <c r="G39" i="13"/>
  <c r="G24" i="13"/>
  <c r="G23" i="13"/>
  <c r="G43" i="13"/>
  <c r="G21" i="13"/>
  <c r="G31" i="13"/>
  <c r="G28" i="13"/>
  <c r="G29" i="13"/>
  <c r="G22" i="13"/>
  <c r="G34" i="13"/>
  <c r="G30" i="13"/>
  <c r="G27" i="13"/>
  <c r="G40" i="13"/>
  <c r="G20" i="13"/>
  <c r="G45" i="13"/>
  <c r="AG35" i="13"/>
  <c r="AG6" i="7" s="1"/>
  <c r="AG40" i="13"/>
  <c r="AG11" i="7" s="1"/>
  <c r="AG45" i="13"/>
  <c r="AG16" i="7" s="1"/>
  <c r="AG39" i="13"/>
  <c r="AG10" i="7" s="1"/>
  <c r="AG37" i="13"/>
  <c r="AG41" i="13"/>
  <c r="AG12" i="7" s="1"/>
  <c r="AG31" i="13"/>
  <c r="AG30" i="13"/>
  <c r="AG23" i="13"/>
  <c r="AG24" i="13"/>
  <c r="AG21" i="13"/>
  <c r="AG46" i="13"/>
  <c r="AG17" i="7" s="1"/>
  <c r="AG36" i="13"/>
  <c r="AG20" i="13"/>
  <c r="AG28" i="13"/>
  <c r="AG29" i="13"/>
  <c r="AG44" i="13"/>
  <c r="AG15" i="7" s="1"/>
  <c r="AG34" i="13"/>
  <c r="AG5" i="7" s="1"/>
  <c r="AG27" i="13"/>
  <c r="AG42" i="13"/>
  <c r="AG13" i="7" s="1"/>
  <c r="AG22" i="13"/>
  <c r="AG43" i="13"/>
  <c r="AG14" i="7" s="1"/>
  <c r="AC35" i="13"/>
  <c r="AC6" i="7" s="1"/>
  <c r="AC37" i="13"/>
  <c r="AC39" i="13"/>
  <c r="AC10" i="7" s="1"/>
  <c r="AC43" i="13"/>
  <c r="AC14" i="7" s="1"/>
  <c r="AC45" i="13"/>
  <c r="AC16" i="7" s="1"/>
  <c r="AC42" i="13"/>
  <c r="AC13" i="7" s="1"/>
  <c r="AC36" i="13"/>
  <c r="AC44" i="13"/>
  <c r="AC15" i="7" s="1"/>
  <c r="AC31" i="13"/>
  <c r="AC28" i="13"/>
  <c r="AC23" i="13"/>
  <c r="AC20" i="13"/>
  <c r="AC30" i="13"/>
  <c r="AC29" i="13"/>
  <c r="AC46" i="13"/>
  <c r="AC17" i="7" s="1"/>
  <c r="AC40" i="13"/>
  <c r="AC11" i="7" s="1"/>
  <c r="AC21" i="13"/>
  <c r="AC27" i="13"/>
  <c r="AC41" i="13"/>
  <c r="AC12" i="7" s="1"/>
  <c r="AC34" i="13"/>
  <c r="AC5" i="7" s="1"/>
  <c r="AC22" i="13"/>
  <c r="AC24" i="13"/>
  <c r="T35" i="13"/>
  <c r="T6" i="7" s="1"/>
  <c r="T22" i="13"/>
  <c r="T27" i="13"/>
  <c r="T30" i="13"/>
  <c r="T44" i="13"/>
  <c r="T15" i="7" s="1"/>
  <c r="T28" i="13"/>
  <c r="T23" i="13"/>
  <c r="T24" i="13"/>
  <c r="T45" i="13"/>
  <c r="T16" i="7" s="1"/>
  <c r="T42" i="13"/>
  <c r="T13" i="7" s="1"/>
  <c r="T21" i="13"/>
  <c r="T29" i="13"/>
  <c r="T39" i="13"/>
  <c r="T10" i="7" s="1"/>
  <c r="T20" i="13"/>
  <c r="T40" i="13"/>
  <c r="T11" i="7" s="1"/>
  <c r="T43" i="13"/>
  <c r="T14" i="7" s="1"/>
  <c r="T46" i="13"/>
  <c r="T17" i="7" s="1"/>
  <c r="T37" i="13"/>
  <c r="T41" i="13"/>
  <c r="T12" i="7" s="1"/>
  <c r="T36" i="13"/>
  <c r="T34" i="13"/>
  <c r="T5" i="7" s="1"/>
  <c r="T31" i="13"/>
  <c r="Z22" i="13"/>
  <c r="Z35" i="13"/>
  <c r="Z6" i="7" s="1"/>
  <c r="Z41" i="13"/>
  <c r="Z12" i="7" s="1"/>
  <c r="Z37" i="13"/>
  <c r="Z45" i="13"/>
  <c r="Z16" i="7" s="1"/>
  <c r="Z44" i="13"/>
  <c r="Z15" i="7" s="1"/>
  <c r="Z29" i="13"/>
  <c r="Z21" i="13"/>
  <c r="Z34" i="13"/>
  <c r="Z5" i="7" s="1"/>
  <c r="Z24" i="13"/>
  <c r="Z28" i="13"/>
  <c r="Z40" i="13"/>
  <c r="Z11" i="7" s="1"/>
  <c r="Z42" i="13"/>
  <c r="Z13" i="7" s="1"/>
  <c r="Z36" i="13"/>
  <c r="Z23" i="13"/>
  <c r="Z30" i="13"/>
  <c r="Z31" i="13"/>
  <c r="Z27" i="13"/>
  <c r="Z43" i="13"/>
  <c r="Z14" i="7" s="1"/>
  <c r="Z20" i="13"/>
  <c r="Z39" i="13"/>
  <c r="Z10" i="7" s="1"/>
  <c r="Z46" i="13"/>
  <c r="Z17" i="7" s="1"/>
  <c r="X38" i="13"/>
  <c r="N22" i="13"/>
  <c r="N35" i="13"/>
  <c r="N6" i="7" s="1"/>
  <c r="N34" i="13"/>
  <c r="N5" i="7" s="1"/>
  <c r="N31" i="13"/>
  <c r="N27" i="13"/>
  <c r="N45" i="13"/>
  <c r="N16" i="7" s="1"/>
  <c r="N44" i="13"/>
  <c r="N15" i="7" s="1"/>
  <c r="N29" i="13"/>
  <c r="N46" i="13"/>
  <c r="N17" i="7" s="1"/>
  <c r="N28" i="13"/>
  <c r="N20" i="13"/>
  <c r="N24" i="13"/>
  <c r="N37" i="13"/>
  <c r="N36" i="13"/>
  <c r="N40" i="13"/>
  <c r="N11" i="7" s="1"/>
  <c r="N41" i="13"/>
  <c r="N12" i="7" s="1"/>
  <c r="N23" i="13"/>
  <c r="N21" i="13"/>
  <c r="N39" i="13"/>
  <c r="N10" i="7" s="1"/>
  <c r="N43" i="13"/>
  <c r="N14" i="7" s="1"/>
  <c r="N42" i="13"/>
  <c r="N13" i="7" s="1"/>
  <c r="N30" i="13"/>
  <c r="M35" i="13"/>
  <c r="M44" i="13"/>
  <c r="M36" i="13"/>
  <c r="M43" i="13"/>
  <c r="M37" i="13"/>
  <c r="M42" i="13"/>
  <c r="M40" i="13"/>
  <c r="M34" i="13"/>
  <c r="M27" i="13"/>
  <c r="M29" i="13"/>
  <c r="M31" i="13"/>
  <c r="M20" i="13"/>
  <c r="M30" i="13"/>
  <c r="M22" i="13"/>
  <c r="M21" i="13"/>
  <c r="M24" i="13"/>
  <c r="M23" i="13"/>
  <c r="M39" i="13"/>
  <c r="M41" i="13"/>
  <c r="M28" i="13"/>
  <c r="M45" i="13"/>
  <c r="M46" i="13"/>
  <c r="W35" i="13"/>
  <c r="W6" i="7" s="1"/>
  <c r="W46" i="13"/>
  <c r="W17" i="7" s="1"/>
  <c r="W45" i="13"/>
  <c r="W16" i="7" s="1"/>
  <c r="W36" i="13"/>
  <c r="W40" i="13"/>
  <c r="W11" i="7" s="1"/>
  <c r="W42" i="13"/>
  <c r="W13" i="7" s="1"/>
  <c r="W43" i="13"/>
  <c r="W14" i="7" s="1"/>
  <c r="W37" i="13"/>
  <c r="W44" i="13"/>
  <c r="W15" i="7" s="1"/>
  <c r="W28" i="13"/>
  <c r="W20" i="13"/>
  <c r="W39" i="13"/>
  <c r="W10" i="7" s="1"/>
  <c r="W41" i="13"/>
  <c r="W12" i="7" s="1"/>
  <c r="W34" i="13"/>
  <c r="W5" i="7" s="1"/>
  <c r="W29" i="13"/>
  <c r="W22" i="13"/>
  <c r="W31" i="13"/>
  <c r="W21" i="13"/>
  <c r="W27" i="13"/>
  <c r="W24" i="13"/>
  <c r="W23" i="13"/>
  <c r="W30" i="13"/>
  <c r="K35" i="13"/>
  <c r="K24" i="13"/>
  <c r="K31" i="13"/>
  <c r="K27" i="13"/>
  <c r="K40" i="13"/>
  <c r="K46" i="13"/>
  <c r="K28" i="13"/>
  <c r="K21" i="13"/>
  <c r="K39" i="13"/>
  <c r="K44" i="13"/>
  <c r="K22" i="13"/>
  <c r="K30" i="13"/>
  <c r="K23" i="13"/>
  <c r="K42" i="13"/>
  <c r="K41" i="13"/>
  <c r="K29" i="13"/>
  <c r="K45" i="13"/>
  <c r="K34" i="13"/>
  <c r="K36" i="13"/>
  <c r="K37" i="13"/>
  <c r="K20" i="13"/>
  <c r="K43" i="13"/>
  <c r="H35" i="13"/>
  <c r="H44" i="13"/>
  <c r="H36" i="13"/>
  <c r="H43" i="13"/>
  <c r="H46" i="13"/>
  <c r="H39" i="13"/>
  <c r="H42" i="13"/>
  <c r="H40" i="13"/>
  <c r="H30" i="13"/>
  <c r="H20" i="13"/>
  <c r="H28" i="13"/>
  <c r="H21" i="13"/>
  <c r="H24" i="13"/>
  <c r="H27" i="13"/>
  <c r="H22" i="13"/>
  <c r="H45" i="13"/>
  <c r="H34" i="13"/>
  <c r="H29" i="13"/>
  <c r="H31" i="13"/>
  <c r="H37" i="13"/>
  <c r="H41" i="13"/>
  <c r="H23" i="13"/>
  <c r="D35" i="13"/>
  <c r="C20" i="13"/>
  <c r="C45" i="13"/>
  <c r="C43" i="13"/>
  <c r="C35" i="13"/>
  <c r="C44" i="13"/>
  <c r="C28" i="13"/>
  <c r="C27" i="13"/>
  <c r="C24" i="13"/>
  <c r="C21" i="13"/>
  <c r="C37" i="13"/>
  <c r="Q35" i="13"/>
  <c r="Q6" i="7" s="1"/>
  <c r="Q44" i="13"/>
  <c r="Q15" i="7" s="1"/>
  <c r="Q37" i="13"/>
  <c r="Q39" i="13"/>
  <c r="Q10" i="7" s="1"/>
  <c r="Q45" i="13"/>
  <c r="Q16" i="7" s="1"/>
  <c r="Q41" i="13"/>
  <c r="Q12" i="7" s="1"/>
  <c r="Q43" i="13"/>
  <c r="Q14" i="7" s="1"/>
  <c r="Q42" i="13"/>
  <c r="Q13" i="7" s="1"/>
  <c r="Q40" i="13"/>
  <c r="Q11" i="7" s="1"/>
  <c r="Q22" i="13"/>
  <c r="Q27" i="13"/>
  <c r="Q29" i="13"/>
  <c r="Q24" i="13"/>
  <c r="Q23" i="13"/>
  <c r="Q34" i="13"/>
  <c r="Q5" i="7" s="1"/>
  <c r="Q28" i="13"/>
  <c r="Q20" i="13"/>
  <c r="Q46" i="13"/>
  <c r="Q17" i="7" s="1"/>
  <c r="Q21" i="13"/>
  <c r="Q30" i="13"/>
  <c r="Q31" i="13"/>
  <c r="Q36" i="13"/>
  <c r="AD23" i="9"/>
  <c r="AD20" i="9"/>
  <c r="AD27" i="9"/>
  <c r="AD38" i="9" s="1"/>
  <c r="M28" i="9"/>
  <c r="M31" i="9"/>
  <c r="F24" i="9"/>
  <c r="F22" i="9"/>
  <c r="F27" i="9"/>
  <c r="U30" i="9"/>
  <c r="U24" i="9"/>
  <c r="U21" i="9"/>
  <c r="K20" i="9"/>
  <c r="K24" i="9"/>
  <c r="AG28" i="9"/>
  <c r="AG20" i="9"/>
  <c r="E31" i="9"/>
  <c r="E27" i="9"/>
  <c r="E30" i="9"/>
  <c r="E37" i="9" s="1"/>
  <c r="AA23" i="9"/>
  <c r="AA24" i="9"/>
  <c r="AA20" i="9"/>
  <c r="AC20" i="9"/>
  <c r="AC21" i="9"/>
  <c r="AC31" i="9"/>
  <c r="G29" i="9"/>
  <c r="G31" i="9"/>
  <c r="G35" i="9" s="1"/>
  <c r="L29" i="9"/>
  <c r="L27" i="9"/>
  <c r="L23" i="9"/>
  <c r="Z21" i="9"/>
  <c r="Z28" i="9"/>
  <c r="AF29" i="9"/>
  <c r="AF28" i="9"/>
  <c r="X22" i="9"/>
  <c r="X30" i="9"/>
  <c r="X37" i="9" s="1"/>
  <c r="X23" i="9"/>
  <c r="AE31" i="9"/>
  <c r="AE30" i="9"/>
  <c r="AE24" i="9"/>
  <c r="C22" i="9"/>
  <c r="I21" i="9"/>
  <c r="I27" i="9"/>
  <c r="I34" i="9" s="1"/>
  <c r="V30" i="9"/>
  <c r="V37" i="9" s="1"/>
  <c r="V29" i="9"/>
  <c r="J23" i="9"/>
  <c r="J27" i="9"/>
  <c r="J36" i="9" s="1"/>
  <c r="R22" i="9"/>
  <c r="R28" i="9"/>
  <c r="R29" i="9"/>
  <c r="D45" i="13"/>
  <c r="D23" i="13"/>
  <c r="D28" i="13"/>
  <c r="D40" i="13"/>
  <c r="D27" i="13"/>
  <c r="W38" i="13"/>
  <c r="S38" i="13"/>
  <c r="P35" i="13"/>
  <c r="P6" i="7" s="1"/>
  <c r="P43" i="13"/>
  <c r="P14" i="7" s="1"/>
  <c r="P40" i="13"/>
  <c r="P11" i="7" s="1"/>
  <c r="P44" i="13"/>
  <c r="P15" i="7" s="1"/>
  <c r="P39" i="13"/>
  <c r="P10" i="7" s="1"/>
  <c r="P41" i="13"/>
  <c r="P12" i="7" s="1"/>
  <c r="P45" i="13"/>
  <c r="P16" i="7" s="1"/>
  <c r="P42" i="13"/>
  <c r="P13" i="7" s="1"/>
  <c r="P37" i="13"/>
  <c r="P36" i="13"/>
  <c r="P46" i="13"/>
  <c r="P17" i="7" s="1"/>
  <c r="P34" i="13"/>
  <c r="P5" i="7" s="1"/>
  <c r="P28" i="13"/>
  <c r="P31" i="13"/>
  <c r="P24" i="13"/>
  <c r="P29" i="13"/>
  <c r="P20" i="13"/>
  <c r="P30" i="13"/>
  <c r="P23" i="13"/>
  <c r="P22" i="13"/>
  <c r="P27" i="13"/>
  <c r="P21" i="13"/>
  <c r="C30" i="13"/>
  <c r="C40" i="13"/>
  <c r="C46" i="13"/>
  <c r="C39" i="13"/>
  <c r="T38" i="13"/>
  <c r="AE38" i="13"/>
  <c r="AA38" i="13"/>
  <c r="J38" i="13"/>
  <c r="J9" i="4" s="1"/>
  <c r="AB35" i="13"/>
  <c r="AB6" i="7" s="1"/>
  <c r="AB40" i="13"/>
  <c r="AB11" i="7" s="1"/>
  <c r="AB37" i="13"/>
  <c r="AB46" i="13"/>
  <c r="AB17" i="7" s="1"/>
  <c r="AB22" i="13"/>
  <c r="AB30" i="13"/>
  <c r="AB28" i="13"/>
  <c r="AB41" i="13"/>
  <c r="AB12" i="7" s="1"/>
  <c r="AB20" i="13"/>
  <c r="AB24" i="13"/>
  <c r="AB23" i="13"/>
  <c r="AB31" i="13"/>
  <c r="AB29" i="13"/>
  <c r="AB42" i="13"/>
  <c r="AB13" i="7" s="1"/>
  <c r="AB44" i="13"/>
  <c r="AB15" i="7" s="1"/>
  <c r="AB45" i="13"/>
  <c r="AB16" i="7" s="1"/>
  <c r="AB34" i="13"/>
  <c r="AB5" i="7" s="1"/>
  <c r="AB43" i="13"/>
  <c r="AB14" i="7" s="1"/>
  <c r="AB39" i="13"/>
  <c r="AB10" i="7" s="1"/>
  <c r="AB27" i="13"/>
  <c r="AB36" i="13"/>
  <c r="AB21" i="13"/>
  <c r="N38" i="13"/>
  <c r="AF35" i="13"/>
  <c r="AF6" i="7" s="1"/>
  <c r="AF45" i="13"/>
  <c r="AF16" i="7" s="1"/>
  <c r="AF44" i="13"/>
  <c r="AF15" i="7" s="1"/>
  <c r="AF39" i="13"/>
  <c r="AF10" i="7" s="1"/>
  <c r="AF40" i="13"/>
  <c r="AF11" i="7" s="1"/>
  <c r="AF36" i="13"/>
  <c r="AF37" i="13"/>
  <c r="AF43" i="13"/>
  <c r="AF14" i="7" s="1"/>
  <c r="AF27" i="13"/>
  <c r="AF20" i="13"/>
  <c r="AF23" i="13"/>
  <c r="AF21" i="13"/>
  <c r="AF22" i="13"/>
  <c r="AF42" i="13"/>
  <c r="AF13" i="7" s="1"/>
  <c r="AF34" i="13"/>
  <c r="AF5" i="7" s="1"/>
  <c r="AF30" i="13"/>
  <c r="AF29" i="13"/>
  <c r="AF46" i="13"/>
  <c r="AF17" i="7" s="1"/>
  <c r="AF31" i="13"/>
  <c r="AF24" i="13"/>
  <c r="AF41" i="13"/>
  <c r="AF12" i="7" s="1"/>
  <c r="AF28" i="13"/>
  <c r="AD29" i="9"/>
  <c r="AD22" i="9"/>
  <c r="M21" i="9"/>
  <c r="F30" i="9"/>
  <c r="F21" i="9"/>
  <c r="U23" i="9"/>
  <c r="U27" i="9"/>
  <c r="U37" i="9" s="1"/>
  <c r="K27" i="9"/>
  <c r="AG23" i="9"/>
  <c r="E21" i="9"/>
  <c r="E22" i="9"/>
  <c r="AA29" i="9"/>
  <c r="AA21" i="9"/>
  <c r="AC28" i="9"/>
  <c r="AC23" i="9"/>
  <c r="G30" i="9"/>
  <c r="L22" i="9"/>
  <c r="L20" i="9"/>
  <c r="Z31" i="9"/>
  <c r="Z37" i="9" s="1"/>
  <c r="AF20" i="9"/>
  <c r="X24" i="9"/>
  <c r="X31" i="9"/>
  <c r="AE29" i="9"/>
  <c r="AE36" i="9" s="1"/>
  <c r="AE20" i="9"/>
  <c r="I30" i="9"/>
  <c r="V20" i="9"/>
  <c r="J29" i="9"/>
  <c r="R23" i="9"/>
  <c r="R24" i="9"/>
  <c r="D38" i="13"/>
  <c r="D9" i="4" s="1"/>
  <c r="D29" i="13"/>
  <c r="D39" i="13"/>
  <c r="D44" i="13"/>
  <c r="I35" i="13"/>
  <c r="I40" i="13"/>
  <c r="I46" i="13"/>
  <c r="I45" i="13"/>
  <c r="I43" i="13"/>
  <c r="I37" i="13"/>
  <c r="I39" i="13"/>
  <c r="I44" i="13"/>
  <c r="I42" i="13"/>
  <c r="I23" i="13"/>
  <c r="I24" i="13"/>
  <c r="I31" i="13"/>
  <c r="I29" i="13"/>
  <c r="I30" i="13"/>
  <c r="I36" i="13"/>
  <c r="I34" i="13"/>
  <c r="I20" i="13"/>
  <c r="I28" i="13"/>
  <c r="I41" i="13"/>
  <c r="I27" i="13"/>
  <c r="I22" i="13"/>
  <c r="I21" i="13"/>
  <c r="V31" i="13"/>
  <c r="V35" i="13"/>
  <c r="V6" i="7" s="1"/>
  <c r="V41" i="13"/>
  <c r="V12" i="7" s="1"/>
  <c r="V46" i="13"/>
  <c r="V17" i="7" s="1"/>
  <c r="V36" i="13"/>
  <c r="V44" i="13"/>
  <c r="V15" i="7" s="1"/>
  <c r="V42" i="13"/>
  <c r="V13" i="7" s="1"/>
  <c r="V23" i="13"/>
  <c r="V21" i="13"/>
  <c r="V28" i="13"/>
  <c r="V39" i="13"/>
  <c r="V10" i="7" s="1"/>
  <c r="V27" i="13"/>
  <c r="V22" i="13"/>
  <c r="V29" i="13"/>
  <c r="V24" i="13"/>
  <c r="V43" i="13"/>
  <c r="V14" i="7" s="1"/>
  <c r="V37" i="13"/>
  <c r="V30" i="13"/>
  <c r="V40" i="13"/>
  <c r="V11" i="7" s="1"/>
  <c r="V45" i="13"/>
  <c r="V16" i="7" s="1"/>
  <c r="V34" i="13"/>
  <c r="V5" i="7" s="1"/>
  <c r="V20" i="13"/>
  <c r="J22" i="13"/>
  <c r="J35" i="13"/>
  <c r="J45" i="13"/>
  <c r="J44" i="13"/>
  <c r="J36" i="13"/>
  <c r="J41" i="13"/>
  <c r="J39" i="13"/>
  <c r="J37" i="13"/>
  <c r="J40" i="13"/>
  <c r="J46" i="13"/>
  <c r="J43" i="13"/>
  <c r="J28" i="13"/>
  <c r="J23" i="13"/>
  <c r="J21" i="13"/>
  <c r="J30" i="13"/>
  <c r="J29" i="13"/>
  <c r="J42" i="13"/>
  <c r="J24" i="13"/>
  <c r="J34" i="13"/>
  <c r="J31" i="13"/>
  <c r="J20" i="13"/>
  <c r="J27" i="13"/>
  <c r="AE35" i="13"/>
  <c r="AE6" i="7" s="1"/>
  <c r="AE37" i="13"/>
  <c r="AE41" i="13"/>
  <c r="AE12" i="7" s="1"/>
  <c r="AE28" i="13"/>
  <c r="AE20" i="13"/>
  <c r="AE43" i="13"/>
  <c r="AE14" i="7" s="1"/>
  <c r="AE36" i="13"/>
  <c r="AE22" i="13"/>
  <c r="AE30" i="13"/>
  <c r="AE23" i="13"/>
  <c r="AE40" i="13"/>
  <c r="AE11" i="7" s="1"/>
  <c r="AE39" i="13"/>
  <c r="AE10" i="7" s="1"/>
  <c r="AE34" i="13"/>
  <c r="AE5" i="7" s="1"/>
  <c r="AE31" i="13"/>
  <c r="AE29" i="13"/>
  <c r="AE44" i="13"/>
  <c r="AE15" i="7" s="1"/>
  <c r="AE24" i="13"/>
  <c r="AE46" i="13"/>
  <c r="AE17" i="7" s="1"/>
  <c r="AE21" i="13"/>
  <c r="AE42" i="13"/>
  <c r="AE13" i="7" s="1"/>
  <c r="AE27" i="13"/>
  <c r="AE45" i="13"/>
  <c r="AE16" i="7" s="1"/>
  <c r="AA35" i="13"/>
  <c r="AA6" i="7" s="1"/>
  <c r="AA44" i="13"/>
  <c r="AA15" i="7" s="1"/>
  <c r="AA42" i="13"/>
  <c r="AA13" i="7" s="1"/>
  <c r="AA37" i="13"/>
  <c r="AA46" i="13"/>
  <c r="AA17" i="7" s="1"/>
  <c r="AA39" i="13"/>
  <c r="AA10" i="7" s="1"/>
  <c r="AA36" i="13"/>
  <c r="AA23" i="13"/>
  <c r="AA30" i="13"/>
  <c r="AA40" i="13"/>
  <c r="AA11" i="7" s="1"/>
  <c r="AA22" i="13"/>
  <c r="AA27" i="13"/>
  <c r="AA21" i="13"/>
  <c r="AA34" i="13"/>
  <c r="AA5" i="7" s="1"/>
  <c r="AA29" i="13"/>
  <c r="AA24" i="13"/>
  <c r="AA41" i="13"/>
  <c r="AA12" i="7" s="1"/>
  <c r="AA45" i="13"/>
  <c r="AA16" i="7" s="1"/>
  <c r="AA31" i="13"/>
  <c r="AA20" i="13"/>
  <c r="AA43" i="13"/>
  <c r="AA14" i="7" s="1"/>
  <c r="AA28" i="13"/>
  <c r="G38" i="13"/>
  <c r="G9" i="4" s="1"/>
  <c r="L35" i="13"/>
  <c r="L40" i="13"/>
  <c r="L44" i="13"/>
  <c r="L37" i="13"/>
  <c r="L43" i="13"/>
  <c r="L34" i="13"/>
  <c r="L23" i="13"/>
  <c r="L31" i="13"/>
  <c r="L45" i="13"/>
  <c r="L42" i="13"/>
  <c r="L36" i="13"/>
  <c r="L22" i="13"/>
  <c r="L28" i="13"/>
  <c r="L30" i="13"/>
  <c r="L20" i="13"/>
  <c r="L21" i="13"/>
  <c r="L27" i="13"/>
  <c r="L29" i="13"/>
  <c r="L41" i="13"/>
  <c r="L24" i="13"/>
  <c r="L39" i="13"/>
  <c r="L46" i="13"/>
  <c r="X35" i="13"/>
  <c r="X6" i="7" s="1"/>
  <c r="X36" i="13"/>
  <c r="X42" i="13"/>
  <c r="X13" i="7" s="1"/>
  <c r="X31" i="13"/>
  <c r="X20" i="13"/>
  <c r="X22" i="13"/>
  <c r="X43" i="13"/>
  <c r="X14" i="7" s="1"/>
  <c r="X27" i="13"/>
  <c r="X30" i="13"/>
  <c r="X37" i="13"/>
  <c r="X34" i="13"/>
  <c r="X5" i="7" s="1"/>
  <c r="X23" i="13"/>
  <c r="X21" i="13"/>
  <c r="X40" i="13"/>
  <c r="X11" i="7" s="1"/>
  <c r="X41" i="13"/>
  <c r="X12" i="7" s="1"/>
  <c r="X29" i="13"/>
  <c r="X44" i="13"/>
  <c r="X15" i="7" s="1"/>
  <c r="X46" i="13"/>
  <c r="X17" i="7" s="1"/>
  <c r="X24" i="13"/>
  <c r="X45" i="13"/>
  <c r="X16" i="7" s="1"/>
  <c r="X39" i="13"/>
  <c r="X10" i="7" s="1"/>
  <c r="X28" i="13"/>
  <c r="Z38" i="13"/>
  <c r="AG38" i="13"/>
  <c r="AD22" i="13"/>
  <c r="AD35" i="13"/>
  <c r="AD6" i="7" s="1"/>
  <c r="AD39" i="13"/>
  <c r="AD10" i="7" s="1"/>
  <c r="AD42" i="13"/>
  <c r="AD13" i="7" s="1"/>
  <c r="AD43" i="13"/>
  <c r="AD14" i="7" s="1"/>
  <c r="AD37" i="13"/>
  <c r="AD46" i="13"/>
  <c r="AD17" i="7" s="1"/>
  <c r="AD44" i="13"/>
  <c r="AD15" i="7" s="1"/>
  <c r="AD34" i="13"/>
  <c r="AD5" i="7" s="1"/>
  <c r="AD30" i="13"/>
  <c r="AD21" i="13"/>
  <c r="AD23" i="13"/>
  <c r="AD28" i="13"/>
  <c r="AD27" i="13"/>
  <c r="AD41" i="13"/>
  <c r="AD12" i="7" s="1"/>
  <c r="AD45" i="13"/>
  <c r="AD16" i="7" s="1"/>
  <c r="AD29" i="13"/>
  <c r="AD20" i="13"/>
  <c r="AD36" i="13"/>
  <c r="AD40" i="13"/>
  <c r="AD24" i="13"/>
  <c r="AD31" i="13"/>
  <c r="F31" i="13"/>
  <c r="F35" i="13"/>
  <c r="F40" i="13"/>
  <c r="F42" i="13"/>
  <c r="F43" i="13"/>
  <c r="F37" i="13"/>
  <c r="F46" i="13"/>
  <c r="F41" i="13"/>
  <c r="F39" i="13"/>
  <c r="F22" i="13"/>
  <c r="F24" i="13"/>
  <c r="F34" i="13"/>
  <c r="F23" i="13"/>
  <c r="F30" i="13"/>
  <c r="F20" i="13"/>
  <c r="F27" i="13"/>
  <c r="F28" i="13"/>
  <c r="F29" i="13"/>
  <c r="F45" i="13"/>
  <c r="F36" i="13"/>
  <c r="F44" i="13"/>
  <c r="F21" i="13"/>
  <c r="U35" i="13"/>
  <c r="U6" i="7" s="1"/>
  <c r="U43" i="13"/>
  <c r="U14" i="7" s="1"/>
  <c r="U46" i="13"/>
  <c r="U17" i="7" s="1"/>
  <c r="U39" i="13"/>
  <c r="U10" i="7" s="1"/>
  <c r="U37" i="13"/>
  <c r="U31" i="13"/>
  <c r="U20" i="13"/>
  <c r="U24" i="13"/>
  <c r="U36" i="13"/>
  <c r="U23" i="13"/>
  <c r="U22" i="13"/>
  <c r="U30" i="13"/>
  <c r="U27" i="13"/>
  <c r="U28" i="13"/>
  <c r="U40" i="13"/>
  <c r="U11" i="7" s="1"/>
  <c r="U44" i="13"/>
  <c r="U15" i="7" s="1"/>
  <c r="U21" i="13"/>
  <c r="U41" i="13"/>
  <c r="U12" i="7" s="1"/>
  <c r="U29" i="13"/>
  <c r="U34" i="13"/>
  <c r="U5" i="7" s="1"/>
  <c r="U42" i="13"/>
  <c r="U13" i="7" s="1"/>
  <c r="U45" i="13"/>
  <c r="U16" i="7" s="1"/>
  <c r="R31" i="13"/>
  <c r="R35" i="13"/>
  <c r="R6" i="7" s="1"/>
  <c r="R37" i="13"/>
  <c r="R45" i="13"/>
  <c r="R16" i="7" s="1"/>
  <c r="R41" i="13"/>
  <c r="R12" i="7" s="1"/>
  <c r="R46" i="13"/>
  <c r="R17" i="7" s="1"/>
  <c r="R36" i="13"/>
  <c r="R44" i="13"/>
  <c r="R15" i="7" s="1"/>
  <c r="R40" i="13"/>
  <c r="R11" i="7" s="1"/>
  <c r="R34" i="13"/>
  <c r="R5" i="7" s="1"/>
  <c r="R27" i="13"/>
  <c r="R30" i="13"/>
  <c r="R39" i="13"/>
  <c r="R10" i="7" s="1"/>
  <c r="R43" i="13"/>
  <c r="R14" i="7" s="1"/>
  <c r="R20" i="13"/>
  <c r="R29" i="13"/>
  <c r="R22" i="13"/>
  <c r="R28" i="13"/>
  <c r="R21" i="13"/>
  <c r="R24" i="13"/>
  <c r="R42" i="13"/>
  <c r="R13" i="7" s="1"/>
  <c r="R23" i="13"/>
  <c r="E35" i="13"/>
  <c r="E44" i="13"/>
  <c r="E45" i="13"/>
  <c r="E40" i="13"/>
  <c r="E39" i="13"/>
  <c r="E37" i="13"/>
  <c r="E36" i="13"/>
  <c r="E41" i="13"/>
  <c r="E34" i="13"/>
  <c r="E29" i="13"/>
  <c r="E28" i="13"/>
  <c r="E42" i="13"/>
  <c r="E46" i="13"/>
  <c r="E31" i="13"/>
  <c r="E20" i="13"/>
  <c r="E30" i="13"/>
  <c r="E43" i="13"/>
  <c r="E22" i="13"/>
  <c r="E23" i="13"/>
  <c r="E21" i="13"/>
  <c r="E24" i="13"/>
  <c r="E27" i="13"/>
  <c r="C36" i="13"/>
  <c r="C31" i="13"/>
  <c r="C41" i="13"/>
  <c r="C22" i="13"/>
  <c r="C42" i="13"/>
  <c r="Z34" i="9"/>
  <c r="W35" i="9"/>
  <c r="W36" i="9"/>
  <c r="W34" i="9"/>
  <c r="W37" i="9"/>
  <c r="K34" i="9"/>
  <c r="K38" i="9"/>
  <c r="K35" i="9"/>
  <c r="K36" i="9"/>
  <c r="AC38" i="9"/>
  <c r="AC35" i="9"/>
  <c r="AC34" i="9"/>
  <c r="T38" i="9"/>
  <c r="T37" i="9"/>
  <c r="T36" i="9"/>
  <c r="T34" i="9"/>
  <c r="T35" i="9"/>
  <c r="C31" i="9"/>
  <c r="C28" i="9"/>
  <c r="N37" i="9"/>
  <c r="N36" i="9"/>
  <c r="N34" i="9"/>
  <c r="N38" i="9"/>
  <c r="V38" i="9"/>
  <c r="V34" i="9"/>
  <c r="V36" i="9"/>
  <c r="R35" i="9"/>
  <c r="R34" i="9"/>
  <c r="AG34" i="9"/>
  <c r="AG35" i="9"/>
  <c r="AG38" i="9"/>
  <c r="AG37" i="9"/>
  <c r="Q37" i="9"/>
  <c r="Q36" i="9"/>
  <c r="Q38" i="9"/>
  <c r="Q34" i="9"/>
  <c r="Q35" i="9"/>
  <c r="AA37" i="9"/>
  <c r="AA36" i="9"/>
  <c r="AA34" i="9"/>
  <c r="AA38" i="9"/>
  <c r="I35" i="9"/>
  <c r="M35" i="9"/>
  <c r="W38" i="9"/>
  <c r="H37" i="9"/>
  <c r="H34" i="9"/>
  <c r="H38" i="9"/>
  <c r="H36" i="9"/>
  <c r="H35" i="9"/>
  <c r="D23" i="9"/>
  <c r="D30" i="9"/>
  <c r="D27" i="9"/>
  <c r="D28" i="9"/>
  <c r="D29" i="9"/>
  <c r="D24" i="9"/>
  <c r="D20" i="9"/>
  <c r="D22" i="9"/>
  <c r="D31" i="9"/>
  <c r="D21" i="9"/>
  <c r="G38" i="9"/>
  <c r="AF36" i="9"/>
  <c r="AF38" i="9"/>
  <c r="AF35" i="9"/>
  <c r="AF37" i="9"/>
  <c r="AF34" i="9"/>
  <c r="AE37" i="9"/>
  <c r="AE38" i="9"/>
  <c r="AE34" i="9"/>
  <c r="C30" i="9"/>
  <c r="C23" i="9"/>
  <c r="C29" i="9"/>
  <c r="S37" i="9"/>
  <c r="S36" i="9"/>
  <c r="S34" i="9"/>
  <c r="S38" i="9"/>
  <c r="S35" i="9"/>
  <c r="F34" i="9"/>
  <c r="F37" i="9"/>
  <c r="F35" i="9"/>
  <c r="F38" i="9"/>
  <c r="AB36" i="9"/>
  <c r="AB34" i="9"/>
  <c r="AB37" i="9"/>
  <c r="AB35" i="9"/>
  <c r="AB38" i="9"/>
  <c r="E35" i="9"/>
  <c r="E36" i="9"/>
  <c r="E38" i="9"/>
  <c r="E34" i="9"/>
  <c r="P37" i="9"/>
  <c r="P35" i="9"/>
  <c r="P34" i="9"/>
  <c r="P36" i="9"/>
  <c r="P38" i="9"/>
  <c r="C24" i="9"/>
  <c r="AH37" i="9"/>
  <c r="AH38" i="9"/>
  <c r="AH35" i="9"/>
  <c r="AH34" i="9"/>
  <c r="AH36" i="9"/>
  <c r="Y37" i="9"/>
  <c r="Y34" i="9"/>
  <c r="Y36" i="9"/>
  <c r="Y35" i="9"/>
  <c r="Y38" i="9"/>
  <c r="E5" i="7" l="1"/>
  <c r="E5" i="4"/>
  <c r="E10" i="7"/>
  <c r="E10" i="4"/>
  <c r="F16" i="7"/>
  <c r="F16" i="4"/>
  <c r="F17" i="7"/>
  <c r="F17" i="4"/>
  <c r="J17" i="7"/>
  <c r="J17" i="4"/>
  <c r="J6" i="7"/>
  <c r="J6" i="4"/>
  <c r="I11" i="7"/>
  <c r="I11" i="4"/>
  <c r="H17" i="7"/>
  <c r="H17" i="4"/>
  <c r="M11" i="7"/>
  <c r="M11" i="4"/>
  <c r="G10" i="7"/>
  <c r="G10" i="4"/>
  <c r="G13" i="7"/>
  <c r="G13" i="4"/>
  <c r="J37" i="9"/>
  <c r="E13" i="7"/>
  <c r="E13" i="4"/>
  <c r="E12" i="7"/>
  <c r="E12" i="4"/>
  <c r="E11" i="7"/>
  <c r="E33" i="7" s="1"/>
  <c r="E11" i="4"/>
  <c r="F6" i="7"/>
  <c r="F6" i="4"/>
  <c r="L17" i="7"/>
  <c r="L17" i="4"/>
  <c r="L13" i="7"/>
  <c r="L13" i="4"/>
  <c r="L5" i="7"/>
  <c r="L47" i="7" s="1"/>
  <c r="L5" i="4"/>
  <c r="L11" i="7"/>
  <c r="L11" i="4"/>
  <c r="J13" i="7"/>
  <c r="J34" i="7" s="1"/>
  <c r="J13" i="4"/>
  <c r="J11" i="7"/>
  <c r="J11" i="4"/>
  <c r="I13" i="7"/>
  <c r="I13" i="4"/>
  <c r="I14" i="7"/>
  <c r="I14" i="4"/>
  <c r="I6" i="7"/>
  <c r="I6" i="4"/>
  <c r="H16" i="7"/>
  <c r="H16" i="4"/>
  <c r="H11" i="7"/>
  <c r="H41" i="7" s="1"/>
  <c r="H11" i="4"/>
  <c r="H14" i="7"/>
  <c r="H14" i="4"/>
  <c r="K14" i="7"/>
  <c r="K14" i="4"/>
  <c r="K5" i="7"/>
  <c r="K5" i="4"/>
  <c r="K13" i="7"/>
  <c r="K13" i="4"/>
  <c r="K15" i="7"/>
  <c r="K15" i="4"/>
  <c r="K17" i="7"/>
  <c r="K17" i="4"/>
  <c r="M17" i="7"/>
  <c r="M17" i="4"/>
  <c r="M10" i="7"/>
  <c r="M47" i="7" s="1"/>
  <c r="M10" i="4"/>
  <c r="M13" i="7"/>
  <c r="M13" i="4"/>
  <c r="M15" i="7"/>
  <c r="M15" i="4"/>
  <c r="G14" i="7"/>
  <c r="G14" i="4"/>
  <c r="G17" i="7"/>
  <c r="G17" i="4"/>
  <c r="E14" i="7"/>
  <c r="E14" i="4"/>
  <c r="L12" i="7"/>
  <c r="L12" i="4"/>
  <c r="J12" i="7"/>
  <c r="J12" i="4"/>
  <c r="H12" i="7"/>
  <c r="H12" i="4"/>
  <c r="E16" i="7"/>
  <c r="E16" i="4"/>
  <c r="L16" i="7"/>
  <c r="L16" i="4"/>
  <c r="J15" i="7"/>
  <c r="J15" i="4"/>
  <c r="I5" i="7"/>
  <c r="I47" i="7" s="1"/>
  <c r="I5" i="4"/>
  <c r="I15" i="7"/>
  <c r="I15" i="4"/>
  <c r="I16" i="7"/>
  <c r="I16" i="4"/>
  <c r="H13" i="7"/>
  <c r="H13" i="4"/>
  <c r="K16" i="7"/>
  <c r="K16" i="4"/>
  <c r="K10" i="7"/>
  <c r="K10" i="4"/>
  <c r="K11" i="7"/>
  <c r="K43" i="7" s="1"/>
  <c r="K11" i="4"/>
  <c r="K6" i="7"/>
  <c r="K6" i="4"/>
  <c r="M16" i="7"/>
  <c r="M16" i="4"/>
  <c r="M6" i="7"/>
  <c r="M6" i="4"/>
  <c r="G16" i="7"/>
  <c r="G16" i="4"/>
  <c r="G15" i="7"/>
  <c r="G15" i="4"/>
  <c r="J38" i="9"/>
  <c r="E17" i="7"/>
  <c r="E17" i="4"/>
  <c r="E6" i="7"/>
  <c r="E6" i="4"/>
  <c r="F11" i="7"/>
  <c r="F11" i="4"/>
  <c r="L15" i="7"/>
  <c r="L15" i="4"/>
  <c r="H5" i="7"/>
  <c r="H5" i="4"/>
  <c r="H6" i="7"/>
  <c r="H6" i="4"/>
  <c r="K12" i="7"/>
  <c r="K12" i="4"/>
  <c r="M12" i="7"/>
  <c r="M12" i="4"/>
  <c r="G11" i="7"/>
  <c r="G11" i="4"/>
  <c r="F15" i="7"/>
  <c r="F15" i="4"/>
  <c r="F10" i="7"/>
  <c r="F10" i="4"/>
  <c r="F14" i="7"/>
  <c r="F14" i="4"/>
  <c r="L10" i="7"/>
  <c r="L10" i="4"/>
  <c r="L14" i="7"/>
  <c r="L14" i="4"/>
  <c r="L6" i="7"/>
  <c r="L6" i="4"/>
  <c r="E15" i="7"/>
  <c r="E15" i="4"/>
  <c r="F5" i="7"/>
  <c r="F5" i="4"/>
  <c r="F12" i="7"/>
  <c r="F34" i="7" s="1"/>
  <c r="F12" i="4"/>
  <c r="F39" i="4" s="1"/>
  <c r="F13" i="7"/>
  <c r="F13" i="4"/>
  <c r="J5" i="7"/>
  <c r="J5" i="4"/>
  <c r="J14" i="7"/>
  <c r="J14" i="4"/>
  <c r="J10" i="7"/>
  <c r="J10" i="4"/>
  <c r="J16" i="7"/>
  <c r="J16" i="4"/>
  <c r="I12" i="7"/>
  <c r="I12" i="4"/>
  <c r="I10" i="7"/>
  <c r="I10" i="4"/>
  <c r="I17" i="7"/>
  <c r="I17" i="4"/>
  <c r="L36" i="9"/>
  <c r="H10" i="7"/>
  <c r="H10" i="4"/>
  <c r="H15" i="7"/>
  <c r="H15" i="4"/>
  <c r="M5" i="7"/>
  <c r="M5" i="4"/>
  <c r="M14" i="7"/>
  <c r="M14" i="4"/>
  <c r="G5" i="7"/>
  <c r="G5" i="4"/>
  <c r="G12" i="7"/>
  <c r="G35" i="7" s="1"/>
  <c r="G12" i="4"/>
  <c r="G6" i="7"/>
  <c r="G6" i="4"/>
  <c r="G34" i="9"/>
  <c r="D10" i="7"/>
  <c r="D10" i="4"/>
  <c r="D17" i="7"/>
  <c r="D17" i="4"/>
  <c r="D16" i="7"/>
  <c r="D16" i="4"/>
  <c r="D12" i="7"/>
  <c r="D12" i="4"/>
  <c r="D11" i="7"/>
  <c r="D11" i="4"/>
  <c r="D15" i="7"/>
  <c r="D15" i="4"/>
  <c r="D6" i="7"/>
  <c r="D6" i="4"/>
  <c r="E63" i="4" s="1"/>
  <c r="E58" i="7"/>
  <c r="F35" i="7"/>
  <c r="L35" i="7"/>
  <c r="AB34" i="7"/>
  <c r="AB35" i="7"/>
  <c r="P34" i="7"/>
  <c r="P35" i="7"/>
  <c r="N34" i="7"/>
  <c r="N35" i="7"/>
  <c r="Z34" i="7"/>
  <c r="Z35" i="7"/>
  <c r="S34" i="7"/>
  <c r="S35" i="7"/>
  <c r="AH34" i="7"/>
  <c r="AH35" i="7"/>
  <c r="O34" i="7"/>
  <c r="O35" i="7"/>
  <c r="E57" i="7"/>
  <c r="D35" i="7"/>
  <c r="D34" i="7"/>
  <c r="AD34" i="7"/>
  <c r="AD35" i="7"/>
  <c r="X34" i="7"/>
  <c r="X35" i="7"/>
  <c r="I35" i="7"/>
  <c r="W34" i="7"/>
  <c r="W35" i="7"/>
  <c r="M35" i="7"/>
  <c r="Y34" i="7"/>
  <c r="Y35" i="7"/>
  <c r="E56" i="7"/>
  <c r="E68" i="7"/>
  <c r="E67" i="7"/>
  <c r="E66" i="7"/>
  <c r="U34" i="7"/>
  <c r="U35" i="7"/>
  <c r="AE34" i="7"/>
  <c r="AE35" i="7"/>
  <c r="V34" i="7"/>
  <c r="V35" i="7"/>
  <c r="I76" i="7"/>
  <c r="T34" i="7"/>
  <c r="T35" i="7"/>
  <c r="AC34" i="7"/>
  <c r="AC35" i="7"/>
  <c r="AG34" i="7"/>
  <c r="AG35" i="7"/>
  <c r="E65" i="7"/>
  <c r="E64" i="7"/>
  <c r="E63" i="7"/>
  <c r="E62" i="7"/>
  <c r="R34" i="7"/>
  <c r="R35" i="7"/>
  <c r="AA34" i="7"/>
  <c r="AA35" i="7"/>
  <c r="AF34" i="7"/>
  <c r="AF35" i="7"/>
  <c r="Q34" i="7"/>
  <c r="Q35" i="7"/>
  <c r="E61" i="7"/>
  <c r="E60" i="7"/>
  <c r="E59" i="7"/>
  <c r="E34" i="7"/>
  <c r="C68" i="7"/>
  <c r="C35" i="7"/>
  <c r="C58" i="7"/>
  <c r="C62" i="7"/>
  <c r="C56" i="7"/>
  <c r="C67" i="7"/>
  <c r="C33" i="7"/>
  <c r="C59" i="7"/>
  <c r="C63" i="7"/>
  <c r="C57" i="7"/>
  <c r="C61" i="7"/>
  <c r="C47" i="7"/>
  <c r="C66" i="7"/>
  <c r="C60" i="7"/>
  <c r="C64" i="7"/>
  <c r="C42" i="7"/>
  <c r="C49" i="7"/>
  <c r="C34" i="7"/>
  <c r="C65" i="7"/>
  <c r="J34" i="9"/>
  <c r="M38" i="9"/>
  <c r="M34" i="9"/>
  <c r="L35" i="9"/>
  <c r="J35" i="9"/>
  <c r="G36" i="9"/>
  <c r="M37" i="9"/>
  <c r="Z38" i="9"/>
  <c r="G37" i="9"/>
  <c r="C38" i="9"/>
  <c r="E47" i="7"/>
  <c r="AD45" i="7"/>
  <c r="AD47" i="7"/>
  <c r="AD46" i="7"/>
  <c r="X41" i="7"/>
  <c r="X45" i="7"/>
  <c r="X47" i="7"/>
  <c r="X46" i="7"/>
  <c r="AA46" i="7"/>
  <c r="AA45" i="7"/>
  <c r="AA47" i="7"/>
  <c r="I43" i="7"/>
  <c r="AF45" i="7"/>
  <c r="AF47" i="7"/>
  <c r="AF46" i="7"/>
  <c r="Q46" i="7"/>
  <c r="Q47" i="7"/>
  <c r="Q45" i="7"/>
  <c r="K41" i="7"/>
  <c r="W46" i="7"/>
  <c r="W41" i="7"/>
  <c r="W45" i="7"/>
  <c r="W47" i="7"/>
  <c r="M45" i="7"/>
  <c r="G47" i="7"/>
  <c r="Y46" i="7"/>
  <c r="Y41" i="7"/>
  <c r="Y47" i="7"/>
  <c r="Y45" i="7"/>
  <c r="D41" i="7"/>
  <c r="R41" i="7"/>
  <c r="R45" i="7"/>
  <c r="R47" i="7"/>
  <c r="R46" i="7"/>
  <c r="U46" i="7"/>
  <c r="U47" i="7"/>
  <c r="U41" i="7"/>
  <c r="U45" i="7"/>
  <c r="F41" i="7"/>
  <c r="F47" i="7"/>
  <c r="F42" i="7"/>
  <c r="AE46" i="7"/>
  <c r="AE45" i="7"/>
  <c r="AE47" i="7"/>
  <c r="J47" i="7"/>
  <c r="V41" i="7"/>
  <c r="V45" i="7"/>
  <c r="V47" i="7"/>
  <c r="V46" i="7"/>
  <c r="AB45" i="7"/>
  <c r="AB47" i="7"/>
  <c r="AB46" i="7"/>
  <c r="C40" i="7"/>
  <c r="C44" i="7"/>
  <c r="C46" i="7"/>
  <c r="C41" i="7"/>
  <c r="C43" i="7"/>
  <c r="C45" i="7"/>
  <c r="P45" i="7"/>
  <c r="P47" i="7"/>
  <c r="P46" i="7"/>
  <c r="N45" i="7"/>
  <c r="N47" i="7"/>
  <c r="N46" i="7"/>
  <c r="Z45" i="7"/>
  <c r="Z47" i="7"/>
  <c r="Z46" i="7"/>
  <c r="T41" i="7"/>
  <c r="T45" i="7"/>
  <c r="T47" i="7"/>
  <c r="T46" i="7"/>
  <c r="AC46" i="7"/>
  <c r="AC45" i="7"/>
  <c r="AC47" i="7"/>
  <c r="AG46" i="7"/>
  <c r="AG45" i="7"/>
  <c r="AG47" i="7"/>
  <c r="S46" i="7"/>
  <c r="S41" i="7"/>
  <c r="S45" i="7"/>
  <c r="S47" i="7"/>
  <c r="AH45" i="7"/>
  <c r="AH47" i="7"/>
  <c r="AH46" i="7"/>
  <c r="O46" i="7"/>
  <c r="O45" i="7"/>
  <c r="O47" i="7"/>
  <c r="D42" i="7"/>
  <c r="D47" i="7"/>
  <c r="R25" i="7"/>
  <c r="R27" i="7"/>
  <c r="R29" i="7"/>
  <c r="R31" i="7"/>
  <c r="R33" i="7"/>
  <c r="R24" i="7"/>
  <c r="R26" i="7"/>
  <c r="R28" i="7"/>
  <c r="R30" i="7"/>
  <c r="R32" i="7"/>
  <c r="R23" i="7"/>
  <c r="AG57" i="7"/>
  <c r="AG59" i="7"/>
  <c r="AG61" i="7"/>
  <c r="AG63" i="7"/>
  <c r="AG65" i="7"/>
  <c r="AG56" i="7"/>
  <c r="AG58" i="7"/>
  <c r="AG60" i="7"/>
  <c r="AG62" i="7"/>
  <c r="AG64" i="7"/>
  <c r="AG66" i="7"/>
  <c r="U24" i="7"/>
  <c r="U26" i="7"/>
  <c r="U28" i="7"/>
  <c r="U30" i="7"/>
  <c r="U32" i="7"/>
  <c r="U23" i="7"/>
  <c r="U25" i="7"/>
  <c r="U27" i="7"/>
  <c r="U29" i="7"/>
  <c r="U31" i="7"/>
  <c r="U33" i="7"/>
  <c r="G75" i="7"/>
  <c r="G77" i="7"/>
  <c r="G79" i="7"/>
  <c r="G81" i="7"/>
  <c r="G83" i="7"/>
  <c r="G74" i="7"/>
  <c r="G76" i="7"/>
  <c r="G78" i="7"/>
  <c r="G80" i="7"/>
  <c r="G82" i="7"/>
  <c r="G73" i="7"/>
  <c r="F25" i="7"/>
  <c r="F27" i="7"/>
  <c r="F29" i="7"/>
  <c r="F31" i="7"/>
  <c r="F33" i="7"/>
  <c r="F24" i="7"/>
  <c r="F26" i="7"/>
  <c r="F28" i="7"/>
  <c r="F30" i="7"/>
  <c r="F23" i="7"/>
  <c r="F32" i="7"/>
  <c r="I65" i="7"/>
  <c r="I63" i="7"/>
  <c r="I61" i="7"/>
  <c r="I66" i="7"/>
  <c r="I64" i="7"/>
  <c r="I62" i="7"/>
  <c r="L25" i="7"/>
  <c r="L33" i="7"/>
  <c r="L30" i="7"/>
  <c r="U59" i="7"/>
  <c r="U56" i="7"/>
  <c r="U64" i="7"/>
  <c r="AE25" i="7"/>
  <c r="AE27" i="7"/>
  <c r="AE29" i="7"/>
  <c r="AE31" i="7"/>
  <c r="AE33" i="7"/>
  <c r="AE24" i="7"/>
  <c r="AE26" i="7"/>
  <c r="AE28" i="7"/>
  <c r="AE30" i="7"/>
  <c r="AE32" i="7"/>
  <c r="AE23" i="7"/>
  <c r="AA75" i="7"/>
  <c r="AA77" i="7"/>
  <c r="AA79" i="7"/>
  <c r="AA81" i="7"/>
  <c r="AA83" i="7"/>
  <c r="AA74" i="7"/>
  <c r="AA76" i="7"/>
  <c r="AA78" i="7"/>
  <c r="AA80" i="7"/>
  <c r="AA82" i="7"/>
  <c r="AA73" i="7"/>
  <c r="J25" i="7"/>
  <c r="J33" i="7"/>
  <c r="J30" i="7"/>
  <c r="Q59" i="7"/>
  <c r="Q60" i="7"/>
  <c r="Q62" i="7"/>
  <c r="V25" i="7"/>
  <c r="V27" i="7"/>
  <c r="V29" i="7"/>
  <c r="V31" i="7"/>
  <c r="V33" i="7"/>
  <c r="V24" i="7"/>
  <c r="V26" i="7"/>
  <c r="V28" i="7"/>
  <c r="V30" i="7"/>
  <c r="V32" i="7"/>
  <c r="V23" i="7"/>
  <c r="I74" i="7"/>
  <c r="I78" i="7"/>
  <c r="I80" i="7"/>
  <c r="I82" i="7"/>
  <c r="I73" i="7"/>
  <c r="I75" i="7"/>
  <c r="I77" i="7"/>
  <c r="I79" i="7"/>
  <c r="I81" i="7"/>
  <c r="I83" i="7"/>
  <c r="AB24" i="7"/>
  <c r="AB26" i="7"/>
  <c r="AB28" i="7"/>
  <c r="AB30" i="7"/>
  <c r="AB32" i="7"/>
  <c r="AB25" i="7"/>
  <c r="AB27" i="7"/>
  <c r="AB29" i="7"/>
  <c r="AB31" i="7"/>
  <c r="AB33" i="7"/>
  <c r="AB23" i="7"/>
  <c r="U74" i="7"/>
  <c r="U76" i="7"/>
  <c r="U78" i="7"/>
  <c r="U80" i="7"/>
  <c r="U82" i="7"/>
  <c r="U73" i="7"/>
  <c r="U75" i="7"/>
  <c r="U77" i="7"/>
  <c r="U79" i="7"/>
  <c r="U81" i="7"/>
  <c r="U83" i="7"/>
  <c r="C24" i="7"/>
  <c r="C26" i="7"/>
  <c r="C28" i="7"/>
  <c r="C30" i="7"/>
  <c r="C32" i="7"/>
  <c r="C23" i="7"/>
  <c r="C25" i="7"/>
  <c r="C27" i="7"/>
  <c r="C29" i="7"/>
  <c r="C31" i="7"/>
  <c r="P25" i="7"/>
  <c r="P27" i="7"/>
  <c r="P29" i="7"/>
  <c r="P31" i="7"/>
  <c r="P33" i="7"/>
  <c r="P24" i="7"/>
  <c r="P26" i="7"/>
  <c r="P28" i="7"/>
  <c r="P30" i="7"/>
  <c r="P32" i="7"/>
  <c r="P23" i="7"/>
  <c r="AC57" i="7"/>
  <c r="AC59" i="7"/>
  <c r="AC61" i="7"/>
  <c r="AC63" i="7"/>
  <c r="AC65" i="7"/>
  <c r="AC56" i="7"/>
  <c r="AC58" i="7"/>
  <c r="AC60" i="7"/>
  <c r="AC62" i="7"/>
  <c r="AC64" i="7"/>
  <c r="AC66" i="7"/>
  <c r="H31" i="7"/>
  <c r="H28" i="7"/>
  <c r="M57" i="7"/>
  <c r="M66" i="7"/>
  <c r="M59" i="7"/>
  <c r="N25" i="7"/>
  <c r="N27" i="7"/>
  <c r="N29" i="7"/>
  <c r="N31" i="7"/>
  <c r="N33" i="7"/>
  <c r="N24" i="7"/>
  <c r="N26" i="7"/>
  <c r="N28" i="7"/>
  <c r="N30" i="7"/>
  <c r="N32" i="7"/>
  <c r="N23" i="7"/>
  <c r="Y57" i="7"/>
  <c r="Y59" i="7"/>
  <c r="Y61" i="7"/>
  <c r="Y63" i="7"/>
  <c r="Y65" i="7"/>
  <c r="Y56" i="7"/>
  <c r="Y58" i="7"/>
  <c r="Y60" i="7"/>
  <c r="Y62" i="7"/>
  <c r="Y64" i="7"/>
  <c r="Y66" i="7"/>
  <c r="Z25" i="7"/>
  <c r="Z27" i="7"/>
  <c r="Z29" i="7"/>
  <c r="Z31" i="7"/>
  <c r="Z33" i="7"/>
  <c r="Z24" i="7"/>
  <c r="Z26" i="7"/>
  <c r="Z28" i="7"/>
  <c r="Z30" i="7"/>
  <c r="Z32" i="7"/>
  <c r="Z23" i="7"/>
  <c r="Q74" i="7"/>
  <c r="Q76" i="7"/>
  <c r="Q78" i="7"/>
  <c r="Q80" i="7"/>
  <c r="Q82" i="7"/>
  <c r="Q73" i="7"/>
  <c r="Q75" i="7"/>
  <c r="Q77" i="7"/>
  <c r="Q79" i="7"/>
  <c r="Q81" i="7"/>
  <c r="Q83" i="7"/>
  <c r="T25" i="7"/>
  <c r="T27" i="7"/>
  <c r="T29" i="7"/>
  <c r="T31" i="7"/>
  <c r="T33" i="7"/>
  <c r="T24" i="7"/>
  <c r="T26" i="7"/>
  <c r="T28" i="7"/>
  <c r="T30" i="7"/>
  <c r="T32" i="7"/>
  <c r="T23" i="7"/>
  <c r="E74" i="7"/>
  <c r="E76" i="7"/>
  <c r="E78" i="7"/>
  <c r="E80" i="7"/>
  <c r="E82" i="7"/>
  <c r="E73" i="7"/>
  <c r="E75" i="7"/>
  <c r="E77" i="7"/>
  <c r="E79" i="7"/>
  <c r="E81" i="7"/>
  <c r="E83" i="7"/>
  <c r="AC25" i="7"/>
  <c r="AC27" i="7"/>
  <c r="AC29" i="7"/>
  <c r="AC31" i="7"/>
  <c r="AC33" i="7"/>
  <c r="AC24" i="7"/>
  <c r="AC26" i="7"/>
  <c r="AC28" i="7"/>
  <c r="AC30" i="7"/>
  <c r="AC32" i="7"/>
  <c r="AC23" i="7"/>
  <c r="W75" i="7"/>
  <c r="W77" i="7"/>
  <c r="W79" i="7"/>
  <c r="W81" i="7"/>
  <c r="W83" i="7"/>
  <c r="W74" i="7"/>
  <c r="W76" i="7"/>
  <c r="W78" i="7"/>
  <c r="W80" i="7"/>
  <c r="W82" i="7"/>
  <c r="W73" i="7"/>
  <c r="AG25" i="7"/>
  <c r="AG27" i="7"/>
  <c r="AG29" i="7"/>
  <c r="AG31" i="7"/>
  <c r="AG33" i="7"/>
  <c r="AG24" i="7"/>
  <c r="AG26" i="7"/>
  <c r="AG28" i="7"/>
  <c r="AG30" i="7"/>
  <c r="AG32" i="7"/>
  <c r="AG23" i="7"/>
  <c r="AE75" i="7"/>
  <c r="AE77" i="7"/>
  <c r="AE79" i="7"/>
  <c r="AE81" i="7"/>
  <c r="AE83" i="7"/>
  <c r="AE74" i="7"/>
  <c r="AE76" i="7"/>
  <c r="AE78" i="7"/>
  <c r="AE80" i="7"/>
  <c r="AE82" i="7"/>
  <c r="AE73" i="7"/>
  <c r="S24" i="7"/>
  <c r="S26" i="7"/>
  <c r="S28" i="7"/>
  <c r="S30" i="7"/>
  <c r="S32" i="7"/>
  <c r="S23" i="7"/>
  <c r="S25" i="7"/>
  <c r="S27" i="7"/>
  <c r="S29" i="7"/>
  <c r="S31" i="7"/>
  <c r="S33" i="7"/>
  <c r="C75" i="7"/>
  <c r="C77" i="7"/>
  <c r="C79" i="7"/>
  <c r="C81" i="7"/>
  <c r="C83" i="7"/>
  <c r="C74" i="7"/>
  <c r="C76" i="7"/>
  <c r="C78" i="7"/>
  <c r="C80" i="7"/>
  <c r="C82" i="7"/>
  <c r="C73" i="7"/>
  <c r="AH24" i="7"/>
  <c r="AH26" i="7"/>
  <c r="AH28" i="7"/>
  <c r="AH30" i="7"/>
  <c r="AH32" i="7"/>
  <c r="AH23" i="7"/>
  <c r="AH25" i="7"/>
  <c r="AH27" i="7"/>
  <c r="AH29" i="7"/>
  <c r="AH31" i="7"/>
  <c r="AH33" i="7"/>
  <c r="AG74" i="7"/>
  <c r="AG76" i="7"/>
  <c r="AG78" i="7"/>
  <c r="AG80" i="7"/>
  <c r="AG82" i="7"/>
  <c r="AG73" i="7"/>
  <c r="AG75" i="7"/>
  <c r="AG77" i="7"/>
  <c r="AG79" i="7"/>
  <c r="AG81" i="7"/>
  <c r="AG83" i="7"/>
  <c r="O24" i="7"/>
  <c r="O26" i="7"/>
  <c r="O28" i="7"/>
  <c r="O30" i="7"/>
  <c r="O32" i="7"/>
  <c r="O23" i="7"/>
  <c r="O25" i="7"/>
  <c r="O27" i="7"/>
  <c r="O29" i="7"/>
  <c r="O31" i="7"/>
  <c r="O33" i="7"/>
  <c r="AA58" i="7"/>
  <c r="AA60" i="7"/>
  <c r="AA62" i="7"/>
  <c r="AA64" i="7"/>
  <c r="AA66" i="7"/>
  <c r="AA57" i="7"/>
  <c r="AA59" i="7"/>
  <c r="AA61" i="7"/>
  <c r="AA63" i="7"/>
  <c r="AA65" i="7"/>
  <c r="AA56" i="7"/>
  <c r="D23" i="7"/>
  <c r="D30" i="7"/>
  <c r="D26" i="7"/>
  <c r="D33" i="7"/>
  <c r="D29" i="7"/>
  <c r="D25" i="7"/>
  <c r="E29" i="7"/>
  <c r="E26" i="7"/>
  <c r="G65" i="7"/>
  <c r="G64" i="7"/>
  <c r="AD24" i="7"/>
  <c r="AD26" i="7"/>
  <c r="AD28" i="7"/>
  <c r="AD30" i="7"/>
  <c r="AD32" i="7"/>
  <c r="AD23" i="7"/>
  <c r="AD25" i="7"/>
  <c r="AD27" i="7"/>
  <c r="AD29" i="7"/>
  <c r="AD31" i="7"/>
  <c r="AD33" i="7"/>
  <c r="Y74" i="7"/>
  <c r="Y76" i="7"/>
  <c r="Y78" i="7"/>
  <c r="Y80" i="7"/>
  <c r="Y82" i="7"/>
  <c r="Y73" i="7"/>
  <c r="Y75" i="7"/>
  <c r="Y77" i="7"/>
  <c r="Y79" i="7"/>
  <c r="Y81" i="7"/>
  <c r="Y83" i="7"/>
  <c r="X25" i="7"/>
  <c r="X27" i="7"/>
  <c r="X29" i="7"/>
  <c r="X31" i="7"/>
  <c r="X33" i="7"/>
  <c r="X24" i="7"/>
  <c r="X26" i="7"/>
  <c r="X28" i="7"/>
  <c r="X30" i="7"/>
  <c r="X32" i="7"/>
  <c r="X23" i="7"/>
  <c r="M74" i="7"/>
  <c r="M76" i="7"/>
  <c r="M78" i="7"/>
  <c r="M80" i="7"/>
  <c r="M82" i="7"/>
  <c r="M73" i="7"/>
  <c r="M75" i="7"/>
  <c r="M77" i="7"/>
  <c r="M79" i="7"/>
  <c r="M81" i="7"/>
  <c r="M83" i="7"/>
  <c r="AA24" i="7"/>
  <c r="AA26" i="7"/>
  <c r="AA28" i="7"/>
  <c r="AA30" i="7"/>
  <c r="AA32" i="7"/>
  <c r="AA23" i="7"/>
  <c r="AA25" i="7"/>
  <c r="AA27" i="7"/>
  <c r="AA29" i="7"/>
  <c r="AA31" i="7"/>
  <c r="AA33" i="7"/>
  <c r="S75" i="7"/>
  <c r="S77" i="7"/>
  <c r="S79" i="7"/>
  <c r="S81" i="7"/>
  <c r="S83" i="7"/>
  <c r="S74" i="7"/>
  <c r="S76" i="7"/>
  <c r="S78" i="7"/>
  <c r="S80" i="7"/>
  <c r="S82" i="7"/>
  <c r="S73" i="7"/>
  <c r="I24" i="7"/>
  <c r="I32" i="7"/>
  <c r="I29" i="7"/>
  <c r="O61" i="7"/>
  <c r="O58" i="7"/>
  <c r="O66" i="7"/>
  <c r="AF24" i="7"/>
  <c r="AF26" i="7"/>
  <c r="AF28" i="7"/>
  <c r="AF30" i="7"/>
  <c r="AF32" i="7"/>
  <c r="AF23" i="7"/>
  <c r="AF25" i="7"/>
  <c r="AF27" i="7"/>
  <c r="AF29" i="7"/>
  <c r="AF31" i="7"/>
  <c r="AF33" i="7"/>
  <c r="AC74" i="7"/>
  <c r="AC76" i="7"/>
  <c r="AC78" i="7"/>
  <c r="AC80" i="7"/>
  <c r="AC82" i="7"/>
  <c r="AC73" i="7"/>
  <c r="AC75" i="7"/>
  <c r="AC77" i="7"/>
  <c r="AC79" i="7"/>
  <c r="AC81" i="7"/>
  <c r="AC83" i="7"/>
  <c r="Q24" i="7"/>
  <c r="Q26" i="7"/>
  <c r="Q28" i="7"/>
  <c r="Q30" i="7"/>
  <c r="Q32" i="7"/>
  <c r="Q23" i="7"/>
  <c r="Q25" i="7"/>
  <c r="Q27" i="7"/>
  <c r="Q29" i="7"/>
  <c r="Q31" i="7"/>
  <c r="Q33" i="7"/>
  <c r="AE58" i="7"/>
  <c r="AE60" i="7"/>
  <c r="AE62" i="7"/>
  <c r="AE64" i="7"/>
  <c r="AE66" i="7"/>
  <c r="AE57" i="7"/>
  <c r="AE59" i="7"/>
  <c r="AE61" i="7"/>
  <c r="AE63" i="7"/>
  <c r="AE65" i="7"/>
  <c r="AE56" i="7"/>
  <c r="K30" i="7"/>
  <c r="K27" i="7"/>
  <c r="S58" i="7"/>
  <c r="S66" i="7"/>
  <c r="S63" i="7"/>
  <c r="W24" i="7"/>
  <c r="W26" i="7"/>
  <c r="W28" i="7"/>
  <c r="W30" i="7"/>
  <c r="W32" i="7"/>
  <c r="W23" i="7"/>
  <c r="W25" i="7"/>
  <c r="W27" i="7"/>
  <c r="W29" i="7"/>
  <c r="W31" i="7"/>
  <c r="W33" i="7"/>
  <c r="K75" i="7"/>
  <c r="K77" i="7"/>
  <c r="K79" i="7"/>
  <c r="K81" i="7"/>
  <c r="K83" i="7"/>
  <c r="K74" i="7"/>
  <c r="K76" i="7"/>
  <c r="K78" i="7"/>
  <c r="K80" i="7"/>
  <c r="K82" i="7"/>
  <c r="K73" i="7"/>
  <c r="M30" i="7"/>
  <c r="M27" i="7"/>
  <c r="W57" i="7"/>
  <c r="W66" i="7"/>
  <c r="W63" i="7"/>
  <c r="G26" i="7"/>
  <c r="G23" i="7"/>
  <c r="G31" i="7"/>
  <c r="K61" i="7"/>
  <c r="K62" i="7"/>
  <c r="K56" i="7"/>
  <c r="Y24" i="7"/>
  <c r="Y26" i="7"/>
  <c r="Y28" i="7"/>
  <c r="Y30" i="7"/>
  <c r="Y32" i="7"/>
  <c r="Y23" i="7"/>
  <c r="Y25" i="7"/>
  <c r="Y27" i="7"/>
  <c r="Y29" i="7"/>
  <c r="Y31" i="7"/>
  <c r="Y33" i="7"/>
  <c r="O75" i="7"/>
  <c r="O77" i="7"/>
  <c r="O79" i="7"/>
  <c r="O81" i="7"/>
  <c r="O83" i="7"/>
  <c r="O74" i="7"/>
  <c r="O76" i="7"/>
  <c r="O78" i="7"/>
  <c r="O80" i="7"/>
  <c r="O82" i="7"/>
  <c r="O73" i="7"/>
  <c r="D32" i="7"/>
  <c r="D28" i="7"/>
  <c r="D24" i="7"/>
  <c r="D31" i="7"/>
  <c r="D27" i="7"/>
  <c r="I60" i="7"/>
  <c r="U34" i="9"/>
  <c r="X36" i="9"/>
  <c r="U38" i="9"/>
  <c r="I36" i="9"/>
  <c r="F36" i="9"/>
  <c r="O36" i="9"/>
  <c r="L34" i="9"/>
  <c r="O34" i="9"/>
  <c r="U35" i="9"/>
  <c r="Z35" i="9"/>
  <c r="U36" i="9"/>
  <c r="AE35" i="9"/>
  <c r="K37" i="9"/>
  <c r="AD35" i="9"/>
  <c r="O35" i="9"/>
  <c r="L37" i="9"/>
  <c r="I57" i="7"/>
  <c r="I58" i="7"/>
  <c r="F18" i="7"/>
  <c r="I59" i="7"/>
  <c r="AD34" i="9"/>
  <c r="X34" i="9"/>
  <c r="G59" i="7"/>
  <c r="E18" i="7"/>
  <c r="AD18" i="7"/>
  <c r="X18" i="7"/>
  <c r="I18" i="7"/>
  <c r="AF18" i="7"/>
  <c r="N18" i="7"/>
  <c r="Z18" i="7"/>
  <c r="S18" i="7"/>
  <c r="AH18" i="7"/>
  <c r="O18" i="7"/>
  <c r="R36" i="9"/>
  <c r="AD36" i="9"/>
  <c r="I37" i="9"/>
  <c r="R38" i="9"/>
  <c r="X35" i="9"/>
  <c r="R18" i="7"/>
  <c r="U18" i="7"/>
  <c r="AE18" i="7"/>
  <c r="V18" i="7"/>
  <c r="AB18" i="7"/>
  <c r="P18" i="7"/>
  <c r="Q18" i="7"/>
  <c r="W18" i="7"/>
  <c r="Y18" i="7"/>
  <c r="AD37" i="9"/>
  <c r="C18" i="7"/>
  <c r="I38" i="9"/>
  <c r="D18" i="7"/>
  <c r="AA18" i="7"/>
  <c r="I56" i="7"/>
  <c r="T18" i="7"/>
  <c r="AC18" i="7"/>
  <c r="AG18" i="7"/>
  <c r="C36" i="9"/>
  <c r="C37" i="9"/>
  <c r="C35" i="9"/>
  <c r="D38" i="9"/>
  <c r="D36" i="9"/>
  <c r="D34" i="9"/>
  <c r="D35" i="9"/>
  <c r="D37" i="9"/>
  <c r="C38" i="7"/>
  <c r="K64" i="7" l="1"/>
  <c r="G32" i="7"/>
  <c r="W64" i="7"/>
  <c r="M28" i="7"/>
  <c r="S64" i="7"/>
  <c r="K33" i="7"/>
  <c r="K28" i="7"/>
  <c r="O64" i="7"/>
  <c r="O56" i="7"/>
  <c r="O59" i="7"/>
  <c r="I27" i="7"/>
  <c r="I30" i="7"/>
  <c r="G66" i="7"/>
  <c r="E32" i="7"/>
  <c r="E24" i="7"/>
  <c r="E27" i="7"/>
  <c r="M65" i="7"/>
  <c r="M64" i="7"/>
  <c r="H23" i="7"/>
  <c r="H26" i="7"/>
  <c r="H29" i="7"/>
  <c r="Q58" i="7"/>
  <c r="Q65" i="7"/>
  <c r="Q57" i="7"/>
  <c r="J28" i="7"/>
  <c r="J31" i="7"/>
  <c r="U62" i="7"/>
  <c r="U65" i="7"/>
  <c r="U57" i="7"/>
  <c r="L28" i="7"/>
  <c r="L31" i="7"/>
  <c r="J43" i="7"/>
  <c r="G41" i="7"/>
  <c r="M46" i="7"/>
  <c r="I41" i="7"/>
  <c r="E41" i="7"/>
  <c r="E35" i="7"/>
  <c r="K35" i="7"/>
  <c r="H35" i="7"/>
  <c r="M34" i="7"/>
  <c r="I34" i="7"/>
  <c r="L34" i="7"/>
  <c r="K58" i="4"/>
  <c r="K66" i="4"/>
  <c r="K62" i="4"/>
  <c r="K56" i="4"/>
  <c r="G26" i="4"/>
  <c r="G28" i="4"/>
  <c r="G30" i="4"/>
  <c r="G32" i="4"/>
  <c r="G34" i="4"/>
  <c r="G35" i="4"/>
  <c r="G42" i="4"/>
  <c r="G24" i="4"/>
  <c r="K65" i="4"/>
  <c r="K61" i="4"/>
  <c r="G23" i="4"/>
  <c r="K59" i="4"/>
  <c r="G18" i="4"/>
  <c r="G25" i="4"/>
  <c r="K64" i="4"/>
  <c r="K60" i="4"/>
  <c r="G27" i="4"/>
  <c r="G29" i="4"/>
  <c r="G31" i="4"/>
  <c r="G33" i="4"/>
  <c r="K63" i="4"/>
  <c r="K57" i="4"/>
  <c r="G46" i="4"/>
  <c r="G43" i="4"/>
  <c r="G44" i="4"/>
  <c r="G45" i="4"/>
  <c r="G47" i="4"/>
  <c r="W66" i="4"/>
  <c r="W62" i="4"/>
  <c r="W56" i="4"/>
  <c r="M44" i="4"/>
  <c r="M34" i="4"/>
  <c r="W65" i="4"/>
  <c r="W61" i="4"/>
  <c r="M47" i="4"/>
  <c r="M43" i="4"/>
  <c r="W58" i="4"/>
  <c r="M26" i="4"/>
  <c r="M28" i="4"/>
  <c r="M30" i="4"/>
  <c r="M32" i="4"/>
  <c r="W64" i="4"/>
  <c r="W60" i="4"/>
  <c r="M46" i="4"/>
  <c r="M42" i="4"/>
  <c r="W57" i="4"/>
  <c r="W59" i="4"/>
  <c r="M29" i="4"/>
  <c r="M45" i="4"/>
  <c r="M18" i="4"/>
  <c r="M24" i="4"/>
  <c r="M23" i="4"/>
  <c r="M25" i="4"/>
  <c r="M31" i="4"/>
  <c r="M35" i="4"/>
  <c r="M33" i="4"/>
  <c r="W63" i="4"/>
  <c r="M27" i="4"/>
  <c r="K47" i="4"/>
  <c r="S63" i="4"/>
  <c r="S59" i="4"/>
  <c r="K44" i="4"/>
  <c r="S66" i="4"/>
  <c r="S62" i="4"/>
  <c r="S56" i="4"/>
  <c r="K18" i="4"/>
  <c r="K26" i="4"/>
  <c r="K28" i="4"/>
  <c r="K30" i="4"/>
  <c r="K32" i="4"/>
  <c r="K23" i="4"/>
  <c r="K24" i="4"/>
  <c r="K34" i="4"/>
  <c r="K35" i="4"/>
  <c r="S65" i="4"/>
  <c r="S61" i="4"/>
  <c r="S58" i="4"/>
  <c r="K25" i="4"/>
  <c r="K42" i="4"/>
  <c r="K43" i="4"/>
  <c r="K45" i="4"/>
  <c r="K46" i="4"/>
  <c r="S57" i="4"/>
  <c r="K27" i="4"/>
  <c r="K33" i="4"/>
  <c r="K29" i="4"/>
  <c r="S64" i="4"/>
  <c r="K31" i="4"/>
  <c r="S60" i="4"/>
  <c r="Q64" i="4"/>
  <c r="Q56" i="4"/>
  <c r="J27" i="4"/>
  <c r="J29" i="4"/>
  <c r="J31" i="4"/>
  <c r="J33" i="4"/>
  <c r="J45" i="4"/>
  <c r="Q60" i="4"/>
  <c r="Q63" i="4"/>
  <c r="Q59" i="4"/>
  <c r="Q58" i="4"/>
  <c r="Q61" i="4"/>
  <c r="J34" i="4"/>
  <c r="Q66" i="4"/>
  <c r="Q62" i="4"/>
  <c r="J47" i="4"/>
  <c r="J26" i="4"/>
  <c r="J28" i="4"/>
  <c r="J30" i="4"/>
  <c r="J32" i="4"/>
  <c r="J42" i="4"/>
  <c r="J44" i="4"/>
  <c r="J46" i="4"/>
  <c r="J18" i="4"/>
  <c r="J23" i="4"/>
  <c r="J24" i="4"/>
  <c r="J25" i="4"/>
  <c r="Q65" i="4"/>
  <c r="J43" i="4"/>
  <c r="J35" i="4"/>
  <c r="Q57" i="4"/>
  <c r="J18" i="7"/>
  <c r="K58" i="7"/>
  <c r="G29" i="7"/>
  <c r="W60" i="7"/>
  <c r="M25" i="7"/>
  <c r="S61" i="7"/>
  <c r="K25" i="7"/>
  <c r="H18" i="7"/>
  <c r="K18" i="7"/>
  <c r="G18" i="7"/>
  <c r="G57" i="7"/>
  <c r="K60" i="7"/>
  <c r="K65" i="7"/>
  <c r="K57" i="7"/>
  <c r="G27" i="7"/>
  <c r="G30" i="7"/>
  <c r="W56" i="7"/>
  <c r="W58" i="7"/>
  <c r="W62" i="7"/>
  <c r="M31" i="7"/>
  <c r="M23" i="7"/>
  <c r="M26" i="7"/>
  <c r="S56" i="7"/>
  <c r="S59" i="7"/>
  <c r="S62" i="7"/>
  <c r="K31" i="7"/>
  <c r="K23" i="7"/>
  <c r="K26" i="7"/>
  <c r="O62" i="7"/>
  <c r="O65" i="7"/>
  <c r="O57" i="7"/>
  <c r="I25" i="7"/>
  <c r="I28" i="7"/>
  <c r="G61" i="7"/>
  <c r="E30" i="7"/>
  <c r="E23" i="7"/>
  <c r="E25" i="7"/>
  <c r="M56" i="7"/>
  <c r="M61" i="7"/>
  <c r="M62" i="7"/>
  <c r="H32" i="7"/>
  <c r="H24" i="7"/>
  <c r="H27" i="7"/>
  <c r="Q56" i="7"/>
  <c r="Q63" i="7"/>
  <c r="J23" i="7"/>
  <c r="J26" i="7"/>
  <c r="J29" i="7"/>
  <c r="U60" i="7"/>
  <c r="U63" i="7"/>
  <c r="L23" i="7"/>
  <c r="L26" i="7"/>
  <c r="L29" i="7"/>
  <c r="H47" i="7"/>
  <c r="J41" i="7"/>
  <c r="L46" i="7"/>
  <c r="G42" i="7"/>
  <c r="K47" i="7"/>
  <c r="E42" i="7"/>
  <c r="K34" i="7"/>
  <c r="H34" i="7"/>
  <c r="J35" i="7"/>
  <c r="G34" i="7"/>
  <c r="I33" i="7"/>
  <c r="I63" i="4"/>
  <c r="I58" i="4"/>
  <c r="F26" i="4"/>
  <c r="F28" i="4"/>
  <c r="F30" i="4"/>
  <c r="F32" i="4"/>
  <c r="F34" i="4"/>
  <c r="F35" i="4"/>
  <c r="F42" i="4"/>
  <c r="F43" i="4"/>
  <c r="F44" i="4"/>
  <c r="F45" i="4"/>
  <c r="F46" i="4"/>
  <c r="F47" i="4"/>
  <c r="I66" i="4"/>
  <c r="I62" i="4"/>
  <c r="I57" i="4"/>
  <c r="F18" i="4"/>
  <c r="F23" i="4"/>
  <c r="F24" i="4"/>
  <c r="F25" i="4"/>
  <c r="I59" i="4"/>
  <c r="I65" i="4"/>
  <c r="I61" i="4"/>
  <c r="I56" i="4"/>
  <c r="F27" i="4"/>
  <c r="F29" i="4"/>
  <c r="F31" i="4"/>
  <c r="F33" i="4"/>
  <c r="I60" i="4"/>
  <c r="I64" i="4"/>
  <c r="H25" i="4"/>
  <c r="H23" i="4"/>
  <c r="M63" i="4"/>
  <c r="H47" i="4"/>
  <c r="H43" i="4"/>
  <c r="H33" i="4"/>
  <c r="H29" i="4"/>
  <c r="M59" i="4"/>
  <c r="H18" i="4"/>
  <c r="M66" i="4"/>
  <c r="M62" i="4"/>
  <c r="H46" i="4"/>
  <c r="H42" i="4"/>
  <c r="H32" i="4"/>
  <c r="H28" i="4"/>
  <c r="M58" i="4"/>
  <c r="M65" i="4"/>
  <c r="M61" i="4"/>
  <c r="H45" i="4"/>
  <c r="H35" i="4"/>
  <c r="H31" i="4"/>
  <c r="H27" i="4"/>
  <c r="M57" i="4"/>
  <c r="H24" i="4"/>
  <c r="M60" i="4"/>
  <c r="H26" i="4"/>
  <c r="H44" i="4"/>
  <c r="H34" i="4"/>
  <c r="M64" i="4"/>
  <c r="H30" i="4"/>
  <c r="M56" i="4"/>
  <c r="E34" i="4"/>
  <c r="G65" i="4"/>
  <c r="G61" i="4"/>
  <c r="E47" i="4"/>
  <c r="E43" i="4"/>
  <c r="G58" i="4"/>
  <c r="E26" i="4"/>
  <c r="E28" i="4"/>
  <c r="E30" i="4"/>
  <c r="E32" i="4"/>
  <c r="G64" i="4"/>
  <c r="G60" i="4"/>
  <c r="E46" i="4"/>
  <c r="E42" i="4"/>
  <c r="E18" i="4"/>
  <c r="E23" i="4"/>
  <c r="E24" i="4"/>
  <c r="E25" i="4"/>
  <c r="E27" i="4"/>
  <c r="E31" i="4"/>
  <c r="G63" i="4"/>
  <c r="G57" i="4"/>
  <c r="E45" i="4"/>
  <c r="E35" i="4"/>
  <c r="E29" i="4"/>
  <c r="E33" i="4"/>
  <c r="E44" i="4"/>
  <c r="G66" i="4"/>
  <c r="G59" i="4"/>
  <c r="G62" i="4"/>
  <c r="G56" i="4"/>
  <c r="E41" i="4"/>
  <c r="E39" i="4"/>
  <c r="G58" i="7"/>
  <c r="K59" i="7"/>
  <c r="G24" i="7"/>
  <c r="M33" i="7"/>
  <c r="M18" i="7"/>
  <c r="G60" i="7"/>
  <c r="G56" i="7"/>
  <c r="L18" i="7"/>
  <c r="K66" i="7"/>
  <c r="K63" i="7"/>
  <c r="G33" i="7"/>
  <c r="G25" i="7"/>
  <c r="G28" i="7"/>
  <c r="W65" i="7"/>
  <c r="W61" i="7"/>
  <c r="W59" i="7"/>
  <c r="M29" i="7"/>
  <c r="M32" i="7"/>
  <c r="M24" i="7"/>
  <c r="S65" i="7"/>
  <c r="S57" i="7"/>
  <c r="S60" i="7"/>
  <c r="K29" i="7"/>
  <c r="K32" i="7"/>
  <c r="K24" i="7"/>
  <c r="O60" i="7"/>
  <c r="O63" i="7"/>
  <c r="I31" i="7"/>
  <c r="I23" i="7"/>
  <c r="I26" i="7"/>
  <c r="G62" i="7"/>
  <c r="G63" i="7"/>
  <c r="E28" i="7"/>
  <c r="E31" i="7"/>
  <c r="M63" i="7"/>
  <c r="M58" i="7"/>
  <c r="M60" i="7"/>
  <c r="H30" i="7"/>
  <c r="H33" i="7"/>
  <c r="H25" i="7"/>
  <c r="Q66" i="7"/>
  <c r="Q64" i="7"/>
  <c r="Q61" i="7"/>
  <c r="J32" i="7"/>
  <c r="J24" i="7"/>
  <c r="J27" i="7"/>
  <c r="U66" i="7"/>
  <c r="U58" i="7"/>
  <c r="U61" i="7"/>
  <c r="L32" i="7"/>
  <c r="L24" i="7"/>
  <c r="L27" i="7"/>
  <c r="I33" i="4"/>
  <c r="I31" i="4"/>
  <c r="I29" i="4"/>
  <c r="I27" i="4"/>
  <c r="I32" i="4"/>
  <c r="I30" i="4"/>
  <c r="I28" i="4"/>
  <c r="I26" i="4"/>
  <c r="O63" i="4"/>
  <c r="O59" i="4"/>
  <c r="I47" i="4"/>
  <c r="I43" i="4"/>
  <c r="O66" i="4"/>
  <c r="O62" i="4"/>
  <c r="O58" i="4"/>
  <c r="I46" i="4"/>
  <c r="I42" i="4"/>
  <c r="O65" i="4"/>
  <c r="O61" i="4"/>
  <c r="O57" i="4"/>
  <c r="I45" i="4"/>
  <c r="I35" i="4"/>
  <c r="I18" i="4"/>
  <c r="I23" i="4"/>
  <c r="I24" i="4"/>
  <c r="I25" i="4"/>
  <c r="O56" i="4"/>
  <c r="I44" i="4"/>
  <c r="O60" i="4"/>
  <c r="O64" i="4"/>
  <c r="I34" i="4"/>
  <c r="U65" i="4"/>
  <c r="U61" i="4"/>
  <c r="U59" i="4"/>
  <c r="L44" i="4"/>
  <c r="L34" i="4"/>
  <c r="L30" i="4"/>
  <c r="L26" i="4"/>
  <c r="L24" i="4"/>
  <c r="U64" i="4"/>
  <c r="U58" i="4"/>
  <c r="L47" i="4"/>
  <c r="L43" i="4"/>
  <c r="L33" i="4"/>
  <c r="L29" i="4"/>
  <c r="U56" i="4"/>
  <c r="L23" i="4"/>
  <c r="L25" i="4"/>
  <c r="L35" i="4"/>
  <c r="L27" i="4"/>
  <c r="U63" i="4"/>
  <c r="U57" i="4"/>
  <c r="L46" i="4"/>
  <c r="L42" i="4"/>
  <c r="L32" i="4"/>
  <c r="L28" i="4"/>
  <c r="L18" i="4"/>
  <c r="U66" i="4"/>
  <c r="U62" i="4"/>
  <c r="U60" i="4"/>
  <c r="L45" i="4"/>
  <c r="L31" i="4"/>
  <c r="D38" i="4"/>
  <c r="D40" i="4"/>
  <c r="D42" i="4"/>
  <c r="E57" i="4"/>
  <c r="D47" i="4"/>
  <c r="D23" i="4"/>
  <c r="D34" i="4"/>
  <c r="E66" i="4"/>
  <c r="D35" i="4"/>
  <c r="D37" i="4"/>
  <c r="E56" i="4"/>
  <c r="D46" i="4"/>
  <c r="D29" i="4"/>
  <c r="E61" i="4"/>
  <c r="D18" i="4"/>
  <c r="D44" i="4"/>
  <c r="D25" i="4"/>
  <c r="D45" i="4"/>
  <c r="D41" i="4"/>
  <c r="D28" i="4"/>
  <c r="E59" i="4"/>
  <c r="D33" i="4"/>
  <c r="E65" i="4"/>
  <c r="D26" i="4"/>
  <c r="E60" i="4"/>
  <c r="D27" i="4"/>
  <c r="E58" i="4"/>
  <c r="D39" i="4"/>
  <c r="D32" i="4"/>
  <c r="E64" i="4"/>
  <c r="D43" i="4"/>
  <c r="D24" i="4"/>
  <c r="D30" i="4"/>
  <c r="E62" i="4"/>
  <c r="D31" i="4"/>
  <c r="D67" i="7"/>
  <c r="D57" i="7"/>
  <c r="D65" i="7"/>
  <c r="D59" i="7"/>
  <c r="D63" i="7"/>
  <c r="D69" i="7"/>
  <c r="D58" i="7"/>
  <c r="D64" i="7"/>
  <c r="D66" i="7"/>
  <c r="C122" i="7" s="1"/>
  <c r="C160" i="7" s="1"/>
  <c r="D62" i="7"/>
  <c r="D60" i="7"/>
  <c r="D61" i="7"/>
  <c r="D68" i="7"/>
  <c r="F41" i="4"/>
  <c r="U68" i="4" l="1"/>
  <c r="W68" i="4"/>
  <c r="F56" i="4"/>
  <c r="F67" i="4"/>
  <c r="F61" i="4"/>
  <c r="D121" i="4" s="1"/>
  <c r="F60" i="4"/>
  <c r="D120" i="4" s="1"/>
  <c r="F65" i="4"/>
  <c r="D123" i="4" s="1"/>
  <c r="D161" i="4" s="1"/>
  <c r="F58" i="4"/>
  <c r="D124" i="4" s="1"/>
  <c r="F66" i="4"/>
  <c r="D112" i="4" s="1"/>
  <c r="F63" i="4"/>
  <c r="D122" i="4" s="1"/>
  <c r="F62" i="4"/>
  <c r="D118" i="4" s="1"/>
  <c r="F64" i="4"/>
  <c r="D113" i="4" s="1"/>
  <c r="D151" i="4" s="1"/>
  <c r="F59" i="4"/>
  <c r="D116" i="4" s="1"/>
  <c r="F57" i="4"/>
  <c r="D117" i="4" s="1"/>
  <c r="C120" i="7"/>
  <c r="C158" i="7" s="1"/>
  <c r="C119" i="7"/>
  <c r="C157" i="7" s="1"/>
  <c r="C113" i="7"/>
  <c r="C151" i="7" s="1"/>
  <c r="C124" i="7"/>
  <c r="C162" i="7" s="1"/>
  <c r="C123" i="7"/>
  <c r="C161" i="7" s="1"/>
  <c r="C118" i="7"/>
  <c r="C156" i="7" s="1"/>
  <c r="C121" i="7"/>
  <c r="C159" i="7" s="1"/>
  <c r="C116" i="7"/>
  <c r="C117" i="7"/>
  <c r="C155" i="7" s="1"/>
  <c r="C112" i="7"/>
  <c r="D160" i="4" l="1"/>
  <c r="D158" i="4"/>
  <c r="D154" i="4"/>
  <c r="D150" i="4"/>
  <c r="D159" i="4"/>
  <c r="D162" i="4"/>
  <c r="D155" i="4"/>
  <c r="D156" i="4"/>
  <c r="F68" i="4"/>
  <c r="D119" i="4"/>
  <c r="D127" i="4" s="1"/>
  <c r="C150" i="7"/>
  <c r="C154" i="7"/>
  <c r="C115" i="7"/>
  <c r="C153" i="7" s="1"/>
  <c r="C127" i="7"/>
  <c r="D157" i="4" l="1"/>
  <c r="D164" i="4" s="1"/>
  <c r="D126" i="4"/>
  <c r="D128" i="4" s="1"/>
  <c r="C126" i="7"/>
  <c r="C128" i="7" s="1"/>
  <c r="D141" i="7" s="1"/>
  <c r="D46" i="7" s="1"/>
  <c r="E140" i="4" l="1"/>
  <c r="E37" i="4" s="1"/>
  <c r="E141" i="4"/>
  <c r="E40" i="4" s="1"/>
  <c r="E138" i="4"/>
  <c r="E38" i="4" s="1"/>
  <c r="H57" i="4" s="1"/>
  <c r="E117" i="4" s="1"/>
  <c r="E155" i="4" s="1"/>
  <c r="D44" i="7"/>
  <c r="D45" i="7"/>
  <c r="D43" i="7"/>
  <c r="D140" i="7"/>
  <c r="D40" i="7" s="1"/>
  <c r="D138" i="7"/>
  <c r="D37" i="7" s="1"/>
  <c r="G39" i="4"/>
  <c r="H60" i="4" l="1"/>
  <c r="E116" i="4" s="1"/>
  <c r="H66" i="4"/>
  <c r="E112" i="4" s="1"/>
  <c r="H67" i="4"/>
  <c r="H63" i="4"/>
  <c r="E122" i="4" s="1"/>
  <c r="H62" i="4"/>
  <c r="E118" i="4" s="1"/>
  <c r="H56" i="4"/>
  <c r="H61" i="4"/>
  <c r="E121" i="4" s="1"/>
  <c r="H64" i="4"/>
  <c r="E113" i="4" s="1"/>
  <c r="E151" i="4" s="1"/>
  <c r="H59" i="4"/>
  <c r="E120" i="4" s="1"/>
  <c r="H65" i="4"/>
  <c r="E123" i="4" s="1"/>
  <c r="H58" i="4"/>
  <c r="E124" i="4" s="1"/>
  <c r="D39" i="7"/>
  <c r="E160" i="4" l="1"/>
  <c r="E162" i="4"/>
  <c r="E159" i="4"/>
  <c r="E161" i="4"/>
  <c r="H68" i="4"/>
  <c r="E119" i="4"/>
  <c r="E127" i="4" s="1"/>
  <c r="E150" i="4"/>
  <c r="E126" i="4"/>
  <c r="E158" i="4"/>
  <c r="E156" i="4"/>
  <c r="E154" i="4"/>
  <c r="G41" i="4"/>
  <c r="E128" i="4" l="1"/>
  <c r="F140" i="4" s="1"/>
  <c r="F37" i="4" s="1"/>
  <c r="F138" i="4"/>
  <c r="F38" i="4" s="1"/>
  <c r="F141" i="4"/>
  <c r="F40" i="4" s="1"/>
  <c r="E157" i="4"/>
  <c r="E164" i="4" s="1"/>
  <c r="J57" i="4" l="1"/>
  <c r="F117" i="4" s="1"/>
  <c r="F155" i="4" s="1"/>
  <c r="J67" i="4"/>
  <c r="J65" i="4"/>
  <c r="F123" i="4" s="1"/>
  <c r="F161" i="4" s="1"/>
  <c r="J58" i="4"/>
  <c r="F124" i="4" s="1"/>
  <c r="J56" i="4"/>
  <c r="J63" i="4"/>
  <c r="F122" i="4" s="1"/>
  <c r="F160" i="4" s="1"/>
  <c r="J62" i="4"/>
  <c r="F121" i="4" s="1"/>
  <c r="F159" i="4" s="1"/>
  <c r="J60" i="4"/>
  <c r="F116" i="4" s="1"/>
  <c r="F154" i="4" s="1"/>
  <c r="J61" i="4"/>
  <c r="F118" i="4" s="1"/>
  <c r="F156" i="4" s="1"/>
  <c r="J64" i="4"/>
  <c r="F113" i="4" s="1"/>
  <c r="F151" i="4" s="1"/>
  <c r="J66" i="4"/>
  <c r="F112" i="4" s="1"/>
  <c r="J59" i="4"/>
  <c r="F120" i="4" s="1"/>
  <c r="F158" i="4" s="1"/>
  <c r="J68" i="4" l="1"/>
  <c r="F119" i="4"/>
  <c r="F157" i="4" s="1"/>
  <c r="F162" i="4"/>
  <c r="F150" i="4"/>
  <c r="F126" i="4" l="1"/>
  <c r="F127" i="4"/>
  <c r="F164" i="4"/>
  <c r="H39" i="4"/>
  <c r="H41" i="4"/>
  <c r="F128" i="4" l="1"/>
  <c r="G140" i="4" s="1"/>
  <c r="G37" i="4" s="1"/>
  <c r="G141" i="4"/>
  <c r="G40" i="4" s="1"/>
  <c r="G138" i="4"/>
  <c r="G38" i="4" s="1"/>
  <c r="F56" i="7"/>
  <c r="D38" i="7"/>
  <c r="L57" i="4" l="1"/>
  <c r="G117" i="4" s="1"/>
  <c r="G155" i="4" s="1"/>
  <c r="L64" i="4"/>
  <c r="G113" i="4" s="1"/>
  <c r="G151" i="4" s="1"/>
  <c r="L66" i="4"/>
  <c r="G112" i="4" s="1"/>
  <c r="L63" i="4"/>
  <c r="G122" i="4" s="1"/>
  <c r="G160" i="4" s="1"/>
  <c r="L56" i="4"/>
  <c r="L58" i="4"/>
  <c r="G124" i="4" s="1"/>
  <c r="L67" i="4"/>
  <c r="L65" i="4"/>
  <c r="G123" i="4" s="1"/>
  <c r="G161" i="4" s="1"/>
  <c r="L60" i="4"/>
  <c r="G116" i="4" s="1"/>
  <c r="G154" i="4" s="1"/>
  <c r="L61" i="4"/>
  <c r="G118" i="4" s="1"/>
  <c r="G156" i="4" s="1"/>
  <c r="L62" i="4"/>
  <c r="G121" i="4" s="1"/>
  <c r="G159" i="4" s="1"/>
  <c r="L59" i="4"/>
  <c r="G120" i="4" s="1"/>
  <c r="G158" i="4" s="1"/>
  <c r="F63" i="7"/>
  <c r="F60" i="7"/>
  <c r="F57" i="7"/>
  <c r="F65" i="7"/>
  <c r="F61" i="7"/>
  <c r="F59" i="7"/>
  <c r="F62" i="7"/>
  <c r="F66" i="7"/>
  <c r="D122" i="7" s="1"/>
  <c r="D160" i="7" s="1"/>
  <c r="F64" i="7"/>
  <c r="F58" i="7"/>
  <c r="D116" i="7" s="1"/>
  <c r="D115" i="7" s="1"/>
  <c r="F67" i="7"/>
  <c r="G150" i="4" l="1"/>
  <c r="G162" i="4"/>
  <c r="G119" i="4"/>
  <c r="G157" i="4" s="1"/>
  <c r="G164" i="4" s="1"/>
  <c r="L68" i="4"/>
  <c r="D154" i="7"/>
  <c r="D153" i="7"/>
  <c r="D120" i="7"/>
  <c r="D158" i="7" s="1"/>
  <c r="D123" i="7"/>
  <c r="D161" i="7" s="1"/>
  <c r="D121" i="7"/>
  <c r="D159" i="7" s="1"/>
  <c r="D124" i="7"/>
  <c r="D162" i="7" s="1"/>
  <c r="D119" i="7"/>
  <c r="D157" i="7" s="1"/>
  <c r="D118" i="7"/>
  <c r="D156" i="7" s="1"/>
  <c r="D113" i="7"/>
  <c r="D151" i="7" s="1"/>
  <c r="D112" i="7"/>
  <c r="D150" i="7" s="1"/>
  <c r="D117" i="7"/>
  <c r="D155" i="7" s="1"/>
  <c r="G127" i="4" l="1"/>
  <c r="G126" i="4"/>
  <c r="D127" i="7"/>
  <c r="D126" i="7"/>
  <c r="G128" i="4" l="1"/>
  <c r="D128" i="7"/>
  <c r="H138" i="4" l="1"/>
  <c r="H38" i="4" s="1"/>
  <c r="N57" i="4" s="1"/>
  <c r="H117" i="4" s="1"/>
  <c r="H155" i="4" s="1"/>
  <c r="H140" i="4"/>
  <c r="H37" i="4" s="1"/>
  <c r="H141" i="4"/>
  <c r="H40" i="4" s="1"/>
  <c r="E43" i="7"/>
  <c r="E141" i="7"/>
  <c r="E46" i="7" s="1"/>
  <c r="I41" i="4"/>
  <c r="E138" i="7"/>
  <c r="E37" i="7" s="1"/>
  <c r="E140" i="7"/>
  <c r="E39" i="7" s="1"/>
  <c r="I39" i="4"/>
  <c r="N56" i="4" l="1"/>
  <c r="N66" i="4"/>
  <c r="H112" i="4" s="1"/>
  <c r="N59" i="4"/>
  <c r="H120" i="4" s="1"/>
  <c r="H158" i="4" s="1"/>
  <c r="N60" i="4"/>
  <c r="H116" i="4" s="1"/>
  <c r="H154" i="4" s="1"/>
  <c r="N62" i="4"/>
  <c r="H121" i="4" s="1"/>
  <c r="H159" i="4" s="1"/>
  <c r="N67" i="4"/>
  <c r="N63" i="4"/>
  <c r="H122" i="4" s="1"/>
  <c r="H160" i="4" s="1"/>
  <c r="N61" i="4"/>
  <c r="H118" i="4" s="1"/>
  <c r="H156" i="4" s="1"/>
  <c r="N64" i="4"/>
  <c r="H113" i="4" s="1"/>
  <c r="H151" i="4" s="1"/>
  <c r="N65" i="4"/>
  <c r="H123" i="4" s="1"/>
  <c r="H161" i="4" s="1"/>
  <c r="N58" i="4"/>
  <c r="H124" i="4" s="1"/>
  <c r="E38" i="7"/>
  <c r="E40" i="7"/>
  <c r="E44" i="7"/>
  <c r="E45" i="7"/>
  <c r="H56" i="7"/>
  <c r="H162" i="4" l="1"/>
  <c r="H150" i="4"/>
  <c r="H119" i="4"/>
  <c r="H157" i="4" s="1"/>
  <c r="N68" i="4"/>
  <c r="H59" i="7"/>
  <c r="H60" i="7"/>
  <c r="H63" i="7"/>
  <c r="H62" i="7"/>
  <c r="H65" i="7"/>
  <c r="H64" i="7"/>
  <c r="H58" i="7"/>
  <c r="H67" i="7"/>
  <c r="H61" i="7"/>
  <c r="H66" i="7"/>
  <c r="E122" i="7" s="1"/>
  <c r="E160" i="7" s="1"/>
  <c r="E116" i="7"/>
  <c r="E115" i="7" s="1"/>
  <c r="H57" i="7"/>
  <c r="E117" i="7" s="1"/>
  <c r="E155" i="7" s="1"/>
  <c r="E113" i="7" l="1"/>
  <c r="E151" i="7" s="1"/>
  <c r="H127" i="4"/>
  <c r="H126" i="4"/>
  <c r="H164" i="4"/>
  <c r="E154" i="7"/>
  <c r="E153" i="7"/>
  <c r="E118" i="7"/>
  <c r="E156" i="7" s="1"/>
  <c r="E112" i="7"/>
  <c r="E150" i="7" s="1"/>
  <c r="E124" i="7"/>
  <c r="E162" i="7" s="1"/>
  <c r="E120" i="7"/>
  <c r="E158" i="7" s="1"/>
  <c r="E121" i="7"/>
  <c r="E159" i="7" s="1"/>
  <c r="E119" i="7"/>
  <c r="E157" i="7" s="1"/>
  <c r="E123" i="7"/>
  <c r="E161" i="7" s="1"/>
  <c r="H128" i="4" l="1"/>
  <c r="E164" i="7"/>
  <c r="E126" i="7"/>
  <c r="E127" i="7"/>
  <c r="I140" i="4" l="1"/>
  <c r="I37" i="4" s="1"/>
  <c r="I138" i="4"/>
  <c r="I38" i="4" s="1"/>
  <c r="I141" i="4"/>
  <c r="I40" i="4" s="1"/>
  <c r="E128" i="7"/>
  <c r="F141" i="7" s="1"/>
  <c r="F46" i="7" s="1"/>
  <c r="F43" i="7"/>
  <c r="J41" i="4"/>
  <c r="P57" i="4" l="1"/>
  <c r="I117" i="4" s="1"/>
  <c r="I155" i="4" s="1"/>
  <c r="P56" i="4"/>
  <c r="P65" i="4"/>
  <c r="I123" i="4" s="1"/>
  <c r="I161" i="4" s="1"/>
  <c r="P63" i="4"/>
  <c r="I122" i="4" s="1"/>
  <c r="I160" i="4" s="1"/>
  <c r="P66" i="4"/>
  <c r="I112" i="4" s="1"/>
  <c r="P64" i="4"/>
  <c r="I113" i="4" s="1"/>
  <c r="I151" i="4" s="1"/>
  <c r="P61" i="4"/>
  <c r="I118" i="4" s="1"/>
  <c r="I156" i="4" s="1"/>
  <c r="P60" i="4"/>
  <c r="I116" i="4" s="1"/>
  <c r="I154" i="4" s="1"/>
  <c r="P59" i="4"/>
  <c r="I120" i="4" s="1"/>
  <c r="I158" i="4" s="1"/>
  <c r="P67" i="4"/>
  <c r="P62" i="4"/>
  <c r="I121" i="4" s="1"/>
  <c r="I159" i="4" s="1"/>
  <c r="P58" i="4"/>
  <c r="I124" i="4" s="1"/>
  <c r="F140" i="7"/>
  <c r="F40" i="7" s="1"/>
  <c r="F138" i="7"/>
  <c r="F37" i="7" s="1"/>
  <c r="J56" i="7" s="1"/>
  <c r="F38" i="7"/>
  <c r="F44" i="7"/>
  <c r="F45" i="7"/>
  <c r="I150" i="4" l="1"/>
  <c r="I162" i="4"/>
  <c r="I119" i="4"/>
  <c r="I157" i="4" s="1"/>
  <c r="P68" i="4"/>
  <c r="F39" i="7"/>
  <c r="J60" i="7" s="1"/>
  <c r="J57" i="7"/>
  <c r="J39" i="4"/>
  <c r="J66" i="7" l="1"/>
  <c r="F122" i="7" s="1"/>
  <c r="F160" i="7" s="1"/>
  <c r="J62" i="7"/>
  <c r="I127" i="4"/>
  <c r="J61" i="7"/>
  <c r="J67" i="7"/>
  <c r="J58" i="7"/>
  <c r="F116" i="7" s="1"/>
  <c r="F115" i="7" s="1"/>
  <c r="F153" i="7" s="1"/>
  <c r="J63" i="7"/>
  <c r="J59" i="7"/>
  <c r="F112" i="7" s="1"/>
  <c r="J64" i="7"/>
  <c r="I126" i="4"/>
  <c r="I164" i="4"/>
  <c r="F124" i="7"/>
  <c r="F162" i="7" s="1"/>
  <c r="J65" i="7"/>
  <c r="F123" i="7" s="1"/>
  <c r="F161" i="7" s="1"/>
  <c r="F154" i="7"/>
  <c r="F121" i="7"/>
  <c r="F159" i="7" s="1"/>
  <c r="F113" i="7"/>
  <c r="F151" i="7" s="1"/>
  <c r="F117" i="7"/>
  <c r="F155" i="7" s="1"/>
  <c r="F119" i="7"/>
  <c r="F157" i="7" s="1"/>
  <c r="F150" i="7"/>
  <c r="F118" i="7" l="1"/>
  <c r="F156" i="7" s="1"/>
  <c r="F120" i="7"/>
  <c r="F158" i="7" s="1"/>
  <c r="I128" i="4"/>
  <c r="F164" i="7"/>
  <c r="F127" i="7" l="1"/>
  <c r="F126" i="7"/>
  <c r="J140" i="4"/>
  <c r="J37" i="4" s="1"/>
  <c r="J141" i="4"/>
  <c r="J40" i="4" s="1"/>
  <c r="J138" i="4"/>
  <c r="J38" i="4" s="1"/>
  <c r="F128" i="7"/>
  <c r="G141" i="7" s="1"/>
  <c r="G46" i="7" s="1"/>
  <c r="G43" i="7"/>
  <c r="K41" i="4"/>
  <c r="R57" i="4" l="1"/>
  <c r="J117" i="4" s="1"/>
  <c r="J155" i="4" s="1"/>
  <c r="R56" i="4"/>
  <c r="R60" i="4"/>
  <c r="J116" i="4" s="1"/>
  <c r="J154" i="4" s="1"/>
  <c r="R66" i="4"/>
  <c r="J112" i="4" s="1"/>
  <c r="R64" i="4"/>
  <c r="J113" i="4" s="1"/>
  <c r="J151" i="4" s="1"/>
  <c r="R63" i="4"/>
  <c r="J122" i="4" s="1"/>
  <c r="J160" i="4" s="1"/>
  <c r="R65" i="4"/>
  <c r="J123" i="4" s="1"/>
  <c r="J161" i="4" s="1"/>
  <c r="R59" i="4"/>
  <c r="J120" i="4" s="1"/>
  <c r="J158" i="4" s="1"/>
  <c r="R62" i="4"/>
  <c r="J121" i="4" s="1"/>
  <c r="J159" i="4" s="1"/>
  <c r="R61" i="4"/>
  <c r="J118" i="4" s="1"/>
  <c r="J156" i="4" s="1"/>
  <c r="R58" i="4"/>
  <c r="J124" i="4" s="1"/>
  <c r="R67" i="4"/>
  <c r="G138" i="7"/>
  <c r="G37" i="7" s="1"/>
  <c r="L56" i="7" s="1"/>
  <c r="G140" i="7"/>
  <c r="G40" i="7" s="1"/>
  <c r="G44" i="7"/>
  <c r="G45" i="7"/>
  <c r="G38" i="7"/>
  <c r="G39" i="7"/>
  <c r="J150" i="4" l="1"/>
  <c r="J162" i="4"/>
  <c r="J119" i="4"/>
  <c r="J157" i="4" s="1"/>
  <c r="R68" i="4"/>
  <c r="L58" i="7"/>
  <c r="L61" i="7"/>
  <c r="L62" i="7"/>
  <c r="G113" i="7" s="1"/>
  <c r="G151" i="7" s="1"/>
  <c r="L66" i="7"/>
  <c r="G122" i="7" s="1"/>
  <c r="G160" i="7" s="1"/>
  <c r="L63" i="7"/>
  <c r="L59" i="7"/>
  <c r="L65" i="7"/>
  <c r="G123" i="7" s="1"/>
  <c r="G161" i="7" s="1"/>
  <c r="L60" i="7"/>
  <c r="L64" i="7"/>
  <c r="L67" i="7"/>
  <c r="L57" i="7"/>
  <c r="K39" i="4"/>
  <c r="G121" i="7" l="1"/>
  <c r="G159" i="7" s="1"/>
  <c r="J164" i="4"/>
  <c r="G118" i="7"/>
  <c r="G156" i="7" s="1"/>
  <c r="J127" i="4"/>
  <c r="J126" i="4"/>
  <c r="G124" i="7"/>
  <c r="G162" i="7" s="1"/>
  <c r="G112" i="7"/>
  <c r="G150" i="7" s="1"/>
  <c r="G116" i="7"/>
  <c r="G115" i="7" s="1"/>
  <c r="G119" i="7"/>
  <c r="G157" i="7" s="1"/>
  <c r="G120" i="7"/>
  <c r="G158" i="7" s="1"/>
  <c r="G117" i="7"/>
  <c r="G155" i="7" s="1"/>
  <c r="J128" i="4" l="1"/>
  <c r="K140" i="4" s="1"/>
  <c r="K37" i="4" s="1"/>
  <c r="K138" i="4"/>
  <c r="K38" i="4" s="1"/>
  <c r="K141" i="4"/>
  <c r="K40" i="4" s="1"/>
  <c r="G154" i="7"/>
  <c r="G153" i="7"/>
  <c r="G164" i="7" s="1"/>
  <c r="G127" i="7"/>
  <c r="L41" i="4"/>
  <c r="T57" i="4" l="1"/>
  <c r="K117" i="4" s="1"/>
  <c r="K155" i="4" s="1"/>
  <c r="T56" i="4"/>
  <c r="T65" i="4"/>
  <c r="K123" i="4" s="1"/>
  <c r="K161" i="4" s="1"/>
  <c r="T59" i="4"/>
  <c r="T64" i="4"/>
  <c r="K113" i="4" s="1"/>
  <c r="K151" i="4" s="1"/>
  <c r="T58" i="4"/>
  <c r="T63" i="4"/>
  <c r="K122" i="4" s="1"/>
  <c r="K160" i="4" s="1"/>
  <c r="T66" i="4"/>
  <c r="K112" i="4" s="1"/>
  <c r="K150" i="4" s="1"/>
  <c r="T60" i="4"/>
  <c r="K116" i="4" s="1"/>
  <c r="K154" i="4" s="1"/>
  <c r="T61" i="4"/>
  <c r="K118" i="4" s="1"/>
  <c r="K156" i="4" s="1"/>
  <c r="T67" i="4"/>
  <c r="T62" i="4"/>
  <c r="K121" i="4" s="1"/>
  <c r="K159" i="4" s="1"/>
  <c r="G126" i="7"/>
  <c r="G128" i="7" s="1"/>
  <c r="H46" i="7"/>
  <c r="H43" i="7"/>
  <c r="H42" i="7"/>
  <c r="K120" i="4" l="1"/>
  <c r="K158" i="4" s="1"/>
  <c r="K124" i="4"/>
  <c r="K119" i="4"/>
  <c r="T68" i="4"/>
  <c r="H141" i="7"/>
  <c r="H138" i="7"/>
  <c r="H37" i="7" s="1"/>
  <c r="N56" i="7" s="1"/>
  <c r="H140" i="7"/>
  <c r="H40" i="7" s="1"/>
  <c r="H38" i="7"/>
  <c r="H39" i="7"/>
  <c r="H44" i="7" l="1"/>
  <c r="H45" i="7"/>
  <c r="K157" i="4"/>
  <c r="K126" i="4"/>
  <c r="H117" i="7"/>
  <c r="H155" i="7" s="1"/>
  <c r="K162" i="4"/>
  <c r="K127" i="4"/>
  <c r="K128" i="4" s="1"/>
  <c r="N60" i="7"/>
  <c r="N57" i="7"/>
  <c r="N65" i="7"/>
  <c r="H123" i="7" s="1"/>
  <c r="H161" i="7" s="1"/>
  <c r="N67" i="7"/>
  <c r="N61" i="7"/>
  <c r="N63" i="7"/>
  <c r="N62" i="7"/>
  <c r="N64" i="7"/>
  <c r="H118" i="7" s="1"/>
  <c r="H156" i="7" s="1"/>
  <c r="N59" i="7"/>
  <c r="H112" i="7" s="1"/>
  <c r="H150" i="7" s="1"/>
  <c r="N58" i="7"/>
  <c r="L39" i="4"/>
  <c r="H120" i="7"/>
  <c r="H158" i="7" s="1"/>
  <c r="N66" i="7" l="1"/>
  <c r="H122" i="7" s="1"/>
  <c r="H160" i="7" s="1"/>
  <c r="H121" i="7"/>
  <c r="H159" i="7" s="1"/>
  <c r="H124" i="7"/>
  <c r="H162" i="7" s="1"/>
  <c r="H113" i="7"/>
  <c r="H151" i="7" s="1"/>
  <c r="L140" i="4"/>
  <c r="L37" i="4" s="1"/>
  <c r="V56" i="4" s="1"/>
  <c r="L119" i="4" s="1"/>
  <c r="L157" i="4" s="1"/>
  <c r="L141" i="4"/>
  <c r="L40" i="4" s="1"/>
  <c r="V64" i="4" s="1"/>
  <c r="L113" i="4" s="1"/>
  <c r="L151" i="4" s="1"/>
  <c r="L138" i="4"/>
  <c r="L38" i="4" s="1"/>
  <c r="V57" i="4" s="1"/>
  <c r="K164" i="4"/>
  <c r="H116" i="7"/>
  <c r="H115" i="7" s="1"/>
  <c r="H119" i="7"/>
  <c r="H157" i="7" s="1"/>
  <c r="L117" i="4"/>
  <c r="L155" i="4" s="1"/>
  <c r="V60" i="4" l="1"/>
  <c r="L116" i="4" s="1"/>
  <c r="V62" i="4"/>
  <c r="L121" i="4" s="1"/>
  <c r="L159" i="4" s="1"/>
  <c r="V63" i="4"/>
  <c r="L122" i="4" s="1"/>
  <c r="L160" i="4" s="1"/>
  <c r="V67" i="4"/>
  <c r="V58" i="4"/>
  <c r="L124" i="4" s="1"/>
  <c r="L162" i="4" s="1"/>
  <c r="V66" i="4"/>
  <c r="L112" i="4" s="1"/>
  <c r="L150" i="4" s="1"/>
  <c r="V59" i="4"/>
  <c r="L120" i="4" s="1"/>
  <c r="L158" i="4" s="1"/>
  <c r="V65" i="4"/>
  <c r="L123" i="4" s="1"/>
  <c r="L161" i="4" s="1"/>
  <c r="V61" i="4"/>
  <c r="L118" i="4" s="1"/>
  <c r="L156" i="4" s="1"/>
  <c r="H154" i="7"/>
  <c r="H153" i="7"/>
  <c r="H164" i="7" s="1"/>
  <c r="H126" i="7"/>
  <c r="H127" i="7"/>
  <c r="L154" i="4"/>
  <c r="L126" i="4"/>
  <c r="M40" i="4"/>
  <c r="M41" i="4"/>
  <c r="L127" i="4" l="1"/>
  <c r="V68" i="4"/>
  <c r="L164" i="4"/>
  <c r="H128" i="7"/>
  <c r="I141" i="7" s="1"/>
  <c r="I46" i="7" s="1"/>
  <c r="I45" i="7"/>
  <c r="I42" i="7"/>
  <c r="L128" i="4"/>
  <c r="M140" i="4" s="1"/>
  <c r="I138" i="7" l="1"/>
  <c r="I37" i="7" s="1"/>
  <c r="P56" i="7" s="1"/>
  <c r="I44" i="7"/>
  <c r="I140" i="7"/>
  <c r="I40" i="7" s="1"/>
  <c r="I38" i="7"/>
  <c r="I39" i="7"/>
  <c r="M141" i="4"/>
  <c r="M39" i="4" s="1"/>
  <c r="M138" i="4"/>
  <c r="M38" i="4" s="1"/>
  <c r="M37" i="4"/>
  <c r="I117" i="7" l="1"/>
  <c r="I155" i="7" s="1"/>
  <c r="P57" i="7"/>
  <c r="P64" i="7"/>
  <c r="I120" i="7" s="1"/>
  <c r="I158" i="7" s="1"/>
  <c r="P62" i="7"/>
  <c r="P66" i="7"/>
  <c r="I122" i="7" s="1"/>
  <c r="I160" i="7" s="1"/>
  <c r="P63" i="7"/>
  <c r="P65" i="7"/>
  <c r="P61" i="7"/>
  <c r="I121" i="7" s="1"/>
  <c r="I159" i="7" s="1"/>
  <c r="P67" i="7"/>
  <c r="P59" i="7"/>
  <c r="P58" i="7"/>
  <c r="P60" i="7"/>
  <c r="X57" i="4"/>
  <c r="M117" i="4" s="1"/>
  <c r="M155" i="4" s="1"/>
  <c r="X56" i="4"/>
  <c r="M119" i="4" s="1"/>
  <c r="M157" i="4" s="1"/>
  <c r="X60" i="4"/>
  <c r="X59" i="4"/>
  <c r="M124" i="4" s="1"/>
  <c r="M162" i="4" s="1"/>
  <c r="X66" i="4"/>
  <c r="M112" i="4" s="1"/>
  <c r="M150" i="4" s="1"/>
  <c r="X61" i="4"/>
  <c r="X62" i="4"/>
  <c r="M121" i="4" s="1"/>
  <c r="M159" i="4" s="1"/>
  <c r="X58" i="4"/>
  <c r="M120" i="4" s="1"/>
  <c r="M158" i="4" s="1"/>
  <c r="X67" i="4"/>
  <c r="X64" i="4"/>
  <c r="M113" i="4" s="1"/>
  <c r="M151" i="4" s="1"/>
  <c r="X65" i="4"/>
  <c r="M123" i="4" s="1"/>
  <c r="M161" i="4" s="1"/>
  <c r="X63" i="4"/>
  <c r="M122" i="4" s="1"/>
  <c r="M160" i="4" s="1"/>
  <c r="N40" i="4"/>
  <c r="N41" i="4"/>
  <c r="I113" i="7" l="1"/>
  <c r="I151" i="7" s="1"/>
  <c r="I123" i="7"/>
  <c r="I161" i="7" s="1"/>
  <c r="I118" i="7"/>
  <c r="I156" i="7" s="1"/>
  <c r="I116" i="7"/>
  <c r="I124" i="7"/>
  <c r="I162" i="7" s="1"/>
  <c r="I112" i="7"/>
  <c r="I150" i="7" s="1"/>
  <c r="I119" i="7"/>
  <c r="I157" i="7" s="1"/>
  <c r="M118" i="4"/>
  <c r="M156" i="4" s="1"/>
  <c r="M116" i="4"/>
  <c r="M154" i="4" s="1"/>
  <c r="X68" i="4"/>
  <c r="I115" i="7" l="1"/>
  <c r="I153" i="7" s="1"/>
  <c r="I164" i="7"/>
  <c r="I154" i="7"/>
  <c r="I126" i="7"/>
  <c r="I127" i="7"/>
  <c r="I128" i="7" s="1"/>
  <c r="J141" i="7" s="1"/>
  <c r="J46" i="7" s="1"/>
  <c r="M127" i="4"/>
  <c r="M164" i="4"/>
  <c r="M126" i="4"/>
  <c r="J44" i="7" l="1"/>
  <c r="J45" i="7"/>
  <c r="M128" i="4"/>
  <c r="N140" i="4" s="1"/>
  <c r="N141" i="4"/>
  <c r="N39" i="4" s="1"/>
  <c r="N138" i="4"/>
  <c r="N38" i="4" s="1"/>
  <c r="J140" i="7"/>
  <c r="J40" i="7" s="1"/>
  <c r="J42" i="7"/>
  <c r="J138" i="7"/>
  <c r="J37" i="7" s="1"/>
  <c r="R56" i="7" s="1"/>
  <c r="J117" i="7" s="1"/>
  <c r="J155" i="7" s="1"/>
  <c r="N37" i="4"/>
  <c r="Z56" i="4" s="1"/>
  <c r="N119" i="4" s="1"/>
  <c r="N157" i="4" s="1"/>
  <c r="J38" i="7" l="1"/>
  <c r="J39" i="7"/>
  <c r="Z63" i="4"/>
  <c r="N122" i="4" s="1"/>
  <c r="N160" i="4" s="1"/>
  <c r="Z67" i="4"/>
  <c r="Z62" i="4"/>
  <c r="Z65" i="4"/>
  <c r="N123" i="4" s="1"/>
  <c r="N161" i="4" s="1"/>
  <c r="Z57" i="4"/>
  <c r="N117" i="4" s="1"/>
  <c r="N155" i="4" s="1"/>
  <c r="Z61" i="4"/>
  <c r="Z60" i="4"/>
  <c r="N118" i="4" s="1"/>
  <c r="N156" i="4" s="1"/>
  <c r="Z66" i="4"/>
  <c r="N112" i="4" s="1"/>
  <c r="N150" i="4" s="1"/>
  <c r="Z64" i="4"/>
  <c r="N113" i="4" s="1"/>
  <c r="N151" i="4" s="1"/>
  <c r="Z58" i="4"/>
  <c r="N120" i="4" s="1"/>
  <c r="N158" i="4" s="1"/>
  <c r="Z59" i="4"/>
  <c r="N124" i="4" s="1"/>
  <c r="N162" i="4" s="1"/>
  <c r="R64" i="7" l="1"/>
  <c r="R63" i="7"/>
  <c r="R62" i="7"/>
  <c r="J113" i="7" s="1"/>
  <c r="J151" i="7" s="1"/>
  <c r="R67" i="7"/>
  <c r="R66" i="7"/>
  <c r="J122" i="7" s="1"/>
  <c r="J160" i="7" s="1"/>
  <c r="R61" i="7"/>
  <c r="R65" i="7"/>
  <c r="J123" i="7" s="1"/>
  <c r="J161" i="7" s="1"/>
  <c r="R59" i="7"/>
  <c r="J120" i="7"/>
  <c r="J158" i="7" s="1"/>
  <c r="R60" i="7"/>
  <c r="R57" i="7"/>
  <c r="R58" i="7"/>
  <c r="J121" i="7"/>
  <c r="J159" i="7" s="1"/>
  <c r="N116" i="4"/>
  <c r="N154" i="4" s="1"/>
  <c r="N121" i="4"/>
  <c r="N159" i="4" s="1"/>
  <c r="N164" i="4" s="1"/>
  <c r="Z68" i="4"/>
  <c r="N127" i="4"/>
  <c r="O41" i="4"/>
  <c r="O40" i="4"/>
  <c r="J69" i="7" l="1"/>
  <c r="J116" i="7"/>
  <c r="J118" i="7"/>
  <c r="J156" i="7" s="1"/>
  <c r="O69" i="7"/>
  <c r="J112" i="7"/>
  <c r="J150" i="7" s="1"/>
  <c r="J124" i="7"/>
  <c r="J162" i="7" s="1"/>
  <c r="J119" i="7"/>
  <c r="J157" i="7" s="1"/>
  <c r="N126" i="4"/>
  <c r="N128" i="4" s="1"/>
  <c r="O140" i="4" s="1"/>
  <c r="K42" i="7"/>
  <c r="J154" i="7" l="1"/>
  <c r="J115" i="7"/>
  <c r="J153" i="7" s="1"/>
  <c r="J164" i="7" s="1"/>
  <c r="J126" i="7"/>
  <c r="J127" i="7"/>
  <c r="O141" i="4"/>
  <c r="O138" i="4"/>
  <c r="O38" i="4"/>
  <c r="O39" i="4"/>
  <c r="O37" i="4"/>
  <c r="J128" i="7" l="1"/>
  <c r="K141" i="7" s="1"/>
  <c r="K46" i="7" s="1"/>
  <c r="K44" i="7"/>
  <c r="K45" i="7"/>
  <c r="K138" i="7"/>
  <c r="K37" i="7" s="1"/>
  <c r="T56" i="7" s="1"/>
  <c r="K117" i="7" s="1"/>
  <c r="K155" i="7" s="1"/>
  <c r="K140" i="7"/>
  <c r="K40" i="7" s="1"/>
  <c r="AB56" i="4"/>
  <c r="O119" i="4" s="1"/>
  <c r="O157" i="4" s="1"/>
  <c r="AB60" i="4"/>
  <c r="AB59" i="4"/>
  <c r="O124" i="4" s="1"/>
  <c r="O162" i="4" s="1"/>
  <c r="AB61" i="4"/>
  <c r="AB65" i="4"/>
  <c r="O123" i="4" s="1"/>
  <c r="O161" i="4" s="1"/>
  <c r="AB63" i="4"/>
  <c r="AB67" i="4"/>
  <c r="AB66" i="4"/>
  <c r="O112" i="4" s="1"/>
  <c r="O150" i="4" s="1"/>
  <c r="AB64" i="4"/>
  <c r="AB57" i="4"/>
  <c r="O117" i="4" s="1"/>
  <c r="O155" i="4" s="1"/>
  <c r="AB62" i="4"/>
  <c r="AB58" i="4"/>
  <c r="K38" i="7" l="1"/>
  <c r="T57" i="7" s="1"/>
  <c r="K39" i="7"/>
  <c r="L41" i="7"/>
  <c r="O122" i="4"/>
  <c r="O160" i="4" s="1"/>
  <c r="AB68" i="4"/>
  <c r="O118" i="4"/>
  <c r="O156" i="4" s="1"/>
  <c r="O116" i="4"/>
  <c r="O154" i="4" s="1"/>
  <c r="O120" i="4"/>
  <c r="O158" i="4" s="1"/>
  <c r="O121" i="4"/>
  <c r="O159" i="4" s="1"/>
  <c r="O113" i="4"/>
  <c r="T64" i="7" l="1"/>
  <c r="T62" i="7"/>
  <c r="T65" i="7"/>
  <c r="T63" i="7"/>
  <c r="K120" i="7" s="1"/>
  <c r="K158" i="7" s="1"/>
  <c r="T67" i="7"/>
  <c r="T66" i="7"/>
  <c r="K122" i="7" s="1"/>
  <c r="K160" i="7" s="1"/>
  <c r="T61" i="7"/>
  <c r="K121" i="7" s="1"/>
  <c r="K159" i="7" s="1"/>
  <c r="K113" i="7"/>
  <c r="K151" i="7" s="1"/>
  <c r="K118" i="7"/>
  <c r="K156" i="7" s="1"/>
  <c r="T58" i="7"/>
  <c r="K119" i="7" s="1"/>
  <c r="K157" i="7" s="1"/>
  <c r="T60" i="7"/>
  <c r="K124" i="7" s="1"/>
  <c r="K162" i="7" s="1"/>
  <c r="T59" i="7"/>
  <c r="K116" i="7" s="1"/>
  <c r="K115" i="7" s="1"/>
  <c r="O127" i="4"/>
  <c r="O151" i="4"/>
  <c r="O164" i="4" s="1"/>
  <c r="O126" i="4"/>
  <c r="K123" i="7" l="1"/>
  <c r="K161" i="7" s="1"/>
  <c r="K154" i="7"/>
  <c r="K153" i="7"/>
  <c r="K112" i="7"/>
  <c r="K150" i="7" s="1"/>
  <c r="K164" i="7" s="1"/>
  <c r="K127" i="7"/>
  <c r="O128" i="4"/>
  <c r="P140" i="4" s="1"/>
  <c r="P40" i="4"/>
  <c r="K126" i="7" l="1"/>
  <c r="K128" i="7" s="1"/>
  <c r="L140" i="7" s="1"/>
  <c r="L40" i="7" s="1"/>
  <c r="P141" i="4"/>
  <c r="P138" i="4"/>
  <c r="P39" i="4"/>
  <c r="P41" i="4"/>
  <c r="P37" i="4"/>
  <c r="P38" i="4"/>
  <c r="L138" i="7" l="1"/>
  <c r="L37" i="7" s="1"/>
  <c r="V56" i="7" s="1"/>
  <c r="L117" i="7" s="1"/>
  <c r="L155" i="7" s="1"/>
  <c r="L141" i="7"/>
  <c r="L44" i="7"/>
  <c r="L45" i="7"/>
  <c r="L38" i="7"/>
  <c r="L39" i="7"/>
  <c r="L42" i="7"/>
  <c r="L43" i="7"/>
  <c r="AD61" i="4"/>
  <c r="AD60" i="4"/>
  <c r="P118" i="4" s="1"/>
  <c r="P156" i="4" s="1"/>
  <c r="AD64" i="4"/>
  <c r="P113" i="4" s="1"/>
  <c r="P151" i="4" s="1"/>
  <c r="AD59" i="4"/>
  <c r="P124" i="4" s="1"/>
  <c r="P162" i="4" s="1"/>
  <c r="AD62" i="4"/>
  <c r="AD63" i="4"/>
  <c r="P122" i="4" s="1"/>
  <c r="P160" i="4" s="1"/>
  <c r="AD58" i="4"/>
  <c r="P120" i="4" s="1"/>
  <c r="P158" i="4" s="1"/>
  <c r="AD56" i="4"/>
  <c r="AD65" i="4"/>
  <c r="P123" i="4" s="1"/>
  <c r="P161" i="4" s="1"/>
  <c r="AD67" i="4"/>
  <c r="AD66" i="4"/>
  <c r="P112" i="4" s="1"/>
  <c r="P150" i="4" s="1"/>
  <c r="AD57" i="4"/>
  <c r="P121" i="4"/>
  <c r="P159" i="4" s="1"/>
  <c r="V64" i="7" l="1"/>
  <c r="V57" i="7"/>
  <c r="V60" i="7"/>
  <c r="V58" i="7"/>
  <c r="V59" i="7"/>
  <c r="V65" i="7"/>
  <c r="V63" i="7"/>
  <c r="L113" i="7" s="1"/>
  <c r="L151" i="7" s="1"/>
  <c r="V62" i="7"/>
  <c r="L120" i="7" s="1"/>
  <c r="L158" i="7" s="1"/>
  <c r="V66" i="7"/>
  <c r="L122" i="7" s="1"/>
  <c r="L160" i="7" s="1"/>
  <c r="V67" i="7"/>
  <c r="V61" i="7"/>
  <c r="P116" i="4"/>
  <c r="P154" i="4" s="1"/>
  <c r="P117" i="4"/>
  <c r="P155" i="4" s="1"/>
  <c r="AD68" i="4"/>
  <c r="P119" i="4"/>
  <c r="P157" i="4" s="1"/>
  <c r="L112" i="7" l="1"/>
  <c r="L150" i="7" s="1"/>
  <c r="L124" i="7"/>
  <c r="L162" i="7" s="1"/>
  <c r="L123" i="7"/>
  <c r="L161" i="7" s="1"/>
  <c r="L116" i="7"/>
  <c r="L115" i="7" s="1"/>
  <c r="L121" i="7"/>
  <c r="L159" i="7" s="1"/>
  <c r="L118" i="7"/>
  <c r="L156" i="7" s="1"/>
  <c r="L119" i="7"/>
  <c r="L157" i="7" s="1"/>
  <c r="P164" i="4"/>
  <c r="P126" i="4"/>
  <c r="P127" i="4"/>
  <c r="Q41" i="4"/>
  <c r="Q40" i="4"/>
  <c r="L154" i="7" l="1"/>
  <c r="L153" i="7"/>
  <c r="L164" i="7" s="1"/>
  <c r="L126" i="7"/>
  <c r="L127" i="7"/>
  <c r="P128" i="4"/>
  <c r="Q140" i="4" s="1"/>
  <c r="L128" i="7" l="1"/>
  <c r="M140" i="7" s="1"/>
  <c r="M40" i="7" s="1"/>
  <c r="M44" i="7"/>
  <c r="M38" i="7"/>
  <c r="M41" i="7"/>
  <c r="Q141" i="4"/>
  <c r="Q138" i="4"/>
  <c r="Q39" i="4"/>
  <c r="Q37" i="4"/>
  <c r="Q38" i="4"/>
  <c r="M138" i="7" l="1"/>
  <c r="M37" i="7" s="1"/>
  <c r="X56" i="7" s="1"/>
  <c r="M117" i="7" s="1"/>
  <c r="M155" i="7" s="1"/>
  <c r="M39" i="7"/>
  <c r="M141" i="7"/>
  <c r="AF59" i="4"/>
  <c r="AF60" i="4"/>
  <c r="Q118" i="4" s="1"/>
  <c r="Q156" i="4" s="1"/>
  <c r="AF57" i="4"/>
  <c r="AF56" i="4"/>
  <c r="AF61" i="4"/>
  <c r="AF66" i="4"/>
  <c r="AF62" i="4"/>
  <c r="AF67" i="4"/>
  <c r="AF58" i="4"/>
  <c r="AF63" i="4"/>
  <c r="Q122" i="4" s="1"/>
  <c r="Q160" i="4" s="1"/>
  <c r="AF65" i="4"/>
  <c r="Q123" i="4" s="1"/>
  <c r="Q161" i="4" s="1"/>
  <c r="AF64" i="4"/>
  <c r="Q113" i="4" s="1"/>
  <c r="Q151" i="4" s="1"/>
  <c r="M42" i="7" l="1"/>
  <c r="X62" i="7" s="1"/>
  <c r="M43" i="7"/>
  <c r="X57" i="7"/>
  <c r="X58" i="7"/>
  <c r="M116" i="7" s="1"/>
  <c r="M115" i="7" s="1"/>
  <c r="X60" i="7"/>
  <c r="X59" i="7"/>
  <c r="X64" i="7"/>
  <c r="Q116" i="4"/>
  <c r="Q154" i="4" s="1"/>
  <c r="Q112" i="4"/>
  <c r="Q150" i="4" s="1"/>
  <c r="Q119" i="4"/>
  <c r="Q157" i="4" s="1"/>
  <c r="AF68" i="4"/>
  <c r="Q117" i="4"/>
  <c r="Q155" i="4" s="1"/>
  <c r="Q120" i="4"/>
  <c r="Q158" i="4" s="1"/>
  <c r="Q124" i="4"/>
  <c r="Q121" i="4"/>
  <c r="Q159" i="4" s="1"/>
  <c r="X66" i="7" l="1"/>
  <c r="M122" i="7" s="1"/>
  <c r="M160" i="7" s="1"/>
  <c r="X67" i="7"/>
  <c r="X61" i="7"/>
  <c r="M120" i="7"/>
  <c r="M158" i="7" s="1"/>
  <c r="X63" i="7"/>
  <c r="M113" i="7" s="1"/>
  <c r="M151" i="7" s="1"/>
  <c r="X65" i="7"/>
  <c r="M123" i="7" s="1"/>
  <c r="M161" i="7" s="1"/>
  <c r="M124" i="7"/>
  <c r="M162" i="7" s="1"/>
  <c r="M119" i="7"/>
  <c r="M157" i="7" s="1"/>
  <c r="M154" i="7"/>
  <c r="M153" i="7"/>
  <c r="M112" i="7"/>
  <c r="M150" i="7" s="1"/>
  <c r="Q162" i="4"/>
  <c r="Q164" i="4" s="1"/>
  <c r="Q127" i="4"/>
  <c r="Q126" i="4"/>
  <c r="M118" i="7" l="1"/>
  <c r="M156" i="7" s="1"/>
  <c r="M164" i="7" s="1"/>
  <c r="M121" i="7"/>
  <c r="M159" i="7" s="1"/>
  <c r="M126" i="7"/>
  <c r="Q128" i="4"/>
  <c r="R140" i="4" s="1"/>
  <c r="R40" i="4"/>
  <c r="R41" i="4"/>
  <c r="M127" i="7" l="1"/>
  <c r="M128" i="7" s="1"/>
  <c r="N43" i="7"/>
  <c r="N44" i="7"/>
  <c r="N41" i="7"/>
  <c r="R141" i="4"/>
  <c r="R39" i="4" s="1"/>
  <c r="R138" i="4"/>
  <c r="N141" i="7" l="1"/>
  <c r="N42" i="7" s="1"/>
  <c r="N140" i="7"/>
  <c r="N40" i="7" s="1"/>
  <c r="N138" i="7"/>
  <c r="N37" i="7" s="1"/>
  <c r="Z56" i="7" s="1"/>
  <c r="N117" i="7" s="1"/>
  <c r="N155" i="7" s="1"/>
  <c r="N38" i="7"/>
  <c r="Z57" i="7" s="1"/>
  <c r="N39" i="7"/>
  <c r="R37" i="4"/>
  <c r="R38" i="4"/>
  <c r="Z65" i="7" l="1"/>
  <c r="Z63" i="7"/>
  <c r="Z66" i="7"/>
  <c r="N122" i="7" s="1"/>
  <c r="N160" i="7" s="1"/>
  <c r="Z61" i="7"/>
  <c r="N120" i="7" s="1"/>
  <c r="N158" i="7" s="1"/>
  <c r="Z67" i="7"/>
  <c r="Z62" i="7"/>
  <c r="N124" i="7" s="1"/>
  <c r="Z64" i="7"/>
  <c r="Z60" i="7"/>
  <c r="N123" i="7" s="1"/>
  <c r="N161" i="7" s="1"/>
  <c r="Z58" i="7"/>
  <c r="N116" i="7" s="1"/>
  <c r="N115" i="7" s="1"/>
  <c r="Z59" i="7"/>
  <c r="N118" i="7"/>
  <c r="N156" i="7" s="1"/>
  <c r="AH60" i="4"/>
  <c r="R118" i="4" s="1"/>
  <c r="R156" i="4" s="1"/>
  <c r="AH57" i="4"/>
  <c r="R117" i="4" s="1"/>
  <c r="R155" i="4" s="1"/>
  <c r="AH56" i="4"/>
  <c r="AH61" i="4"/>
  <c r="R116" i="4" s="1"/>
  <c r="R154" i="4" s="1"/>
  <c r="AH63" i="4"/>
  <c r="AH62" i="4"/>
  <c r="AH65" i="4"/>
  <c r="R123" i="4" s="1"/>
  <c r="R161" i="4" s="1"/>
  <c r="AH59" i="4"/>
  <c r="R124" i="4" s="1"/>
  <c r="R162" i="4" s="1"/>
  <c r="AH58" i="4"/>
  <c r="R120" i="4" s="1"/>
  <c r="R158" i="4" s="1"/>
  <c r="AH67" i="4"/>
  <c r="AH64" i="4"/>
  <c r="AH66" i="4"/>
  <c r="N113" i="7" l="1"/>
  <c r="N151" i="7" s="1"/>
  <c r="N154" i="7"/>
  <c r="N153" i="7"/>
  <c r="N121" i="7"/>
  <c r="N159" i="7" s="1"/>
  <c r="N119" i="7"/>
  <c r="N157" i="7" s="1"/>
  <c r="N112" i="7"/>
  <c r="N150" i="7" s="1"/>
  <c r="N162" i="7"/>
  <c r="R119" i="4"/>
  <c r="R157" i="4" s="1"/>
  <c r="AH68" i="4"/>
  <c r="R122" i="4"/>
  <c r="R160" i="4" s="1"/>
  <c r="R112" i="4"/>
  <c r="R121" i="4"/>
  <c r="R159" i="4" s="1"/>
  <c r="R113" i="4"/>
  <c r="R151" i="4" s="1"/>
  <c r="S40" i="4"/>
  <c r="N164" i="7" l="1"/>
  <c r="N126" i="7"/>
  <c r="N127" i="7"/>
  <c r="R150" i="4"/>
  <c r="R164" i="4" s="1"/>
  <c r="R126" i="4"/>
  <c r="R127" i="4"/>
  <c r="N128" i="7" l="1"/>
  <c r="O141" i="7" s="1"/>
  <c r="O42" i="7" s="1"/>
  <c r="O43" i="7"/>
  <c r="O44" i="7"/>
  <c r="O38" i="7"/>
  <c r="O41" i="7"/>
  <c r="R128" i="4"/>
  <c r="S140" i="4" s="1"/>
  <c r="O140" i="7" l="1"/>
  <c r="O40" i="7" s="1"/>
  <c r="O138" i="7"/>
  <c r="O37" i="7" s="1"/>
  <c r="AB56" i="7" s="1"/>
  <c r="O117" i="7" s="1"/>
  <c r="O155" i="7" s="1"/>
  <c r="O39" i="7"/>
  <c r="S141" i="4"/>
  <c r="S138" i="4"/>
  <c r="S39" i="4"/>
  <c r="S38" i="4"/>
  <c r="AB57" i="7" l="1"/>
  <c r="AB67" i="7"/>
  <c r="AB65" i="7"/>
  <c r="AB61" i="7"/>
  <c r="AB66" i="7"/>
  <c r="O122" i="7" s="1"/>
  <c r="O160" i="7" s="1"/>
  <c r="AB62" i="7"/>
  <c r="AB60" i="7"/>
  <c r="O123" i="7" s="1"/>
  <c r="O161" i="7" s="1"/>
  <c r="AB59" i="7"/>
  <c r="AB63" i="7"/>
  <c r="O121" i="7" s="1"/>
  <c r="O159" i="7" s="1"/>
  <c r="AB58" i="7"/>
  <c r="O119" i="7" s="1"/>
  <c r="O157" i="7" s="1"/>
  <c r="AB64" i="7"/>
  <c r="O113" i="7" s="1"/>
  <c r="O151" i="7" s="1"/>
  <c r="O116" i="7"/>
  <c r="O115" i="7" s="1"/>
  <c r="O124" i="7"/>
  <c r="O118" i="7"/>
  <c r="S41" i="4"/>
  <c r="S37" i="4"/>
  <c r="D73" i="4" s="1"/>
  <c r="O112" i="7" l="1"/>
  <c r="O150" i="7" s="1"/>
  <c r="O120" i="7"/>
  <c r="O158" i="7" s="1"/>
  <c r="O154" i="7"/>
  <c r="O153" i="7"/>
  <c r="O156" i="7"/>
  <c r="O162" i="7"/>
  <c r="D78" i="4"/>
  <c r="D84" i="4"/>
  <c r="D80" i="4"/>
  <c r="S122" i="4" s="1"/>
  <c r="S160" i="4" s="1"/>
  <c r="D83" i="4"/>
  <c r="S112" i="4" s="1"/>
  <c r="S150" i="4" s="1"/>
  <c r="D82" i="4"/>
  <c r="S123" i="4" s="1"/>
  <c r="S161" i="4" s="1"/>
  <c r="D76" i="4"/>
  <c r="S124" i="4" s="1"/>
  <c r="S162" i="4" s="1"/>
  <c r="D77" i="4"/>
  <c r="S118" i="4" s="1"/>
  <c r="S156" i="4" s="1"/>
  <c r="D75" i="4"/>
  <c r="D79" i="4"/>
  <c r="S121" i="4" s="1"/>
  <c r="S159" i="4" s="1"/>
  <c r="D81" i="4"/>
  <c r="S113" i="4" s="1"/>
  <c r="S151" i="4" s="1"/>
  <c r="D74" i="4"/>
  <c r="S119" i="4" s="1"/>
  <c r="S157" i="4" s="1"/>
  <c r="T40" i="4"/>
  <c r="O164" i="7" l="1"/>
  <c r="O127" i="7"/>
  <c r="O126" i="7"/>
  <c r="S116" i="4"/>
  <c r="S154" i="4" s="1"/>
  <c r="S117" i="4"/>
  <c r="S155" i="4" s="1"/>
  <c r="S120" i="4"/>
  <c r="S158" i="4" s="1"/>
  <c r="O128" i="7" l="1"/>
  <c r="P141" i="7" s="1"/>
  <c r="P43" i="7"/>
  <c r="P44" i="7"/>
  <c r="P38" i="7"/>
  <c r="P41" i="7"/>
  <c r="P42" i="7"/>
  <c r="S164" i="4"/>
  <c r="S126" i="4"/>
  <c r="S127" i="4"/>
  <c r="T41" i="4"/>
  <c r="P140" i="7" l="1"/>
  <c r="P40" i="7" s="1"/>
  <c r="P138" i="7"/>
  <c r="P37" i="7" s="1"/>
  <c r="AD56" i="7" s="1"/>
  <c r="P117" i="7" s="1"/>
  <c r="P155" i="7" s="1"/>
  <c r="S128" i="4"/>
  <c r="T138" i="4" s="1"/>
  <c r="P39" i="7" l="1"/>
  <c r="AD59" i="7" s="1"/>
  <c r="P112" i="7" s="1"/>
  <c r="P150" i="7" s="1"/>
  <c r="AD57" i="7"/>
  <c r="P116" i="7" s="1"/>
  <c r="P115" i="7" s="1"/>
  <c r="AD64" i="7"/>
  <c r="P113" i="7" s="1"/>
  <c r="P151" i="7" s="1"/>
  <c r="T38" i="4"/>
  <c r="T141" i="4"/>
  <c r="T39" i="4" s="1"/>
  <c r="T140" i="4"/>
  <c r="T37" i="4" s="1"/>
  <c r="U40" i="4"/>
  <c r="AD60" i="7" l="1"/>
  <c r="P123" i="7" s="1"/>
  <c r="P161" i="7" s="1"/>
  <c r="AD65" i="7"/>
  <c r="P118" i="7" s="1"/>
  <c r="P156" i="7" s="1"/>
  <c r="AD63" i="7"/>
  <c r="P121" i="7" s="1"/>
  <c r="P159" i="7" s="1"/>
  <c r="AD66" i="7"/>
  <c r="P122" i="7" s="1"/>
  <c r="P160" i="7" s="1"/>
  <c r="AD61" i="7"/>
  <c r="P120" i="7" s="1"/>
  <c r="P158" i="7" s="1"/>
  <c r="AD58" i="7"/>
  <c r="P119" i="7" s="1"/>
  <c r="P157" i="7" s="1"/>
  <c r="AD67" i="7"/>
  <c r="AD62" i="7"/>
  <c r="P124" i="7" s="1"/>
  <c r="P162" i="7" s="1"/>
  <c r="P154" i="7"/>
  <c r="P153" i="7"/>
  <c r="F74" i="4"/>
  <c r="F79" i="4"/>
  <c r="F81" i="4"/>
  <c r="T113" i="4" s="1"/>
  <c r="T151" i="4" s="1"/>
  <c r="F83" i="4"/>
  <c r="T112" i="4" s="1"/>
  <c r="T150" i="4" s="1"/>
  <c r="F77" i="4"/>
  <c r="T118" i="4" s="1"/>
  <c r="T156" i="4" s="1"/>
  <c r="F80" i="4"/>
  <c r="F78" i="4"/>
  <c r="F84" i="4"/>
  <c r="F82" i="4"/>
  <c r="T123" i="4" s="1"/>
  <c r="T161" i="4" s="1"/>
  <c r="F73" i="4"/>
  <c r="T119" i="4" s="1"/>
  <c r="T157" i="4" s="1"/>
  <c r="F75" i="4"/>
  <c r="T120" i="4" s="1"/>
  <c r="T158" i="4" s="1"/>
  <c r="F76" i="4"/>
  <c r="T124" i="4" s="1"/>
  <c r="T122" i="4"/>
  <c r="T160" i="4" s="1"/>
  <c r="U41" i="4"/>
  <c r="P164" i="7" l="1"/>
  <c r="P127" i="7"/>
  <c r="P126" i="7"/>
  <c r="P128" i="7" s="1"/>
  <c r="Q140" i="7" s="1"/>
  <c r="Q40" i="7" s="1"/>
  <c r="T116" i="4"/>
  <c r="T154" i="4" s="1"/>
  <c r="T117" i="4"/>
  <c r="T155" i="4" s="1"/>
  <c r="T121" i="4"/>
  <c r="T159" i="4" s="1"/>
  <c r="T162" i="4"/>
  <c r="Q138" i="7" l="1"/>
  <c r="Q37" i="7" s="1"/>
  <c r="AF56" i="7" s="1"/>
  <c r="Q117" i="7" s="1"/>
  <c r="Q155" i="7" s="1"/>
  <c r="Q141" i="7"/>
  <c r="Q43" i="7" s="1"/>
  <c r="Q44" i="7"/>
  <c r="Q38" i="7"/>
  <c r="Q39" i="7"/>
  <c r="Q41" i="7"/>
  <c r="T127" i="4"/>
  <c r="T126" i="4"/>
  <c r="T164" i="4"/>
  <c r="T128" i="4"/>
  <c r="Q42" i="7" l="1"/>
  <c r="AF64" i="7" s="1"/>
  <c r="AF57" i="7"/>
  <c r="AF60" i="7"/>
  <c r="AF58" i="7"/>
  <c r="AF59" i="7"/>
  <c r="Q112" i="7" s="1"/>
  <c r="U138" i="4"/>
  <c r="U140" i="4"/>
  <c r="U37" i="4" s="1"/>
  <c r="H73" i="4" s="1"/>
  <c r="U119" i="4" s="1"/>
  <c r="U157" i="4" s="1"/>
  <c r="U141" i="4"/>
  <c r="U38" i="4"/>
  <c r="U39" i="4"/>
  <c r="AF67" i="7" l="1"/>
  <c r="AF66" i="7"/>
  <c r="Q122" i="7" s="1"/>
  <c r="Q160" i="7" s="1"/>
  <c r="AF63" i="7"/>
  <c r="Q121" i="7" s="1"/>
  <c r="Q159" i="7" s="1"/>
  <c r="AF65" i="7"/>
  <c r="Q118" i="7" s="1"/>
  <c r="Q156" i="7" s="1"/>
  <c r="AF61" i="7"/>
  <c r="Q123" i="7" s="1"/>
  <c r="Q161" i="7" s="1"/>
  <c r="AF62" i="7"/>
  <c r="Q119" i="7"/>
  <c r="Q157" i="7" s="1"/>
  <c r="Q113" i="7"/>
  <c r="Q151" i="7" s="1"/>
  <c r="Q116" i="7"/>
  <c r="Q115" i="7" s="1"/>
  <c r="Q120" i="7"/>
  <c r="Q158" i="7" s="1"/>
  <c r="Q150" i="7"/>
  <c r="Q124" i="7"/>
  <c r="H77" i="4"/>
  <c r="U118" i="4" s="1"/>
  <c r="U156" i="4" s="1"/>
  <c r="H83" i="4"/>
  <c r="U112" i="4" s="1"/>
  <c r="U150" i="4" s="1"/>
  <c r="H79" i="4"/>
  <c r="H84" i="4"/>
  <c r="H78" i="4"/>
  <c r="U116" i="4" s="1"/>
  <c r="U154" i="4" s="1"/>
  <c r="H75" i="4"/>
  <c r="H76" i="4"/>
  <c r="U124" i="4" s="1"/>
  <c r="U162" i="4" s="1"/>
  <c r="H74" i="4"/>
  <c r="U117" i="4" s="1"/>
  <c r="U155" i="4" s="1"/>
  <c r="H82" i="4"/>
  <c r="U123" i="4" s="1"/>
  <c r="U161" i="4" s="1"/>
  <c r="H81" i="4"/>
  <c r="U113" i="4" s="1"/>
  <c r="U151" i="4" s="1"/>
  <c r="H80" i="4"/>
  <c r="U122" i="4" s="1"/>
  <c r="U160" i="4" s="1"/>
  <c r="V40" i="4"/>
  <c r="Q154" i="7" l="1"/>
  <c r="Q153" i="7"/>
  <c r="Q162" i="7"/>
  <c r="Q127" i="7"/>
  <c r="U120" i="4"/>
  <c r="U158" i="4" s="1"/>
  <c r="U121" i="4"/>
  <c r="U159" i="4" s="1"/>
  <c r="Q164" i="7" l="1"/>
  <c r="Q126" i="7"/>
  <c r="Q128" i="7" s="1"/>
  <c r="U126" i="4"/>
  <c r="U127" i="4"/>
  <c r="U164" i="4"/>
  <c r="R141" i="7" l="1"/>
  <c r="R44" i="7" s="1"/>
  <c r="R138" i="7"/>
  <c r="R37" i="7" s="1"/>
  <c r="R140" i="7"/>
  <c r="R40" i="7" s="1"/>
  <c r="U128" i="4"/>
  <c r="V138" i="4" s="1"/>
  <c r="V140" i="4"/>
  <c r="V39" i="4"/>
  <c r="V141" i="4"/>
  <c r="V41" i="4"/>
  <c r="R38" i="7" l="1"/>
  <c r="AH57" i="7" s="1"/>
  <c r="R39" i="7"/>
  <c r="R42" i="7"/>
  <c r="R43" i="7"/>
  <c r="AH56" i="7"/>
  <c r="R117" i="7" s="1"/>
  <c r="V37" i="4"/>
  <c r="V38" i="4"/>
  <c r="J74" i="4" l="1"/>
  <c r="AH58" i="7"/>
  <c r="R119" i="7" s="1"/>
  <c r="R157" i="7" s="1"/>
  <c r="AH63" i="7"/>
  <c r="AH62" i="7"/>
  <c r="R124" i="7" s="1"/>
  <c r="AH66" i="7"/>
  <c r="R122" i="7" s="1"/>
  <c r="R160" i="7" s="1"/>
  <c r="AH67" i="7"/>
  <c r="AH64" i="7"/>
  <c r="R113" i="7" s="1"/>
  <c r="R151" i="7" s="1"/>
  <c r="AH65" i="7"/>
  <c r="R118" i="7" s="1"/>
  <c r="R156" i="7" s="1"/>
  <c r="AH61" i="7"/>
  <c r="R120" i="7" s="1"/>
  <c r="R158" i="7" s="1"/>
  <c r="AH59" i="7"/>
  <c r="R116" i="7"/>
  <c r="R115" i="7" s="1"/>
  <c r="AH60" i="7"/>
  <c r="R123" i="7" s="1"/>
  <c r="R161" i="7" s="1"/>
  <c r="R155" i="7"/>
  <c r="R121" i="7"/>
  <c r="V117" i="4"/>
  <c r="V155" i="4" s="1"/>
  <c r="J77" i="4"/>
  <c r="V118" i="4" s="1"/>
  <c r="V156" i="4" s="1"/>
  <c r="J73" i="4"/>
  <c r="J76" i="4"/>
  <c r="V124" i="4" s="1"/>
  <c r="J80" i="4"/>
  <c r="J81" i="4"/>
  <c r="V113" i="4" s="1"/>
  <c r="V151" i="4" s="1"/>
  <c r="J83" i="4"/>
  <c r="J75" i="4"/>
  <c r="J82" i="4"/>
  <c r="V123" i="4" s="1"/>
  <c r="V161" i="4" s="1"/>
  <c r="J84" i="4"/>
  <c r="J78" i="4"/>
  <c r="V116" i="4" s="1"/>
  <c r="V154" i="4" s="1"/>
  <c r="J79" i="4"/>
  <c r="V121" i="4" s="1"/>
  <c r="V159" i="4" s="1"/>
  <c r="W41" i="4"/>
  <c r="W40" i="4"/>
  <c r="R154" i="7" l="1"/>
  <c r="R153" i="7"/>
  <c r="R112" i="7"/>
  <c r="R162" i="7"/>
  <c r="R127" i="7"/>
  <c r="R159" i="7"/>
  <c r="V119" i="4"/>
  <c r="V157" i="4" s="1"/>
  <c r="V120" i="4"/>
  <c r="V158" i="4" s="1"/>
  <c r="V122" i="4"/>
  <c r="V160" i="4" s="1"/>
  <c r="V112" i="4"/>
  <c r="V162" i="4"/>
  <c r="R126" i="7" l="1"/>
  <c r="R128" i="7" s="1"/>
  <c r="R150" i="7"/>
  <c r="R164" i="7" s="1"/>
  <c r="V127" i="4"/>
  <c r="V150" i="4"/>
  <c r="V164" i="4" s="1"/>
  <c r="V126" i="4"/>
  <c r="S141" i="7" l="1"/>
  <c r="S44" i="7" s="1"/>
  <c r="S138" i="7"/>
  <c r="S37" i="7" s="1"/>
  <c r="S140" i="7"/>
  <c r="S40" i="7" s="1"/>
  <c r="V128" i="4"/>
  <c r="D73" i="7" l="1"/>
  <c r="S117" i="7" s="1"/>
  <c r="S155" i="7" s="1"/>
  <c r="S38" i="7"/>
  <c r="D74" i="7" s="1"/>
  <c r="S39" i="7"/>
  <c r="S42" i="7"/>
  <c r="S43" i="7"/>
  <c r="W138" i="4"/>
  <c r="W38" i="4" s="1"/>
  <c r="W140" i="4"/>
  <c r="W37" i="4" s="1"/>
  <c r="W39" i="4"/>
  <c r="W141" i="4"/>
  <c r="D78" i="7" l="1"/>
  <c r="S120" i="7" s="1"/>
  <c r="S158" i="7" s="1"/>
  <c r="D81" i="7"/>
  <c r="S113" i="7" s="1"/>
  <c r="S151" i="7" s="1"/>
  <c r="D79" i="7"/>
  <c r="S124" i="7" s="1"/>
  <c r="S162" i="7" s="1"/>
  <c r="D82" i="7"/>
  <c r="S118" i="7" s="1"/>
  <c r="S156" i="7" s="1"/>
  <c r="D83" i="7"/>
  <c r="S122" i="7" s="1"/>
  <c r="S160" i="7" s="1"/>
  <c r="D80" i="7"/>
  <c r="D84" i="7"/>
  <c r="D75" i="7"/>
  <c r="D77" i="7"/>
  <c r="S123" i="7" s="1"/>
  <c r="S161" i="7" s="1"/>
  <c r="D76" i="7"/>
  <c r="S112" i="7" s="1"/>
  <c r="S150" i="7" s="1"/>
  <c r="L77" i="4"/>
  <c r="L74" i="4"/>
  <c r="W117" i="4" s="1"/>
  <c r="W155" i="4" s="1"/>
  <c r="L73" i="4"/>
  <c r="W119" i="4" s="1"/>
  <c r="W157" i="4" s="1"/>
  <c r="L78" i="4"/>
  <c r="L80" i="4"/>
  <c r="L84" i="4"/>
  <c r="L76" i="4"/>
  <c r="W124" i="4" s="1"/>
  <c r="L79" i="4"/>
  <c r="L81" i="4"/>
  <c r="W113" i="4" s="1"/>
  <c r="W151" i="4" s="1"/>
  <c r="L82" i="4"/>
  <c r="L75" i="4"/>
  <c r="W120" i="4" s="1"/>
  <c r="W158" i="4" s="1"/>
  <c r="L83" i="4"/>
  <c r="X40" i="4"/>
  <c r="X41" i="4"/>
  <c r="S121" i="7" l="1"/>
  <c r="S159" i="7" s="1"/>
  <c r="S119" i="7"/>
  <c r="S157" i="7" s="1"/>
  <c r="S116" i="7"/>
  <c r="S115" i="7" s="1"/>
  <c r="W116" i="4"/>
  <c r="W154" i="4" s="1"/>
  <c r="W121" i="4"/>
  <c r="W159" i="4" s="1"/>
  <c r="W123" i="4"/>
  <c r="W161" i="4" s="1"/>
  <c r="W118" i="4"/>
  <c r="W156" i="4" s="1"/>
  <c r="W162" i="4"/>
  <c r="W122" i="4"/>
  <c r="W160" i="4" s="1"/>
  <c r="W112" i="4"/>
  <c r="S154" i="7" l="1"/>
  <c r="S153" i="7"/>
  <c r="S164" i="7" s="1"/>
  <c r="S127" i="7"/>
  <c r="W150" i="4"/>
  <c r="W164" i="4" s="1"/>
  <c r="W126" i="4"/>
  <c r="W127" i="4"/>
  <c r="S126" i="7" l="1"/>
  <c r="S128" i="7" s="1"/>
  <c r="T138" i="7" s="1"/>
  <c r="T37" i="7" s="1"/>
  <c r="W128" i="4"/>
  <c r="X140" i="4" s="1"/>
  <c r="T141" i="7" l="1"/>
  <c r="T44" i="7" s="1"/>
  <c r="T140" i="7"/>
  <c r="T40" i="7" s="1"/>
  <c r="T43" i="7"/>
  <c r="T38" i="7"/>
  <c r="F74" i="7" s="1"/>
  <c r="T39" i="7"/>
  <c r="F73" i="7"/>
  <c r="T117" i="7" s="1"/>
  <c r="T155" i="7" s="1"/>
  <c r="X141" i="4"/>
  <c r="X39" i="4" s="1"/>
  <c r="X138" i="4"/>
  <c r="X38" i="4" s="1"/>
  <c r="X37" i="4"/>
  <c r="Y40" i="4"/>
  <c r="Y41" i="4"/>
  <c r="T42" i="7" l="1"/>
  <c r="F78" i="7" s="1"/>
  <c r="T120" i="7" s="1"/>
  <c r="T158" i="7" s="1"/>
  <c r="F77" i="7"/>
  <c r="T123" i="7" s="1"/>
  <c r="T161" i="7" s="1"/>
  <c r="F75" i="7"/>
  <c r="T119" i="7" s="1"/>
  <c r="T157" i="7" s="1"/>
  <c r="T116" i="7"/>
  <c r="T115" i="7" s="1"/>
  <c r="F76" i="7"/>
  <c r="T112" i="7" s="1"/>
  <c r="N74" i="4"/>
  <c r="N77" i="4"/>
  <c r="X118" i="4" s="1"/>
  <c r="X156" i="4" s="1"/>
  <c r="N73" i="4"/>
  <c r="N81" i="4"/>
  <c r="X113" i="4" s="1"/>
  <c r="X151" i="4" s="1"/>
  <c r="N78" i="4"/>
  <c r="N83" i="4"/>
  <c r="N80" i="4"/>
  <c r="N76" i="4"/>
  <c r="X124" i="4" s="1"/>
  <c r="N82" i="4"/>
  <c r="X123" i="4" s="1"/>
  <c r="X161" i="4" s="1"/>
  <c r="N79" i="4"/>
  <c r="X121" i="4" s="1"/>
  <c r="X159" i="4" s="1"/>
  <c r="N84" i="4"/>
  <c r="N75" i="4"/>
  <c r="X120" i="4" s="1"/>
  <c r="X158" i="4" s="1"/>
  <c r="F82" i="7" l="1"/>
  <c r="T118" i="7" s="1"/>
  <c r="T156" i="7" s="1"/>
  <c r="F84" i="7"/>
  <c r="F81" i="7"/>
  <c r="T113" i="7" s="1"/>
  <c r="T151" i="7" s="1"/>
  <c r="F83" i="7"/>
  <c r="T122" i="7" s="1"/>
  <c r="T160" i="7" s="1"/>
  <c r="F80" i="7"/>
  <c r="T124" i="7" s="1"/>
  <c r="T162" i="7" s="1"/>
  <c r="F79" i="7"/>
  <c r="T121" i="7" s="1"/>
  <c r="T159" i="7" s="1"/>
  <c r="T154" i="7"/>
  <c r="T153" i="7"/>
  <c r="T150" i="7"/>
  <c r="X116" i="4"/>
  <c r="X154" i="4" s="1"/>
  <c r="X162" i="4"/>
  <c r="X122" i="4"/>
  <c r="X160" i="4" s="1"/>
  <c r="X112" i="4"/>
  <c r="X117" i="4"/>
  <c r="X155" i="4" s="1"/>
  <c r="X119" i="4"/>
  <c r="X157" i="4" s="1"/>
  <c r="T164" i="7" l="1"/>
  <c r="T126" i="7"/>
  <c r="T127" i="7"/>
  <c r="X150" i="4"/>
  <c r="X164" i="4" s="1"/>
  <c r="X126" i="4"/>
  <c r="X127" i="4"/>
  <c r="T128" i="7" l="1"/>
  <c r="U43" i="7"/>
  <c r="U38" i="7"/>
  <c r="X128" i="4"/>
  <c r="U141" i="7" l="1"/>
  <c r="U138" i="7"/>
  <c r="U37" i="7" s="1"/>
  <c r="H73" i="7" s="1"/>
  <c r="U117" i="7" s="1"/>
  <c r="U155" i="7" s="1"/>
  <c r="U140" i="7"/>
  <c r="Y138" i="4"/>
  <c r="Y38" i="4" s="1"/>
  <c r="Y140" i="4"/>
  <c r="Y39" i="4"/>
  <c r="Y141" i="4"/>
  <c r="Y37" i="4"/>
  <c r="Z40" i="4"/>
  <c r="Z41" i="4"/>
  <c r="U40" i="7" l="1"/>
  <c r="U39" i="7"/>
  <c r="U44" i="7"/>
  <c r="U42" i="7"/>
  <c r="H74" i="7"/>
  <c r="P77" i="4"/>
  <c r="P73" i="4"/>
  <c r="Y119" i="4" s="1"/>
  <c r="Y157" i="4" s="1"/>
  <c r="P82" i="4"/>
  <c r="Y123" i="4" s="1"/>
  <c r="Y161" i="4" s="1"/>
  <c r="P75" i="4"/>
  <c r="P78" i="4"/>
  <c r="P81" i="4"/>
  <c r="Y113" i="4" s="1"/>
  <c r="Y151" i="4" s="1"/>
  <c r="P84" i="4"/>
  <c r="P83" i="4"/>
  <c r="P80" i="4"/>
  <c r="Y122" i="4" s="1"/>
  <c r="Y160" i="4" s="1"/>
  <c r="P79" i="4"/>
  <c r="Y121" i="4" s="1"/>
  <c r="Y159" i="4" s="1"/>
  <c r="P76" i="4"/>
  <c r="Y124" i="4" s="1"/>
  <c r="P74" i="4"/>
  <c r="Y117" i="4" s="1"/>
  <c r="Y155" i="4" s="1"/>
  <c r="H84" i="7" l="1"/>
  <c r="H78" i="7"/>
  <c r="U120" i="7" s="1"/>
  <c r="U158" i="7" s="1"/>
  <c r="H79" i="7"/>
  <c r="U121" i="7" s="1"/>
  <c r="U159" i="7" s="1"/>
  <c r="H83" i="7"/>
  <c r="U122" i="7" s="1"/>
  <c r="U160" i="7" s="1"/>
  <c r="H76" i="7"/>
  <c r="U112" i="7" s="1"/>
  <c r="U150" i="7" s="1"/>
  <c r="H75" i="7"/>
  <c r="H80" i="7"/>
  <c r="U124" i="7" s="1"/>
  <c r="U162" i="7" s="1"/>
  <c r="H77" i="7"/>
  <c r="U123" i="7" s="1"/>
  <c r="U161" i="7" s="1"/>
  <c r="H82" i="7"/>
  <c r="U118" i="7" s="1"/>
  <c r="U156" i="7" s="1"/>
  <c r="H81" i="7"/>
  <c r="U113" i="7" s="1"/>
  <c r="U151" i="7" s="1"/>
  <c r="Y112" i="4"/>
  <c r="Y118" i="4"/>
  <c r="Y156" i="4" s="1"/>
  <c r="Y162" i="4"/>
  <c r="Y116" i="4"/>
  <c r="Y154" i="4" s="1"/>
  <c r="Y120" i="4"/>
  <c r="Y158" i="4" s="1"/>
  <c r="U116" i="7" l="1"/>
  <c r="U115" i="7" s="1"/>
  <c r="U119" i="7"/>
  <c r="U157" i="7" s="1"/>
  <c r="Y127" i="4"/>
  <c r="Y150" i="4"/>
  <c r="Y164" i="4" s="1"/>
  <c r="Y126" i="4"/>
  <c r="U154" i="7" l="1"/>
  <c r="U127" i="7"/>
  <c r="V43" i="7"/>
  <c r="V44" i="7"/>
  <c r="V38" i="7"/>
  <c r="Y128" i="4"/>
  <c r="U153" i="7" l="1"/>
  <c r="U164" i="7" s="1"/>
  <c r="U126" i="7"/>
  <c r="U128" i="7" s="1"/>
  <c r="Z138" i="4"/>
  <c r="Z140" i="4"/>
  <c r="Z141" i="4"/>
  <c r="Z39" i="4" s="1"/>
  <c r="Z38" i="4"/>
  <c r="Z37" i="4"/>
  <c r="AA41" i="4"/>
  <c r="AA40" i="4"/>
  <c r="V140" i="7" l="1"/>
  <c r="V138" i="7"/>
  <c r="V37" i="7" s="1"/>
  <c r="V141" i="7"/>
  <c r="V42" i="7" s="1"/>
  <c r="R74" i="4"/>
  <c r="Z117" i="4" s="1"/>
  <c r="Z155" i="4" s="1"/>
  <c r="R75" i="4"/>
  <c r="Z120" i="4" s="1"/>
  <c r="Z158" i="4" s="1"/>
  <c r="R73" i="4"/>
  <c r="R78" i="4"/>
  <c r="R81" i="4"/>
  <c r="Z113" i="4" s="1"/>
  <c r="Z151" i="4" s="1"/>
  <c r="R80" i="4"/>
  <c r="R77" i="4"/>
  <c r="R82" i="4"/>
  <c r="Z123" i="4" s="1"/>
  <c r="Z161" i="4" s="1"/>
  <c r="R84" i="4"/>
  <c r="R79" i="4"/>
  <c r="Z121" i="4" s="1"/>
  <c r="Z159" i="4" s="1"/>
  <c r="R83" i="4"/>
  <c r="R76" i="4"/>
  <c r="J73" i="7" l="1"/>
  <c r="V117" i="7" s="1"/>
  <c r="V155" i="7" s="1"/>
  <c r="J74" i="7"/>
  <c r="V40" i="7"/>
  <c r="V39" i="7"/>
  <c r="Z112" i="4"/>
  <c r="Z122" i="4"/>
  <c r="Z160" i="4" s="1"/>
  <c r="Z119" i="4"/>
  <c r="Z157" i="4" s="1"/>
  <c r="Z118" i="4"/>
  <c r="Z156" i="4" s="1"/>
  <c r="Z116" i="4"/>
  <c r="Z154" i="4" s="1"/>
  <c r="Z124" i="4"/>
  <c r="J81" i="7" l="1"/>
  <c r="V113" i="7" s="1"/>
  <c r="V151" i="7" s="1"/>
  <c r="J76" i="7"/>
  <c r="V112" i="7" s="1"/>
  <c r="J84" i="7"/>
  <c r="J75" i="7"/>
  <c r="J83" i="7"/>
  <c r="V122" i="7" s="1"/>
  <c r="V160" i="7" s="1"/>
  <c r="J77" i="7"/>
  <c r="V123" i="7" s="1"/>
  <c r="V161" i="7" s="1"/>
  <c r="J82" i="7"/>
  <c r="V118" i="7" s="1"/>
  <c r="V156" i="7" s="1"/>
  <c r="J79" i="7"/>
  <c r="V121" i="7" s="1"/>
  <c r="V159" i="7" s="1"/>
  <c r="J80" i="7"/>
  <c r="V124" i="7" s="1"/>
  <c r="J78" i="7"/>
  <c r="V120" i="7" s="1"/>
  <c r="V158" i="7" s="1"/>
  <c r="Z162" i="4"/>
  <c r="Z127" i="4"/>
  <c r="Z150" i="4"/>
  <c r="Z164" i="4" s="1"/>
  <c r="Z126" i="4"/>
  <c r="AB40" i="4"/>
  <c r="AB41" i="4"/>
  <c r="V162" i="7" l="1"/>
  <c r="V116" i="7"/>
  <c r="V115" i="7" s="1"/>
  <c r="V119" i="7"/>
  <c r="V157" i="7" s="1"/>
  <c r="V150" i="7"/>
  <c r="W38" i="7"/>
  <c r="W43" i="7"/>
  <c r="Z128" i="4"/>
  <c r="V154" i="7" l="1"/>
  <c r="V127" i="7"/>
  <c r="AA138" i="4"/>
  <c r="AA140" i="4"/>
  <c r="AA39" i="4"/>
  <c r="AA141" i="4"/>
  <c r="AA37" i="4"/>
  <c r="AA38" i="4"/>
  <c r="V153" i="7" l="1"/>
  <c r="V164" i="7" s="1"/>
  <c r="V126" i="7"/>
  <c r="V128" i="7" s="1"/>
  <c r="T77" i="4"/>
  <c r="AA118" i="4" s="1"/>
  <c r="AA156" i="4" s="1"/>
  <c r="T74" i="4"/>
  <c r="T80" i="4"/>
  <c r="T73" i="4"/>
  <c r="T84" i="4"/>
  <c r="T75" i="4"/>
  <c r="AA120" i="4" s="1"/>
  <c r="AA158" i="4" s="1"/>
  <c r="T82" i="4"/>
  <c r="T78" i="4"/>
  <c r="T83" i="4"/>
  <c r="AA112" i="4" s="1"/>
  <c r="T76" i="4"/>
  <c r="AA124" i="4" s="1"/>
  <c r="T81" i="4"/>
  <c r="AA113" i="4" s="1"/>
  <c r="AA151" i="4" s="1"/>
  <c r="T79" i="4"/>
  <c r="AA121" i="4" s="1"/>
  <c r="AA159" i="4" s="1"/>
  <c r="AC40" i="4"/>
  <c r="W141" i="7" l="1"/>
  <c r="W138" i="7"/>
  <c r="W37" i="7" s="1"/>
  <c r="W140" i="7"/>
  <c r="AA116" i="4"/>
  <c r="AA154" i="4" s="1"/>
  <c r="AA162" i="4"/>
  <c r="AA150" i="4"/>
  <c r="AA117" i="4"/>
  <c r="AA155" i="4" s="1"/>
  <c r="AA119" i="4"/>
  <c r="AA157" i="4" s="1"/>
  <c r="AA123" i="4"/>
  <c r="AA161" i="4" s="1"/>
  <c r="AA122" i="4"/>
  <c r="AA160" i="4" s="1"/>
  <c r="W44" i="7" l="1"/>
  <c r="W42" i="7"/>
  <c r="W40" i="7"/>
  <c r="W39" i="7"/>
  <c r="L73" i="7"/>
  <c r="W117" i="7" s="1"/>
  <c r="W155" i="7" s="1"/>
  <c r="L74" i="7"/>
  <c r="AA127" i="4"/>
  <c r="AA126" i="4"/>
  <c r="AA164" i="4"/>
  <c r="L78" i="7" l="1"/>
  <c r="L84" i="7"/>
  <c r="L81" i="7"/>
  <c r="W113" i="7" s="1"/>
  <c r="W151" i="7" s="1"/>
  <c r="L75" i="7"/>
  <c r="L79" i="7"/>
  <c r="W121" i="7" s="1"/>
  <c r="W159" i="7" s="1"/>
  <c r="L80" i="7"/>
  <c r="W124" i="7" s="1"/>
  <c r="L82" i="7"/>
  <c r="W118" i="7" s="1"/>
  <c r="W156" i="7" s="1"/>
  <c r="L76" i="7"/>
  <c r="L83" i="7"/>
  <c r="W122" i="7" s="1"/>
  <c r="W160" i="7" s="1"/>
  <c r="L77" i="7"/>
  <c r="W123" i="7" s="1"/>
  <c r="W161" i="7" s="1"/>
  <c r="X38" i="7"/>
  <c r="X43" i="7"/>
  <c r="AA128" i="4"/>
  <c r="W120" i="7" l="1"/>
  <c r="W158" i="7" s="1"/>
  <c r="W112" i="7"/>
  <c r="W162" i="7"/>
  <c r="W116" i="7"/>
  <c r="W115" i="7" s="1"/>
  <c r="W119" i="7"/>
  <c r="W157" i="7" s="1"/>
  <c r="AB138" i="4"/>
  <c r="AB140" i="4"/>
  <c r="AB37" i="4" s="1"/>
  <c r="AB141" i="4"/>
  <c r="AB39" i="4" s="1"/>
  <c r="AB38" i="4"/>
  <c r="AC41" i="4"/>
  <c r="W154" i="7" l="1"/>
  <c r="W153" i="7"/>
  <c r="W127" i="7"/>
  <c r="W150" i="7"/>
  <c r="W164" i="7" s="1"/>
  <c r="W126" i="7"/>
  <c r="V77" i="4"/>
  <c r="V84" i="4"/>
  <c r="V73" i="4"/>
  <c r="AB119" i="4" s="1"/>
  <c r="AB157" i="4" s="1"/>
  <c r="V75" i="4"/>
  <c r="AB120" i="4" s="1"/>
  <c r="AB158" i="4" s="1"/>
  <c r="V78" i="4"/>
  <c r="V76" i="4"/>
  <c r="AB124" i="4" s="1"/>
  <c r="V83" i="4"/>
  <c r="AB112" i="4" s="1"/>
  <c r="V79" i="4"/>
  <c r="V82" i="4"/>
  <c r="V81" i="4"/>
  <c r="AB113" i="4" s="1"/>
  <c r="AB151" i="4" s="1"/>
  <c r="V80" i="4"/>
  <c r="V74" i="4"/>
  <c r="AD40" i="4"/>
  <c r="W128" i="7" l="1"/>
  <c r="AB121" i="4"/>
  <c r="AB159" i="4" s="1"/>
  <c r="AB118" i="4"/>
  <c r="AB156" i="4" s="1"/>
  <c r="AB150" i="4"/>
  <c r="AB123" i="4"/>
  <c r="AB161" i="4" s="1"/>
  <c r="AB122" i="4"/>
  <c r="AB116" i="4"/>
  <c r="AB154" i="4" s="1"/>
  <c r="AB117" i="4"/>
  <c r="AB162" i="4"/>
  <c r="X138" i="7" l="1"/>
  <c r="X37" i="7" s="1"/>
  <c r="X141" i="7"/>
  <c r="X140" i="7"/>
  <c r="Y38" i="7"/>
  <c r="Z38" i="7"/>
  <c r="AB160" i="4"/>
  <c r="AB126" i="4"/>
  <c r="AB155" i="4"/>
  <c r="AB127" i="4"/>
  <c r="X40" i="7" l="1"/>
  <c r="X39" i="7"/>
  <c r="X44" i="7"/>
  <c r="X42" i="7"/>
  <c r="N73" i="7"/>
  <c r="X117" i="7" s="1"/>
  <c r="X155" i="7" s="1"/>
  <c r="N74" i="7"/>
  <c r="Y43" i="7"/>
  <c r="AB128" i="4"/>
  <c r="AC138" i="4" s="1"/>
  <c r="AC141" i="4"/>
  <c r="AC39" i="4" s="1"/>
  <c r="AB164" i="4"/>
  <c r="AD41" i="4"/>
  <c r="AB38" i="7"/>
  <c r="AC140" i="4" l="1"/>
  <c r="N83" i="7"/>
  <c r="X122" i="7" s="1"/>
  <c r="X160" i="7" s="1"/>
  <c r="N75" i="7"/>
  <c r="N77" i="7"/>
  <c r="X123" i="7" s="1"/>
  <c r="X161" i="7" s="1"/>
  <c r="N79" i="7"/>
  <c r="X121" i="7" s="1"/>
  <c r="X159" i="7" s="1"/>
  <c r="N80" i="7"/>
  <c r="X124" i="7" s="1"/>
  <c r="N81" i="7"/>
  <c r="X113" i="7" s="1"/>
  <c r="X151" i="7" s="1"/>
  <c r="X119" i="7"/>
  <c r="X157" i="7" s="1"/>
  <c r="X116" i="7"/>
  <c r="X115" i="7" s="1"/>
  <c r="N78" i="7"/>
  <c r="X120" i="7" s="1"/>
  <c r="X158" i="7" s="1"/>
  <c r="N76" i="7"/>
  <c r="X112" i="7" s="1"/>
  <c r="N84" i="7"/>
  <c r="N82" i="7"/>
  <c r="X118" i="7" s="1"/>
  <c r="X156" i="7" s="1"/>
  <c r="AC37" i="4"/>
  <c r="AC38" i="4"/>
  <c r="AE40" i="4"/>
  <c r="X150" i="7" l="1"/>
  <c r="X154" i="7"/>
  <c r="X153" i="7"/>
  <c r="X127" i="7"/>
  <c r="X162" i="7"/>
  <c r="X77" i="4"/>
  <c r="X74" i="4"/>
  <c r="X73" i="4"/>
  <c r="AC119" i="4" s="1"/>
  <c r="AC157" i="4" s="1"/>
  <c r="X78" i="4"/>
  <c r="X75" i="4"/>
  <c r="AC120" i="4" s="1"/>
  <c r="X80" i="4"/>
  <c r="X79" i="4"/>
  <c r="AC121" i="4" s="1"/>
  <c r="X76" i="4"/>
  <c r="X81" i="4"/>
  <c r="X84" i="4"/>
  <c r="X83" i="4"/>
  <c r="X82" i="4"/>
  <c r="AC123" i="4" s="1"/>
  <c r="AC118" i="4"/>
  <c r="AC156" i="4" s="1"/>
  <c r="AE41" i="4"/>
  <c r="X164" i="7" l="1"/>
  <c r="X126" i="7"/>
  <c r="X128" i="7" s="1"/>
  <c r="AC117" i="4"/>
  <c r="AC155" i="4" s="1"/>
  <c r="AC112" i="4"/>
  <c r="AC150" i="4" s="1"/>
  <c r="AC116" i="4"/>
  <c r="AC154" i="4" s="1"/>
  <c r="AC124" i="4"/>
  <c r="AC159" i="4"/>
  <c r="AC113" i="4"/>
  <c r="AC122" i="4"/>
  <c r="AC158" i="4"/>
  <c r="AC161" i="4"/>
  <c r="Y140" i="7" l="1"/>
  <c r="Y138" i="7"/>
  <c r="Y37" i="7" s="1"/>
  <c r="Y141" i="7"/>
  <c r="AA38" i="7"/>
  <c r="AC126" i="4"/>
  <c r="AC162" i="4"/>
  <c r="AC127" i="4"/>
  <c r="AC160" i="4"/>
  <c r="AC151" i="4"/>
  <c r="AE42" i="4"/>
  <c r="Y44" i="7" l="1"/>
  <c r="Y42" i="7"/>
  <c r="P74" i="7"/>
  <c r="P73" i="7"/>
  <c r="Y117" i="7" s="1"/>
  <c r="Y155" i="7" s="1"/>
  <c r="Y40" i="7"/>
  <c r="Y39" i="7"/>
  <c r="Z40" i="7"/>
  <c r="Z41" i="7"/>
  <c r="Z43" i="7"/>
  <c r="AC164" i="4"/>
  <c r="AC128" i="4"/>
  <c r="AD140" i="4" s="1"/>
  <c r="P82" i="7" l="1"/>
  <c r="Y118" i="7" s="1"/>
  <c r="Y156" i="7" s="1"/>
  <c r="P77" i="7"/>
  <c r="Y112" i="7" s="1"/>
  <c r="P83" i="7"/>
  <c r="Y122" i="7" s="1"/>
  <c r="Y160" i="7" s="1"/>
  <c r="P75" i="7"/>
  <c r="P76" i="7"/>
  <c r="P80" i="7"/>
  <c r="Y124" i="7" s="1"/>
  <c r="P79" i="7"/>
  <c r="Y121" i="7" s="1"/>
  <c r="Y159" i="7" s="1"/>
  <c r="P78" i="7"/>
  <c r="P84" i="7"/>
  <c r="P81" i="7"/>
  <c r="Y113" i="7" s="1"/>
  <c r="Y151" i="7" s="1"/>
  <c r="AD141" i="4"/>
  <c r="AD138" i="4"/>
  <c r="AD38" i="4" s="1"/>
  <c r="AD39" i="4"/>
  <c r="AD37" i="4"/>
  <c r="Y120" i="7" l="1"/>
  <c r="Y123" i="7"/>
  <c r="Y161" i="7" s="1"/>
  <c r="Y162" i="7"/>
  <c r="Y116" i="7"/>
  <c r="Y115" i="7" s="1"/>
  <c r="Y119" i="7"/>
  <c r="Y150" i="7"/>
  <c r="Z73" i="4"/>
  <c r="AD119" i="4" s="1"/>
  <c r="AD157" i="4" s="1"/>
  <c r="Z77" i="4"/>
  <c r="AD118" i="4" s="1"/>
  <c r="AD156" i="4" s="1"/>
  <c r="Z80" i="4"/>
  <c r="AD122" i="4" s="1"/>
  <c r="AD160" i="4" s="1"/>
  <c r="Z84" i="4"/>
  <c r="Z81" i="4"/>
  <c r="AD113" i="4" s="1"/>
  <c r="AD151" i="4" s="1"/>
  <c r="Z75" i="4"/>
  <c r="AD120" i="4" s="1"/>
  <c r="AD158" i="4" s="1"/>
  <c r="Z74" i="4"/>
  <c r="Z82" i="4"/>
  <c r="AD123" i="4" s="1"/>
  <c r="AD161" i="4" s="1"/>
  <c r="Z76" i="4"/>
  <c r="AD124" i="4" s="1"/>
  <c r="AD162" i="4" s="1"/>
  <c r="Z78" i="4"/>
  <c r="AD116" i="4" s="1"/>
  <c r="Z79" i="4"/>
  <c r="AD121" i="4" s="1"/>
  <c r="AD159" i="4" s="1"/>
  <c r="Z83" i="4"/>
  <c r="AD112" i="4" s="1"/>
  <c r="AD150" i="4" s="1"/>
  <c r="AF41" i="4"/>
  <c r="AF42" i="4"/>
  <c r="AF40" i="4"/>
  <c r="Y127" i="7" l="1"/>
  <c r="Y154" i="7"/>
  <c r="Y158" i="7"/>
  <c r="Y157" i="7"/>
  <c r="AD117" i="4"/>
  <c r="AD155" i="4" s="1"/>
  <c r="AD154" i="4"/>
  <c r="Y153" i="7" l="1"/>
  <c r="Y164" i="7" s="1"/>
  <c r="Y126" i="7"/>
  <c r="Y128" i="7" s="1"/>
  <c r="AA40" i="7"/>
  <c r="AA41" i="7"/>
  <c r="AA43" i="7"/>
  <c r="AD164" i="4"/>
  <c r="AD126" i="4"/>
  <c r="AD127" i="4"/>
  <c r="AD38" i="7"/>
  <c r="Z141" i="7" l="1"/>
  <c r="Z138" i="7"/>
  <c r="Z37" i="7" s="1"/>
  <c r="Z140" i="7"/>
  <c r="Z39" i="7" s="1"/>
  <c r="AD128" i="4"/>
  <c r="AE140" i="4" s="1"/>
  <c r="AE37" i="4"/>
  <c r="AE138" i="4" l="1"/>
  <c r="AE38" i="4" s="1"/>
  <c r="AE141" i="4"/>
  <c r="AE39" i="4" s="1"/>
  <c r="R73" i="7"/>
  <c r="Z117" i="7" s="1"/>
  <c r="Z155" i="7" s="1"/>
  <c r="R74" i="7"/>
  <c r="Z116" i="7" s="1"/>
  <c r="Z115" i="7" s="1"/>
  <c r="R75" i="7"/>
  <c r="Z119" i="7" s="1"/>
  <c r="Z157" i="7" s="1"/>
  <c r="R76" i="7"/>
  <c r="R77" i="7"/>
  <c r="Z44" i="7"/>
  <c r="Z42" i="7"/>
  <c r="AB77" i="4"/>
  <c r="AB74" i="4"/>
  <c r="AE117" i="4" s="1"/>
  <c r="AE155" i="4" s="1"/>
  <c r="AB75" i="4"/>
  <c r="AE120" i="4" s="1"/>
  <c r="AE158" i="4" s="1"/>
  <c r="AB73" i="4"/>
  <c r="AE119" i="4" s="1"/>
  <c r="AE157" i="4" s="1"/>
  <c r="AB78" i="4"/>
  <c r="AB82" i="4"/>
  <c r="AE123" i="4" s="1"/>
  <c r="AE161" i="4" s="1"/>
  <c r="AB79" i="4"/>
  <c r="AE121" i="4" s="1"/>
  <c r="AE159" i="4" s="1"/>
  <c r="AB83" i="4"/>
  <c r="AE112" i="4" s="1"/>
  <c r="AE150" i="4" s="1"/>
  <c r="AB84" i="4"/>
  <c r="AE118" i="4"/>
  <c r="AE156" i="4" s="1"/>
  <c r="AB76" i="4"/>
  <c r="AE124" i="4" s="1"/>
  <c r="AE162" i="4" s="1"/>
  <c r="AB81" i="4"/>
  <c r="AE113" i="4" s="1"/>
  <c r="AE151" i="4" s="1"/>
  <c r="AB80" i="4"/>
  <c r="AE122" i="4" s="1"/>
  <c r="AE160" i="4" s="1"/>
  <c r="R84" i="7" l="1"/>
  <c r="R82" i="7"/>
  <c r="Z118" i="7" s="1"/>
  <c r="Z123" i="7"/>
  <c r="Z112" i="7"/>
  <c r="R81" i="7"/>
  <c r="Z113" i="7" s="1"/>
  <c r="Z151" i="7" s="1"/>
  <c r="R79" i="7"/>
  <c r="Z121" i="7" s="1"/>
  <c r="R80" i="7"/>
  <c r="Z124" i="7" s="1"/>
  <c r="R83" i="7"/>
  <c r="Z122" i="7" s="1"/>
  <c r="Z160" i="7" s="1"/>
  <c r="R78" i="7"/>
  <c r="Z120" i="7" s="1"/>
  <c r="Z154" i="7"/>
  <c r="Z153" i="7"/>
  <c r="AE116" i="4"/>
  <c r="AE154" i="4" s="1"/>
  <c r="AE164" i="4" s="1"/>
  <c r="AE127" i="4"/>
  <c r="AG41" i="4"/>
  <c r="AG42" i="4"/>
  <c r="AG40" i="4"/>
  <c r="Z162" i="7" l="1"/>
  <c r="Z127" i="7"/>
  <c r="Z159" i="7"/>
  <c r="Z158" i="7"/>
  <c r="Z150" i="7"/>
  <c r="Z126" i="7"/>
  <c r="Z161" i="7"/>
  <c r="Z156" i="7"/>
  <c r="AB43" i="7"/>
  <c r="AB40" i="7"/>
  <c r="AC38" i="7"/>
  <c r="AE126" i="4"/>
  <c r="AE128" i="4" s="1"/>
  <c r="Z164" i="7" l="1"/>
  <c r="Z128" i="7"/>
  <c r="AA141" i="7" s="1"/>
  <c r="AF140" i="4"/>
  <c r="AF37" i="4" s="1"/>
  <c r="AD73" i="4" s="1"/>
  <c r="AF119" i="4" s="1"/>
  <c r="AF157" i="4" s="1"/>
  <c r="AF141" i="4"/>
  <c r="AF38" i="4" s="1"/>
  <c r="AF138" i="4"/>
  <c r="AF39" i="4" s="1"/>
  <c r="AD84" i="4" s="1"/>
  <c r="AA140" i="7" l="1"/>
  <c r="AA39" i="7" s="1"/>
  <c r="AA138" i="7"/>
  <c r="AA37" i="7" s="1"/>
  <c r="AA44" i="7"/>
  <c r="AA42" i="7"/>
  <c r="AB41" i="7"/>
  <c r="AB44" i="7"/>
  <c r="AD80" i="4"/>
  <c r="AF122" i="4" s="1"/>
  <c r="AF160" i="4" s="1"/>
  <c r="AD74" i="4"/>
  <c r="AD77" i="4"/>
  <c r="AD79" i="4"/>
  <c r="AD76" i="4"/>
  <c r="AD81" i="4"/>
  <c r="AF113" i="4" s="1"/>
  <c r="AF151" i="4" s="1"/>
  <c r="AD75" i="4"/>
  <c r="AF120" i="4" s="1"/>
  <c r="AF158" i="4" s="1"/>
  <c r="AD83" i="4"/>
  <c r="AF112" i="4" s="1"/>
  <c r="AF150" i="4" s="1"/>
  <c r="AD78" i="4"/>
  <c r="AD82" i="4"/>
  <c r="AF123" i="4" s="1"/>
  <c r="AF161" i="4" s="1"/>
  <c r="AF117" i="4"/>
  <c r="AF155" i="4" s="1"/>
  <c r="AF116" i="4"/>
  <c r="AF154" i="4" s="1"/>
  <c r="AF124" i="4"/>
  <c r="AF118" i="4"/>
  <c r="AF156" i="4" s="1"/>
  <c r="T80" i="7" l="1"/>
  <c r="AA124" i="7" s="1"/>
  <c r="AA162" i="7" s="1"/>
  <c r="T75" i="7"/>
  <c r="AA119" i="7" s="1"/>
  <c r="AA157" i="7" s="1"/>
  <c r="T77" i="7"/>
  <c r="T74" i="7"/>
  <c r="AA116" i="7" s="1"/>
  <c r="AA115" i="7" s="1"/>
  <c r="AA153" i="7" s="1"/>
  <c r="T76" i="7"/>
  <c r="AA123" i="7" s="1"/>
  <c r="AA161" i="7" s="1"/>
  <c r="T73" i="7"/>
  <c r="AA117" i="7" s="1"/>
  <c r="AA155" i="7" s="1"/>
  <c r="T79" i="7"/>
  <c r="AA121" i="7" s="1"/>
  <c r="AA159" i="7" s="1"/>
  <c r="T78" i="7"/>
  <c r="T84" i="7"/>
  <c r="T83" i="7"/>
  <c r="AA122" i="7" s="1"/>
  <c r="AA160" i="7" s="1"/>
  <c r="T82" i="7"/>
  <c r="AA113" i="7" s="1"/>
  <c r="AA151" i="7" s="1"/>
  <c r="T81" i="7"/>
  <c r="AA118" i="7" s="1"/>
  <c r="AA156" i="7" s="1"/>
  <c r="AF121" i="4"/>
  <c r="AF159" i="4" s="1"/>
  <c r="AF162" i="4"/>
  <c r="AF127" i="4"/>
  <c r="AA154" i="7" l="1"/>
  <c r="AA112" i="7"/>
  <c r="AA120" i="7"/>
  <c r="AA158" i="7" s="1"/>
  <c r="AF126" i="4"/>
  <c r="AF128" i="4" s="1"/>
  <c r="AF164" i="4"/>
  <c r="AH41" i="4"/>
  <c r="AH42" i="4"/>
  <c r="AH40" i="4"/>
  <c r="AA127" i="7" l="1"/>
  <c r="AA150" i="7"/>
  <c r="AA164" i="7" s="1"/>
  <c r="AA126" i="7"/>
  <c r="AC40" i="7"/>
  <c r="AC41" i="7"/>
  <c r="AC43" i="7"/>
  <c r="AG138" i="4"/>
  <c r="AG140" i="4"/>
  <c r="AG37" i="4" s="1"/>
  <c r="AG141" i="4"/>
  <c r="AG39" i="4" s="1"/>
  <c r="AG38" i="4"/>
  <c r="AF38" i="7"/>
  <c r="AA128" i="7" l="1"/>
  <c r="AF77" i="4"/>
  <c r="AG118" i="4" s="1"/>
  <c r="AG156" i="4" s="1"/>
  <c r="AF73" i="4"/>
  <c r="AG119" i="4" s="1"/>
  <c r="AG157" i="4" s="1"/>
  <c r="AF79" i="4"/>
  <c r="AF78" i="4"/>
  <c r="AG116" i="4" s="1"/>
  <c r="AG154" i="4" s="1"/>
  <c r="AF83" i="4"/>
  <c r="AG112" i="4" s="1"/>
  <c r="AF82" i="4"/>
  <c r="AG123" i="4" s="1"/>
  <c r="AG161" i="4" s="1"/>
  <c r="AF81" i="4"/>
  <c r="AF75" i="4"/>
  <c r="AF76" i="4"/>
  <c r="AG124" i="4" s="1"/>
  <c r="AF80" i="4"/>
  <c r="AG122" i="4" s="1"/>
  <c r="AG160" i="4" s="1"/>
  <c r="AF84" i="4"/>
  <c r="AF74" i="4"/>
  <c r="AG117" i="4" s="1"/>
  <c r="AG155" i="4" s="1"/>
  <c r="AB138" i="7" l="1"/>
  <c r="AB37" i="7" s="1"/>
  <c r="AB141" i="7"/>
  <c r="AB42" i="7" s="1"/>
  <c r="AB140" i="7"/>
  <c r="AB39" i="7" s="1"/>
  <c r="AC44" i="7"/>
  <c r="AG121" i="4"/>
  <c r="AG159" i="4" s="1"/>
  <c r="AG150" i="4"/>
  <c r="AG120" i="4"/>
  <c r="AG127" i="4" s="1"/>
  <c r="AG113" i="4"/>
  <c r="AG151" i="4" s="1"/>
  <c r="AG162" i="4"/>
  <c r="V80" i="7" l="1"/>
  <c r="AB124" i="7" s="1"/>
  <c r="V73" i="7"/>
  <c r="AB117" i="7" s="1"/>
  <c r="AB155" i="7" s="1"/>
  <c r="V74" i="7"/>
  <c r="AB116" i="7" s="1"/>
  <c r="AB115" i="7" s="1"/>
  <c r="V84" i="7"/>
  <c r="V83" i="7"/>
  <c r="AB122" i="7" s="1"/>
  <c r="AB160" i="7" s="1"/>
  <c r="V75" i="7"/>
  <c r="AB119" i="7" s="1"/>
  <c r="AB157" i="7" s="1"/>
  <c r="V79" i="7"/>
  <c r="AB121" i="7" s="1"/>
  <c r="AB159" i="7" s="1"/>
  <c r="V82" i="7"/>
  <c r="AB113" i="7" s="1"/>
  <c r="AB151" i="7" s="1"/>
  <c r="V77" i="7"/>
  <c r="AB112" i="7" s="1"/>
  <c r="V78" i="7"/>
  <c r="AB120" i="7" s="1"/>
  <c r="AB158" i="7" s="1"/>
  <c r="V81" i="7"/>
  <c r="AB118" i="7" s="1"/>
  <c r="AB156" i="7" s="1"/>
  <c r="V76" i="7"/>
  <c r="AB123" i="7" s="1"/>
  <c r="AB161" i="7" s="1"/>
  <c r="AG158" i="4"/>
  <c r="AG164" i="4" s="1"/>
  <c r="AG126" i="4"/>
  <c r="AG128" i="4" s="1"/>
  <c r="AB154" i="7" l="1"/>
  <c r="AB153" i="7"/>
  <c r="AB126" i="7"/>
  <c r="AB150" i="7"/>
  <c r="AB164" i="7" s="1"/>
  <c r="AB162" i="7"/>
  <c r="AB127" i="7"/>
  <c r="AD40" i="7"/>
  <c r="AD43" i="7"/>
  <c r="AH138" i="4"/>
  <c r="AH140" i="4"/>
  <c r="AH37" i="4" s="1"/>
  <c r="AH141" i="4"/>
  <c r="AH39" i="4" s="1"/>
  <c r="AB128" i="7" l="1"/>
  <c r="AC141" i="7" s="1"/>
  <c r="AC42" i="7" s="1"/>
  <c r="AC140" i="7"/>
  <c r="AC39" i="7" s="1"/>
  <c r="AD44" i="7"/>
  <c r="AE38" i="7"/>
  <c r="AH38" i="4"/>
  <c r="AH77" i="4" s="1"/>
  <c r="AH73" i="4"/>
  <c r="AG38" i="7"/>
  <c r="AC138" i="7" l="1"/>
  <c r="AC37" i="7" s="1"/>
  <c r="X74" i="7" s="1"/>
  <c r="AC116" i="7" s="1"/>
  <c r="AC115" i="7" s="1"/>
  <c r="AH84" i="4"/>
  <c r="AH75" i="4"/>
  <c r="AH120" i="4" s="1"/>
  <c r="AH158" i="4" s="1"/>
  <c r="AH74" i="4"/>
  <c r="AH117" i="4" s="1"/>
  <c r="AH155" i="4" s="1"/>
  <c r="AH82" i="4"/>
  <c r="AH123" i="4" s="1"/>
  <c r="AH161" i="4" s="1"/>
  <c r="AH80" i="4"/>
  <c r="AH122" i="4" s="1"/>
  <c r="AH160" i="4" s="1"/>
  <c r="AH83" i="4"/>
  <c r="AH81" i="4"/>
  <c r="AH113" i="4" s="1"/>
  <c r="AH151" i="4" s="1"/>
  <c r="AH79" i="4"/>
  <c r="AH76" i="4"/>
  <c r="AH124" i="4" s="1"/>
  <c r="AH162" i="4" s="1"/>
  <c r="AH78" i="4"/>
  <c r="AH119" i="4"/>
  <c r="AH157" i="4" s="1"/>
  <c r="AH118" i="4"/>
  <c r="AH156" i="4" s="1"/>
  <c r="AH112" i="4"/>
  <c r="X78" i="7" l="1"/>
  <c r="AC120" i="7" s="1"/>
  <c r="AC158" i="7" s="1"/>
  <c r="X76" i="7"/>
  <c r="X84" i="7"/>
  <c r="X77" i="7"/>
  <c r="X75" i="7"/>
  <c r="AC119" i="7" s="1"/>
  <c r="AC157" i="7" s="1"/>
  <c r="X83" i="7"/>
  <c r="AC122" i="7" s="1"/>
  <c r="AC160" i="7" s="1"/>
  <c r="X81" i="7"/>
  <c r="AC118" i="7" s="1"/>
  <c r="AC156" i="7" s="1"/>
  <c r="X82" i="7"/>
  <c r="AC113" i="7" s="1"/>
  <c r="AC151" i="7" s="1"/>
  <c r="X80" i="7"/>
  <c r="AC124" i="7" s="1"/>
  <c r="AC162" i="7" s="1"/>
  <c r="X79" i="7"/>
  <c r="AC121" i="7" s="1"/>
  <c r="X73" i="7"/>
  <c r="AC117" i="7" s="1"/>
  <c r="AC155" i="7" s="1"/>
  <c r="AH116" i="4"/>
  <c r="AH154" i="4" s="1"/>
  <c r="AH121" i="4"/>
  <c r="AH159" i="4" s="1"/>
  <c r="AC123" i="7"/>
  <c r="AC112" i="7"/>
  <c r="AC159" i="7"/>
  <c r="AC154" i="7"/>
  <c r="AC153" i="7"/>
  <c r="AH150" i="4"/>
  <c r="AH164" i="4" s="1"/>
  <c r="AH126" i="4"/>
  <c r="AH127" i="4"/>
  <c r="AC161" i="7" l="1"/>
  <c r="AC150" i="7"/>
  <c r="AC126" i="7"/>
  <c r="AC127" i="7"/>
  <c r="AE40" i="7"/>
  <c r="AE41" i="7"/>
  <c r="AE43" i="7"/>
  <c r="AH128" i="4"/>
  <c r="AC164" i="7" l="1"/>
  <c r="AC128" i="7"/>
  <c r="AD141" i="7" l="1"/>
  <c r="AD42" i="7" s="1"/>
  <c r="AD138" i="7"/>
  <c r="AD37" i="7" s="1"/>
  <c r="AD140" i="7"/>
  <c r="AD41" i="7" l="1"/>
  <c r="AD39" i="7"/>
  <c r="Z74" i="7"/>
  <c r="Z73" i="7"/>
  <c r="AD117" i="7" s="1"/>
  <c r="AD155" i="7" s="1"/>
  <c r="Z82" i="7" l="1"/>
  <c r="AD113" i="7" s="1"/>
  <c r="AD151" i="7" s="1"/>
  <c r="Z77" i="7"/>
  <c r="AD112" i="7" s="1"/>
  <c r="Z75" i="7"/>
  <c r="AD119" i="7" s="1"/>
  <c r="Z79" i="7"/>
  <c r="AD121" i="7" s="1"/>
  <c r="Z78" i="7"/>
  <c r="AD120" i="7" s="1"/>
  <c r="AD158" i="7" s="1"/>
  <c r="Z84" i="7"/>
  <c r="Z76" i="7"/>
  <c r="Z81" i="7"/>
  <c r="AD118" i="7" s="1"/>
  <c r="Z80" i="7"/>
  <c r="AD124" i="7" s="1"/>
  <c r="Z83" i="7"/>
  <c r="AD122" i="7" s="1"/>
  <c r="AD160" i="7" s="1"/>
  <c r="AF40" i="7"/>
  <c r="AF43" i="7"/>
  <c r="AD156" i="7" l="1"/>
  <c r="AD162" i="7"/>
  <c r="AD116" i="7"/>
  <c r="AD115" i="7" s="1"/>
  <c r="AD123" i="7"/>
  <c r="AD161" i="7" s="1"/>
  <c r="AD159" i="7"/>
  <c r="AD157" i="7"/>
  <c r="AD150" i="7"/>
  <c r="AD154" i="7" l="1"/>
  <c r="AD127" i="7"/>
  <c r="AD153" i="7" l="1"/>
  <c r="AD164" i="7" s="1"/>
  <c r="AD126" i="7"/>
  <c r="AD128" i="7" s="1"/>
  <c r="AE141" i="7" l="1"/>
  <c r="AE140" i="7"/>
  <c r="AE39" i="7" s="1"/>
  <c r="AE138" i="7"/>
  <c r="AE37" i="7" s="1"/>
  <c r="AB73" i="7" l="1"/>
  <c r="AE117" i="7" s="1"/>
  <c r="AE155" i="7" s="1"/>
  <c r="AB75" i="7"/>
  <c r="AB74" i="7"/>
  <c r="AB76" i="7"/>
  <c r="AB77" i="7"/>
  <c r="AE44" i="7"/>
  <c r="AE42" i="7"/>
  <c r="AG43" i="7"/>
  <c r="AG40" i="7"/>
  <c r="AB82" i="7" l="1"/>
  <c r="AE113" i="7" s="1"/>
  <c r="AE151" i="7" s="1"/>
  <c r="AB81" i="7"/>
  <c r="AB83" i="7"/>
  <c r="AE122" i="7" s="1"/>
  <c r="AE160" i="7" s="1"/>
  <c r="AB79" i="7"/>
  <c r="AE121" i="7" s="1"/>
  <c r="AE123" i="7"/>
  <c r="AE112" i="7"/>
  <c r="AB78" i="7"/>
  <c r="AE120" i="7" s="1"/>
  <c r="AE158" i="7" s="1"/>
  <c r="AB80" i="7"/>
  <c r="AE116" i="7"/>
  <c r="AE115" i="7" s="1"/>
  <c r="AE119" i="7"/>
  <c r="AB84" i="7"/>
  <c r="AE150" i="7" l="1"/>
  <c r="AE161" i="7"/>
  <c r="AE159" i="7"/>
  <c r="AE157" i="7"/>
  <c r="AE124" i="7"/>
  <c r="AE118" i="7"/>
  <c r="AE156" i="7" s="1"/>
  <c r="AE154" i="7"/>
  <c r="AE153" i="7"/>
  <c r="AE126" i="7" l="1"/>
  <c r="AE162" i="7"/>
  <c r="AE164" i="7" s="1"/>
  <c r="AE127" i="7"/>
  <c r="AH38" i="7"/>
  <c r="AE128" i="7" l="1"/>
  <c r="AH40" i="7"/>
  <c r="AH41" i="7"/>
  <c r="AF141" i="7" l="1"/>
  <c r="AF140" i="7"/>
  <c r="AF138" i="7"/>
  <c r="AF37" i="7" s="1"/>
  <c r="AH44" i="7"/>
  <c r="AF41" i="7" l="1"/>
  <c r="AF39" i="7"/>
  <c r="AD73" i="7"/>
  <c r="AF117" i="7" s="1"/>
  <c r="AF155" i="7" s="1"/>
  <c r="AD74" i="7"/>
  <c r="AF44" i="7"/>
  <c r="AF42" i="7"/>
  <c r="AD81" i="7" l="1"/>
  <c r="AD80" i="7"/>
  <c r="AF124" i="7" s="1"/>
  <c r="AF162" i="7" s="1"/>
  <c r="AD84" i="7"/>
  <c r="AD83" i="7"/>
  <c r="AF122" i="7" s="1"/>
  <c r="AD79" i="7"/>
  <c r="AF121" i="7" s="1"/>
  <c r="AD76" i="7"/>
  <c r="AF123" i="7" s="1"/>
  <c r="AF161" i="7" s="1"/>
  <c r="AD82" i="7"/>
  <c r="AD75" i="7"/>
  <c r="AD77" i="7"/>
  <c r="AF112" i="7" s="1"/>
  <c r="AD78" i="7"/>
  <c r="AF120" i="7" s="1"/>
  <c r="AF160" i="7" l="1"/>
  <c r="AF159" i="7"/>
  <c r="AF118" i="7"/>
  <c r="AF156" i="7" s="1"/>
  <c r="AF113" i="7"/>
  <c r="AF158" i="7"/>
  <c r="AF150" i="7"/>
  <c r="AF116" i="7"/>
  <c r="AF115" i="7" s="1"/>
  <c r="AF119" i="7"/>
  <c r="AF157" i="7" s="1"/>
  <c r="AF154" i="7" l="1"/>
  <c r="AF153" i="7"/>
  <c r="AF151" i="7"/>
  <c r="AF164" i="7" s="1"/>
  <c r="AF127" i="7"/>
  <c r="AF126" i="7" l="1"/>
  <c r="AF128" i="7" s="1"/>
  <c r="AG140" i="7" l="1"/>
  <c r="AG141" i="7"/>
  <c r="AG138" i="7"/>
  <c r="AG37" i="7" s="1"/>
  <c r="AF74" i="7" l="1"/>
  <c r="AG116" i="7" s="1"/>
  <c r="AG115" i="7" s="1"/>
  <c r="AF73" i="7"/>
  <c r="AG117" i="7" s="1"/>
  <c r="AG155" i="7" s="1"/>
  <c r="AG44" i="7"/>
  <c r="AG42" i="7"/>
  <c r="AG41" i="7"/>
  <c r="AG39" i="7"/>
  <c r="AF75" i="7" s="1"/>
  <c r="AF84" i="7" l="1"/>
  <c r="AF81" i="7"/>
  <c r="AF82" i="7"/>
  <c r="AG113" i="7" s="1"/>
  <c r="AG151" i="7" s="1"/>
  <c r="AF79" i="7"/>
  <c r="AG121" i="7" s="1"/>
  <c r="AG159" i="7" s="1"/>
  <c r="AF83" i="7"/>
  <c r="AG122" i="7" s="1"/>
  <c r="AG160" i="7" s="1"/>
  <c r="AF80" i="7"/>
  <c r="AF78" i="7"/>
  <c r="AG120" i="7" s="1"/>
  <c r="AG158" i="7" s="1"/>
  <c r="AF77" i="7"/>
  <c r="AF76" i="7"/>
  <c r="AG119" i="7" s="1"/>
  <c r="AG154" i="7"/>
  <c r="AG153" i="7"/>
  <c r="AG123" i="7" l="1"/>
  <c r="AG112" i="7"/>
  <c r="AG118" i="7"/>
  <c r="AG156" i="7" s="1"/>
  <c r="AG124" i="7"/>
  <c r="AG157" i="7"/>
  <c r="AG162" i="7" l="1"/>
  <c r="AG127" i="7"/>
  <c r="AG150" i="7"/>
  <c r="AG126" i="7"/>
  <c r="AG161" i="7"/>
  <c r="AG164" i="7" l="1"/>
  <c r="AG128" i="7"/>
  <c r="AH141" i="7" l="1"/>
  <c r="AH138" i="7"/>
  <c r="AH37" i="7" s="1"/>
  <c r="AH140" i="7"/>
  <c r="AH39" i="7" s="1"/>
  <c r="AH73" i="7" l="1"/>
  <c r="AH117" i="7" s="1"/>
  <c r="AH155" i="7" s="1"/>
  <c r="AH76" i="7"/>
  <c r="AH123" i="7" s="1"/>
  <c r="AH161" i="7" s="1"/>
  <c r="AH77" i="7"/>
  <c r="AH112" i="7" s="1"/>
  <c r="AH75" i="7"/>
  <c r="AH119" i="7" s="1"/>
  <c r="AH157" i="7" s="1"/>
  <c r="AH74" i="7"/>
  <c r="AH116" i="7" s="1"/>
  <c r="AH115" i="7" s="1"/>
  <c r="AH43" i="7"/>
  <c r="AH42" i="7"/>
  <c r="AH78" i="7" s="1"/>
  <c r="AH120" i="7" s="1"/>
  <c r="AH158" i="7" s="1"/>
  <c r="AH80" i="7" l="1"/>
  <c r="AH118" i="7" s="1"/>
  <c r="AH156" i="7" s="1"/>
  <c r="AH82" i="7"/>
  <c r="AH113" i="7" s="1"/>
  <c r="AH151" i="7" s="1"/>
  <c r="AH150" i="7"/>
  <c r="AH79" i="7"/>
  <c r="AH121" i="7" s="1"/>
  <c r="AH159" i="7" s="1"/>
  <c r="AH84" i="7"/>
  <c r="AH81" i="7"/>
  <c r="AH124" i="7" s="1"/>
  <c r="AH83" i="7"/>
  <c r="AH122" i="7" s="1"/>
  <c r="AH160" i="7" s="1"/>
  <c r="AH154" i="7"/>
  <c r="AH153" i="7"/>
  <c r="AH126" i="7" l="1"/>
  <c r="AH162" i="7"/>
  <c r="AH164" i="7" s="1"/>
  <c r="AH127" i="7"/>
  <c r="AH128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tc={29A80BDA-149E-46BF-A872-B84DDDAEBA1E}</author>
  </authors>
  <commentList>
    <comment ref="A1" authorId="0" shapeId="0" xr:uid="{29A80BDA-149E-46BF-A872-B84DDDAEBA1E}">
      <text>
        <t>[Threaded comment]
Your version of Excel allows you to read this threaded comment; however, any edits to it will get removed if the file is opened in a newer version of Excel. Learn more: https://go.microsoft.com/fwlink/?linkid=870924
Comment:
    Reference data</t>
      </text>
    </comment>
  </commentList>
</comments>
</file>

<file path=xl/sharedStrings.xml><?xml version="1.0" encoding="utf-8"?>
<sst xmlns="http://schemas.openxmlformats.org/spreadsheetml/2006/main" count="1024" uniqueCount="183">
  <si>
    <t>Technology</t>
  </si>
  <si>
    <t>Units</t>
  </si>
  <si>
    <t>Fossil</t>
  </si>
  <si>
    <t>Solar</t>
  </si>
  <si>
    <t>Wind</t>
  </si>
  <si>
    <t>Nuclear</t>
  </si>
  <si>
    <t>Geothermal</t>
  </si>
  <si>
    <t>Biomass</t>
  </si>
  <si>
    <t>Hydro</t>
  </si>
  <si>
    <t>Coal</t>
  </si>
  <si>
    <t>Coal (With CCS)</t>
  </si>
  <si>
    <t>Gas</t>
  </si>
  <si>
    <t>Gas (with CCS)</t>
  </si>
  <si>
    <t>Photovoltaics</t>
  </si>
  <si>
    <t>CSP</t>
  </si>
  <si>
    <t>Onshore</t>
  </si>
  <si>
    <t>Offshore</t>
  </si>
  <si>
    <t>Dams</t>
  </si>
  <si>
    <t>Capital Ex</t>
  </si>
  <si>
    <t>$/kW</t>
  </si>
  <si>
    <t>Operational Ex</t>
  </si>
  <si>
    <t>$/kWh</t>
  </si>
  <si>
    <t>Emissions</t>
  </si>
  <si>
    <r>
      <t>gCO</t>
    </r>
    <r>
      <rPr>
        <b/>
        <vertAlign val="sub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/kWh</t>
    </r>
  </si>
  <si>
    <t>Lifetime</t>
  </si>
  <si>
    <t>years</t>
  </si>
  <si>
    <t>Development Time</t>
  </si>
  <si>
    <t>Tax Relief</t>
  </si>
  <si>
    <r>
      <t>$/gCO</t>
    </r>
    <r>
      <rPr>
        <b/>
        <vertAlign val="sub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or </t>
    </r>
    <r>
      <rPr>
        <b/>
        <sz val="11"/>
        <color rgb="FFFF0000"/>
        <rFont val="Times New Roman"/>
        <family val="1"/>
      </rPr>
      <t>$/kWh</t>
    </r>
  </si>
  <si>
    <t>NA</t>
  </si>
  <si>
    <t>Current Stock</t>
  </si>
  <si>
    <t>billion kWh</t>
  </si>
  <si>
    <t>Assumptions:</t>
  </si>
  <si>
    <t>1. Capital expense is in $/kW (dependent on capacity of the plant)</t>
  </si>
  <si>
    <t>2. Assume the most unfavourable/expensive operational expenses from the range of 20-40 $/MWh</t>
  </si>
  <si>
    <t>3. Assume average development time of 6 years (Range: 2-10)</t>
  </si>
  <si>
    <t>Coal (with CCS)</t>
  </si>
  <si>
    <t>1. Captial expense is in $/kW (dependent on capacity of the plant)</t>
  </si>
  <si>
    <t>2. Assume the most unfavourable/expensive operational expenses from the range of 28-35 $/MWh</t>
  </si>
  <si>
    <r>
      <t>3. Converted lb/MMBtu to g/kWh for CO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emissions</t>
    </r>
  </si>
  <si>
    <t>4. Assume coal with CCS has same lifetime and development time as coal</t>
  </si>
  <si>
    <r>
      <t>5. According to 45Q tax credit, credit will be $50/tonne of CO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(for geological storage)</t>
    </r>
  </si>
  <si>
    <t>6. Assume current stock is negligible *** Needs confirmation</t>
  </si>
  <si>
    <t>2. Assume the most unfavourable/expensive operational expenses from the range of 22-35 $/MWh</t>
  </si>
  <si>
    <r>
      <t>2. Assume CCS removes 77.7% of CO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(same as coal) so emissions wil be 22.3% of that without CCS</t>
    </r>
  </si>
  <si>
    <t>3. Assume gas with CCS has same lifetime and development time as gas</t>
  </si>
  <si>
    <t>4. According to 45Q tax credit, credit will be $50/tonne of CO2 (for geological storage)</t>
  </si>
  <si>
    <t>5. Assume current stock is negligible *** Needs confirmation</t>
  </si>
  <si>
    <t>Solar (PV)</t>
  </si>
  <si>
    <t>2. Converted $/kWyr to $/kWh</t>
  </si>
  <si>
    <t xml:space="preserve">3. Follow Commercial Solar PV Rebate Program from Texas: Large Commercial (400-1000 kW), $0.02-$0.04/kWh </t>
  </si>
  <si>
    <t>Solar (CSP)</t>
  </si>
  <si>
    <t>1. Captial expense is in $/kW (dependent on capacity of the plant) and assume same as solar (PV)</t>
  </si>
  <si>
    <t>2. Assume the most unfavourable/expensive operational expenses from the range of 0.02-0.04 $/kWh</t>
  </si>
  <si>
    <t>3. Assume same development time as solar (PV) - 6 years</t>
  </si>
  <si>
    <t xml:space="preserve">4. No tax credit for Solar CSP </t>
  </si>
  <si>
    <t>Wind (Onshore)</t>
  </si>
  <si>
    <t xml:space="preserve">3. Current PTC (production tax credit) is only applyable for farms that will start production before 2020 </t>
  </si>
  <si>
    <t>4. Current stock is 286.6 TeraWh which was converted to 286.6 billion kWh</t>
  </si>
  <si>
    <t>Wind (Offshore)</t>
  </si>
  <si>
    <t>2. Assume operational expenses same as wind (onshore)</t>
  </si>
  <si>
    <t>3. No plans for renewal of PTC at the moment</t>
  </si>
  <si>
    <t>4. Neglible amount of offshore wind: https://www.cnbc.com/2019/12/13/us-has-only-one-offshore-wind-farm-but-thats-about-to-change.html</t>
  </si>
  <si>
    <r>
      <t>3. Average of 10-130 gCO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/kWh (http://theconversation.com/is-nuclear-power-zero-emission-no-but-it-isnt-high-emission-either-41615)</t>
    </r>
  </si>
  <si>
    <t>4. Average of 40-80 years</t>
  </si>
  <si>
    <t>5. PTC of 1.8 ¢/kWh for the first 6000 MWe of new nuclear capacity in the first eight years of operation</t>
  </si>
  <si>
    <t>2. Assume the most unfavourable/expensive operational expenses from the range of 0.1-0.3 $/kWh</t>
  </si>
  <si>
    <t>3. Average of development time of 5-7 years</t>
  </si>
  <si>
    <t>4. There are loans - Clean Renewable Energy Bonds (CREBs) - but no tax credit</t>
  </si>
  <si>
    <t>1. Capital expense is in $/kW (dependent on capacity of the plant) and average of the most expensive option</t>
  </si>
  <si>
    <t xml:space="preserve">2. Assume the most unfavourable/expensive operational expense </t>
  </si>
  <si>
    <r>
      <t>3. Take maximum emission possible from 43-291 gCO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/kWh</t>
    </r>
  </si>
  <si>
    <t>Hydro (Dam)</t>
  </si>
  <si>
    <t>2. Take operational expenses as 3% of capital expenses</t>
  </si>
  <si>
    <r>
      <t>3. Take maximum emission possible from 4-14 gCO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/kWh</t>
    </r>
  </si>
  <si>
    <t>4. Average of development time of 2 to 4 years</t>
  </si>
  <si>
    <t>5. Take average tax credit from 1.1 to 1.8 cents per kWh</t>
  </si>
  <si>
    <t>Year</t>
  </si>
  <si>
    <t>Electricity Demand (TWh)</t>
  </si>
  <si>
    <t>Capacity Factor</t>
  </si>
  <si>
    <t>%</t>
  </si>
  <si>
    <t xml:space="preserve">Coal </t>
  </si>
  <si>
    <t>Capital Expenses ($/kW)</t>
  </si>
  <si>
    <t>Operating Expenses ($/kWh)</t>
  </si>
  <si>
    <t>Assumptions (Sources):</t>
  </si>
  <si>
    <t>Capacity Factor (%)</t>
  </si>
  <si>
    <t>LCOE ($/kWh)</t>
  </si>
  <si>
    <t>Discount Rate</t>
  </si>
  <si>
    <t>Gas - CC</t>
  </si>
  <si>
    <t>Gas - CT</t>
  </si>
  <si>
    <t>Gas - CC (with CCS)</t>
  </si>
  <si>
    <t>Fuel Cost</t>
  </si>
  <si>
    <t>Fuel Costs ($/kWh)</t>
  </si>
  <si>
    <t>https://atb.nrel.gov/electricity/2018/summary.html?fbclid=IwAR0sYAQiA48weV79Nsqx5V5j7jPD7iI24vE5aoxcD0rscDdI5zuLhUzQIy8</t>
  </si>
  <si>
    <t>Capital Employed ($/kW)</t>
  </si>
  <si>
    <t>Rank</t>
  </si>
  <si>
    <t>Coal CCS</t>
  </si>
  <si>
    <t>Gas CCS</t>
  </si>
  <si>
    <t>Solar PV</t>
  </si>
  <si>
    <t>Solar CSP</t>
  </si>
  <si>
    <t>Wind On</t>
  </si>
  <si>
    <t>Wind Off</t>
  </si>
  <si>
    <t>Geotherm</t>
  </si>
  <si>
    <t xml:space="preserve">Hydro </t>
  </si>
  <si>
    <r>
      <t>Emissions (gCO</t>
    </r>
    <r>
      <rPr>
        <b/>
        <vertAlign val="sub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/kWh)</t>
    </r>
  </si>
  <si>
    <t>2019 to 2050</t>
  </si>
  <si>
    <t>2019 - 2050</t>
  </si>
  <si>
    <t>Wind On/Off</t>
  </si>
  <si>
    <t>https://www.sciencedirect.com/science/article/pii/S0360128517300680</t>
  </si>
  <si>
    <t>Weights</t>
  </si>
  <si>
    <t>KPI</t>
  </si>
  <si>
    <t>LCOE</t>
  </si>
  <si>
    <t>Capital Employed</t>
  </si>
  <si>
    <t>Co2 Emissions</t>
  </si>
  <si>
    <t>LCOE Ranked Weighted Points</t>
  </si>
  <si>
    <t>Rank (Name)</t>
  </si>
  <si>
    <t>Rank (Normalise Value)</t>
  </si>
  <si>
    <t>Rank (Points)</t>
  </si>
  <si>
    <t>LCOE ($/kWh) - Normalised</t>
  </si>
  <si>
    <t>Capital Employed ($/kW) - Normalised</t>
  </si>
  <si>
    <r>
      <t>Emissions (gCO</t>
    </r>
    <r>
      <rPr>
        <b/>
        <vertAlign val="sub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/kWh) - Normalised</t>
    </r>
  </si>
  <si>
    <t>Rank (Actual Value)</t>
  </si>
  <si>
    <t>Rank Value</t>
  </si>
  <si>
    <t>Scaled Points</t>
  </si>
  <si>
    <t>Sum</t>
  </si>
  <si>
    <t>Sum of Weighted Points</t>
  </si>
  <si>
    <t>Total Additions terawatts h</t>
  </si>
  <si>
    <t>max</t>
  </si>
  <si>
    <t xml:space="preserve">    Coal</t>
  </si>
  <si>
    <t xml:space="preserve">    Oil and Natural Gas Steam 5/</t>
  </si>
  <si>
    <t xml:space="preserve">    Combined Cycle</t>
  </si>
  <si>
    <t xml:space="preserve">    Combustion Turbine/Diesel</t>
  </si>
  <si>
    <t xml:space="preserve">    Nuclear Power</t>
  </si>
  <si>
    <t xml:space="preserve">    Pumped Storage</t>
  </si>
  <si>
    <t xml:space="preserve">    Diurnal Storage</t>
  </si>
  <si>
    <t xml:space="preserve">    Fuel Cells</t>
  </si>
  <si>
    <t xml:space="preserve">    Renewable Sources 7/</t>
  </si>
  <si>
    <t xml:space="preserve">    Distributed Generation 8/</t>
  </si>
  <si>
    <t xml:space="preserve">      Total</t>
  </si>
  <si>
    <t>Demand</t>
  </si>
  <si>
    <t>Need</t>
  </si>
  <si>
    <t xml:space="preserve">   Conventional Hydroelectric Power</t>
  </si>
  <si>
    <t xml:space="preserve">   Geothermal 2/</t>
  </si>
  <si>
    <t xml:space="preserve">   Solar Thermal</t>
  </si>
  <si>
    <t xml:space="preserve">   Solar Photovoltaic 5/</t>
  </si>
  <si>
    <t xml:space="preserve">   Wind</t>
  </si>
  <si>
    <t xml:space="preserve">   Offshore Wind</t>
  </si>
  <si>
    <t xml:space="preserve"> Net Summer Capacity Difference</t>
  </si>
  <si>
    <t xml:space="preserve">   Municipal Waste 3/</t>
  </si>
  <si>
    <t xml:space="preserve">   Wood and Other Biomass 4/</t>
  </si>
  <si>
    <t xml:space="preserve">     Total Electric Power Sector Capacity</t>
  </si>
  <si>
    <t>Terawatts h</t>
  </si>
  <si>
    <t>CHECK</t>
  </si>
  <si>
    <t>avg</t>
  </si>
  <si>
    <t>Average</t>
  </si>
  <si>
    <t>Maximum</t>
  </si>
  <si>
    <t>Petroleum</t>
  </si>
  <si>
    <t>Natural Gas</t>
  </si>
  <si>
    <t>Other Gases</t>
  </si>
  <si>
    <t xml:space="preserve"> Hydroelectric</t>
  </si>
  <si>
    <t>max change</t>
  </si>
  <si>
    <t>Historical max</t>
  </si>
  <si>
    <t>Total (Supply)</t>
  </si>
  <si>
    <t>Total (Demand)</t>
  </si>
  <si>
    <t>pre-2010</t>
  </si>
  <si>
    <t>https://www.eia.gov/totalenergy/data/annual/showtext.php?t=ptb0802a</t>
  </si>
  <si>
    <t>post-2010</t>
  </si>
  <si>
    <t>https://www.eia.gov/totalenergy/data/monthly/pdf/sec7_5.pdf</t>
  </si>
  <si>
    <t>Sources :</t>
  </si>
  <si>
    <t>cap for wind &amp; solar : 30% of total generation</t>
  </si>
  <si>
    <t xml:space="preserve">Source: </t>
  </si>
  <si>
    <t>Grid Integration and the Carrying Capacity of the U.S. Grid to Incorporate Variable Renewable Energy
Jaquelin Cochran, Paul Denholm, Bethany Speer, and Mackay Miller National Renewable Energy Laboratory</t>
  </si>
  <si>
    <t>Addition limits</t>
  </si>
  <si>
    <t>Production capa</t>
  </si>
  <si>
    <t>Addition limits by rank</t>
  </si>
  <si>
    <t>Total Renewable</t>
  </si>
  <si>
    <t>Total Renewable %</t>
  </si>
  <si>
    <t>Total</t>
  </si>
  <si>
    <t>Others</t>
  </si>
  <si>
    <t>Scenario 1: BaU</t>
  </si>
  <si>
    <t>Scenario 1: Decarbonisation</t>
  </si>
  <si>
    <t>Scenario 3: Deep Decarbonisation</t>
  </si>
  <si>
    <t>Limits of each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</si>
</sst>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000"/>
    <numFmt numFmtId="167" formatCode="0.00000"/>
  </numFmts>
  <fonts count="14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vertAlign val="subscript"/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  <font>
      <b/>
      <sz val="11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9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DCBC7"/>
        <bgColor indexed="64"/>
      </patternFill>
    </fill>
    <fill>
      <patternFill patternType="solid">
        <fgColor rgb="FFFBE1C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8D1FF"/>
        <bgColor indexed="64"/>
      </patternFill>
    </fill>
    <fill>
      <patternFill patternType="solid">
        <fgColor rgb="FFFFCDF2"/>
        <bgColor indexed="64"/>
      </patternFill>
    </fill>
    <fill>
      <patternFill patternType="solid">
        <fgColor rgb="FFFFCDCD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5"/>
        <bgColor indexed="64"/>
      </patternFill>
    </fill>
    <fill>
      <patternFill patternType="solid">
        <fgColor rgb="FFF6BC9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7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2A06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337EC3"/>
        <bgColor indexed="64"/>
      </patternFill>
    </fill>
    <fill>
      <patternFill patternType="solid">
        <fgColor rgb="FF71AF4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</borders>
  <cellStyleXfs count="4">
    <xf numFmtId="0" fontId="0" fillId="0" borderId="0"/>
    <xf numFmtId="0" fontId="9" fillId="0" borderId="0" applyNumberFormat="0" applyFill="0" applyBorder="0" applyAlignment="0" applyProtection="0"/>
    <xf numFmtId="0" fontId="12" fillId="0" borderId="31" applyNumberFormat="0" applyProtection="0">
      <alignment wrapText="1"/>
    </xf>
    <xf numFmtId="0" fontId="13" fillId="0" borderId="32" applyNumberFormat="0" applyFont="0" applyProtection="0">
      <alignment wrapText="1"/>
    </xf>
  </cellStyleXfs>
  <cellXfs count="27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1" fontId="1" fillId="0" borderId="13" xfId="0" applyNumberFormat="1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/>
    <xf numFmtId="0" fontId="2" fillId="3" borderId="15" xfId="0" applyFont="1" applyFill="1" applyBorder="1" applyAlignment="1">
      <alignment horizontal="center" vertical="center"/>
    </xf>
    <xf numFmtId="0" fontId="2" fillId="0" borderId="0" xfId="0" applyFont="1" applyFill="1" applyBorder="1" applyAlignment="1"/>
    <xf numFmtId="0" fontId="1" fillId="0" borderId="0" xfId="0" applyFont="1" applyBorder="1" applyAlignment="1">
      <alignment vertical="center"/>
    </xf>
    <xf numFmtId="165" fontId="1" fillId="0" borderId="1" xfId="0" applyNumberFormat="1" applyFont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1" fillId="0" borderId="20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166" fontId="1" fillId="0" borderId="1" xfId="0" applyNumberFormat="1" applyFont="1" applyFill="1" applyBorder="1" applyAlignment="1">
      <alignment horizontal="center" vertical="center"/>
    </xf>
    <xf numFmtId="164" fontId="1" fillId="0" borderId="1" xfId="0" applyNumberFormat="1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" fillId="0" borderId="2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2" fillId="12" borderId="19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12" borderId="19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 vertical="center"/>
    </xf>
    <xf numFmtId="167" fontId="1" fillId="10" borderId="1" xfId="0" applyNumberFormat="1" applyFont="1" applyFill="1" applyBorder="1" applyAlignment="1">
      <alignment horizontal="center" vertical="center"/>
    </xf>
    <xf numFmtId="167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6" fontId="1" fillId="11" borderId="1" xfId="0" applyNumberFormat="1" applyFont="1" applyFill="1" applyBorder="1" applyAlignment="1">
      <alignment horizontal="center" vertical="center"/>
    </xf>
    <xf numFmtId="166" fontId="1" fillId="0" borderId="0" xfId="0" applyNumberFormat="1" applyFont="1" applyBorder="1" applyAlignment="1">
      <alignment vertical="center"/>
    </xf>
    <xf numFmtId="165" fontId="1" fillId="13" borderId="1" xfId="0" applyNumberFormat="1" applyFont="1" applyFill="1" applyBorder="1" applyAlignment="1">
      <alignment horizontal="center" vertical="center"/>
    </xf>
    <xf numFmtId="165" fontId="1" fillId="7" borderId="1" xfId="0" applyNumberFormat="1" applyFont="1" applyFill="1" applyBorder="1" applyAlignment="1">
      <alignment horizontal="center" vertical="center"/>
    </xf>
    <xf numFmtId="165" fontId="1" fillId="14" borderId="1" xfId="0" applyNumberFormat="1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1" fillId="2" borderId="15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6" fontId="1" fillId="0" borderId="0" xfId="0" applyNumberFormat="1" applyFont="1" applyAlignment="1">
      <alignment vertical="center"/>
    </xf>
    <xf numFmtId="166" fontId="1" fillId="18" borderId="1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64" fontId="1" fillId="7" borderId="1" xfId="0" applyNumberFormat="1" applyFont="1" applyFill="1" applyBorder="1" applyAlignment="1">
      <alignment horizontal="center" vertical="center"/>
    </xf>
    <xf numFmtId="0" fontId="0" fillId="21" borderId="1" xfId="0" applyFill="1" applyBorder="1" applyAlignment="1">
      <alignment horizontal="center"/>
    </xf>
    <xf numFmtId="0" fontId="1" fillId="21" borderId="1" xfId="0" applyFont="1" applyFill="1" applyBorder="1" applyAlignment="1">
      <alignment horizontal="center" vertical="center"/>
    </xf>
    <xf numFmtId="0" fontId="0" fillId="0" borderId="0" xfId="0" applyFill="1"/>
    <xf numFmtId="0" fontId="0" fillId="0" borderId="1" xfId="0" applyBorder="1"/>
    <xf numFmtId="0" fontId="0" fillId="19" borderId="1" xfId="0" applyFill="1" applyBorder="1"/>
    <xf numFmtId="166" fontId="1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6" fontId="1" fillId="9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12" borderId="16" xfId="0" applyFont="1" applyFill="1" applyBorder="1" applyAlignment="1">
      <alignment horizontal="center" vertical="center"/>
    </xf>
    <xf numFmtId="0" fontId="2" fillId="12" borderId="17" xfId="0" applyFont="1" applyFill="1" applyBorder="1" applyAlignment="1">
      <alignment horizontal="center" vertical="center"/>
    </xf>
    <xf numFmtId="0" fontId="2" fillId="12" borderId="18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vertical="center"/>
    </xf>
    <xf numFmtId="166" fontId="1" fillId="22" borderId="1" xfId="0" applyNumberFormat="1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166" fontId="1" fillId="23" borderId="1" xfId="0" applyNumberFormat="1" applyFont="1" applyFill="1" applyBorder="1" applyAlignment="1">
      <alignment horizontal="center" vertical="center"/>
    </xf>
    <xf numFmtId="166" fontId="1" fillId="24" borderId="1" xfId="0" applyNumberFormat="1" applyFont="1" applyFill="1" applyBorder="1" applyAlignment="1">
      <alignment horizontal="center" vertical="center"/>
    </xf>
    <xf numFmtId="0" fontId="2" fillId="3" borderId="25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/>
    </xf>
    <xf numFmtId="0" fontId="2" fillId="3" borderId="24" xfId="0" applyFont="1" applyFill="1" applyBorder="1" applyAlignment="1">
      <alignment horizontal="center" vertical="center"/>
    </xf>
    <xf numFmtId="0" fontId="1" fillId="16" borderId="23" xfId="0" applyFont="1" applyFill="1" applyBorder="1" applyAlignment="1">
      <alignment horizontal="center" vertical="center"/>
    </xf>
    <xf numFmtId="0" fontId="1" fillId="16" borderId="22" xfId="0" applyFont="1" applyFill="1" applyBorder="1" applyAlignment="1">
      <alignment horizontal="center" vertical="center"/>
    </xf>
    <xf numFmtId="0" fontId="1" fillId="16" borderId="24" xfId="0" applyFont="1" applyFill="1" applyBorder="1" applyAlignment="1">
      <alignment horizontal="center" vertical="center"/>
    </xf>
    <xf numFmtId="166" fontId="1" fillId="20" borderId="23" xfId="0" applyNumberFormat="1" applyFont="1" applyFill="1" applyBorder="1" applyAlignment="1">
      <alignment horizontal="center" vertical="center"/>
    </xf>
    <xf numFmtId="166" fontId="1" fillId="20" borderId="22" xfId="0" applyNumberFormat="1" applyFont="1" applyFill="1" applyBorder="1" applyAlignment="1">
      <alignment horizontal="center" vertical="center"/>
    </xf>
    <xf numFmtId="166" fontId="1" fillId="20" borderId="24" xfId="0" applyNumberFormat="1" applyFont="1" applyFill="1" applyBorder="1" applyAlignment="1">
      <alignment horizontal="center" vertical="center"/>
    </xf>
    <xf numFmtId="166" fontId="1" fillId="25" borderId="23" xfId="0" applyNumberFormat="1" applyFont="1" applyFill="1" applyBorder="1" applyAlignment="1">
      <alignment horizontal="center" vertical="center"/>
    </xf>
    <xf numFmtId="166" fontId="1" fillId="25" borderId="22" xfId="0" applyNumberFormat="1" applyFont="1" applyFill="1" applyBorder="1" applyAlignment="1">
      <alignment horizontal="center" vertical="center"/>
    </xf>
    <xf numFmtId="166" fontId="1" fillId="25" borderId="24" xfId="0" applyNumberFormat="1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1" fillId="26" borderId="1" xfId="0" applyFont="1" applyFill="1" applyBorder="1" applyAlignment="1">
      <alignment horizontal="center" vertical="center"/>
    </xf>
    <xf numFmtId="165" fontId="1" fillId="27" borderId="1" xfId="0" applyNumberFormat="1" applyFont="1" applyFill="1" applyBorder="1" applyAlignment="1">
      <alignment horizontal="center" vertical="center"/>
    </xf>
    <xf numFmtId="166" fontId="1" fillId="28" borderId="1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horizontal="center" vertical="center"/>
    </xf>
    <xf numFmtId="166" fontId="1" fillId="25" borderId="23" xfId="0" applyNumberFormat="1" applyFont="1" applyFill="1" applyBorder="1" applyAlignment="1">
      <alignment vertical="center"/>
    </xf>
    <xf numFmtId="166" fontId="1" fillId="25" borderId="22" xfId="0" applyNumberFormat="1" applyFont="1" applyFill="1" applyBorder="1" applyAlignment="1">
      <alignment vertical="center"/>
    </xf>
    <xf numFmtId="166" fontId="1" fillId="25" borderId="24" xfId="0" applyNumberFormat="1" applyFont="1" applyFill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0" fillId="16" borderId="1" xfId="0" applyFill="1" applyBorder="1"/>
    <xf numFmtId="0" fontId="0" fillId="16" borderId="0" xfId="0" applyFill="1"/>
    <xf numFmtId="0" fontId="0" fillId="0" borderId="0" xfId="0" applyBorder="1"/>
    <xf numFmtId="0" fontId="11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12" borderId="16" xfId="0" applyFont="1" applyFill="1" applyBorder="1" applyAlignment="1">
      <alignment horizontal="center" vertical="center"/>
    </xf>
    <xf numFmtId="0" fontId="2" fillId="12" borderId="17" xfId="0" applyFont="1" applyFill="1" applyBorder="1" applyAlignment="1">
      <alignment horizontal="center" vertical="center"/>
    </xf>
    <xf numFmtId="0" fontId="2" fillId="12" borderId="18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17" borderId="16" xfId="0" applyFont="1" applyFill="1" applyBorder="1" applyAlignment="1">
      <alignment horizontal="left" vertical="center"/>
    </xf>
    <xf numFmtId="0" fontId="2" fillId="17" borderId="17" xfId="0" applyFont="1" applyFill="1" applyBorder="1" applyAlignment="1">
      <alignment horizontal="left" vertical="center"/>
    </xf>
    <xf numFmtId="0" fontId="2" fillId="17" borderId="18" xfId="0" applyFont="1" applyFill="1" applyBorder="1" applyAlignment="1">
      <alignment horizontal="left" vertical="center"/>
    </xf>
    <xf numFmtId="0" fontId="0" fillId="29" borderId="0" xfId="0" applyFill="1"/>
    <xf numFmtId="0" fontId="2" fillId="26" borderId="1" xfId="0" applyFont="1" applyFill="1" applyBorder="1" applyAlignment="1">
      <alignment horizontal="center" vertical="center"/>
    </xf>
    <xf numFmtId="0" fontId="0" fillId="26" borderId="0" xfId="0" applyFill="1"/>
    <xf numFmtId="0" fontId="0" fillId="30" borderId="0" xfId="0" applyFill="1"/>
    <xf numFmtId="0" fontId="0" fillId="0" borderId="0" xfId="0" applyAlignment="1">
      <alignment wrapText="1"/>
    </xf>
    <xf numFmtId="0" fontId="0" fillId="0" borderId="0" xfId="0" applyAlignment="1"/>
    <xf numFmtId="165" fontId="1" fillId="16" borderId="1" xfId="0" applyNumberFormat="1" applyFont="1" applyFill="1" applyBorder="1" applyAlignment="1">
      <alignment horizontal="center" vertical="center"/>
    </xf>
    <xf numFmtId="165" fontId="1" fillId="8" borderId="1" xfId="0" applyNumberFormat="1" applyFont="1" applyFill="1" applyBorder="1" applyAlignment="1">
      <alignment horizontal="center" vertical="center"/>
    </xf>
    <xf numFmtId="0" fontId="1" fillId="30" borderId="1" xfId="0" applyFont="1" applyFill="1" applyBorder="1" applyAlignment="1">
      <alignment horizontal="center" vertical="center"/>
    </xf>
    <xf numFmtId="0" fontId="1" fillId="31" borderId="1" xfId="0" applyFont="1" applyFill="1" applyBorder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32" borderId="1" xfId="0" applyFont="1" applyFill="1" applyBorder="1" applyAlignment="1">
      <alignment horizontal="center" vertical="center"/>
    </xf>
    <xf numFmtId="0" fontId="0" fillId="32" borderId="1" xfId="0" applyFill="1" applyBorder="1"/>
    <xf numFmtId="0" fontId="2" fillId="3" borderId="0" xfId="0" applyFont="1" applyFill="1" applyBorder="1" applyAlignment="1">
      <alignment horizontal="center" vertical="center"/>
    </xf>
    <xf numFmtId="0" fontId="1" fillId="32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165" fontId="1" fillId="16" borderId="1" xfId="0" applyNumberFormat="1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165" fontId="1" fillId="8" borderId="1" xfId="0" applyNumberFormat="1" applyFont="1" applyFill="1" applyBorder="1" applyAlignment="1">
      <alignment vertical="center"/>
    </xf>
    <xf numFmtId="0" fontId="1" fillId="30" borderId="1" xfId="0" applyFont="1" applyFill="1" applyBorder="1" applyAlignment="1">
      <alignment vertical="center"/>
    </xf>
    <xf numFmtId="0" fontId="1" fillId="31" borderId="1" xfId="0" applyFont="1" applyFill="1" applyBorder="1" applyAlignment="1">
      <alignment vertical="center"/>
    </xf>
    <xf numFmtId="0" fontId="1" fillId="11" borderId="1" xfId="0" applyFont="1" applyFill="1" applyBorder="1" applyAlignment="1">
      <alignment vertical="center"/>
    </xf>
    <xf numFmtId="0" fontId="2" fillId="21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vertical="center"/>
    </xf>
    <xf numFmtId="0" fontId="1" fillId="4" borderId="0" xfId="0" applyFont="1" applyFill="1" applyBorder="1" applyAlignment="1">
      <alignment vertical="center"/>
    </xf>
    <xf numFmtId="0" fontId="1" fillId="4" borderId="6" xfId="0" applyFont="1" applyFill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0" fontId="1" fillId="4" borderId="3" xfId="0" applyFont="1" applyFill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1" fillId="4" borderId="7" xfId="0" applyFont="1" applyFill="1" applyBorder="1" applyAlignment="1">
      <alignment vertical="center"/>
    </xf>
    <xf numFmtId="0" fontId="1" fillId="4" borderId="8" xfId="0" applyFont="1" applyFill="1" applyBorder="1" applyAlignment="1">
      <alignment vertical="center"/>
    </xf>
    <xf numFmtId="0" fontId="1" fillId="4" borderId="9" xfId="0" applyFont="1" applyFill="1" applyBorder="1" applyAlignment="1">
      <alignment vertical="center"/>
    </xf>
    <xf numFmtId="0" fontId="1" fillId="5" borderId="2" xfId="0" applyFont="1" applyFill="1" applyBorder="1" applyAlignment="1">
      <alignment horizontal="left" vertical="center"/>
    </xf>
    <xf numFmtId="0" fontId="1" fillId="5" borderId="3" xfId="0" applyFont="1" applyFill="1" applyBorder="1" applyAlignment="1">
      <alignment horizontal="left" vertical="center"/>
    </xf>
    <xf numFmtId="0" fontId="1" fillId="5" borderId="4" xfId="0" applyFont="1" applyFill="1" applyBorder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  <xf numFmtId="0" fontId="1" fillId="5" borderId="0" xfId="0" applyFont="1" applyFill="1" applyBorder="1" applyAlignment="1">
      <alignment horizontal="left" vertical="center"/>
    </xf>
    <xf numFmtId="0" fontId="1" fillId="5" borderId="6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5" borderId="7" xfId="0" applyFont="1" applyFill="1" applyBorder="1" applyAlignment="1">
      <alignment horizontal="left" vertical="center"/>
    </xf>
    <xf numFmtId="0" fontId="1" fillId="5" borderId="8" xfId="0" applyFont="1" applyFill="1" applyBorder="1" applyAlignment="1">
      <alignment horizontal="left" vertical="center"/>
    </xf>
    <xf numFmtId="0" fontId="1" fillId="5" borderId="9" xfId="0" applyFont="1" applyFill="1" applyBorder="1" applyAlignment="1">
      <alignment horizontal="left" vertical="center"/>
    </xf>
    <xf numFmtId="0" fontId="1" fillId="6" borderId="2" xfId="0" applyFont="1" applyFill="1" applyBorder="1" applyAlignment="1">
      <alignment horizontal="left" vertical="center"/>
    </xf>
    <xf numFmtId="0" fontId="1" fillId="6" borderId="3" xfId="0" applyFont="1" applyFill="1" applyBorder="1" applyAlignment="1">
      <alignment horizontal="left" vertical="center"/>
    </xf>
    <xf numFmtId="0" fontId="1" fillId="6" borderId="4" xfId="0" applyFont="1" applyFill="1" applyBorder="1" applyAlignment="1">
      <alignment horizontal="left" vertical="center"/>
    </xf>
    <xf numFmtId="0" fontId="1" fillId="6" borderId="5" xfId="0" applyFont="1" applyFill="1" applyBorder="1" applyAlignment="1">
      <alignment horizontal="left" vertical="center"/>
    </xf>
    <xf numFmtId="0" fontId="1" fillId="6" borderId="0" xfId="0" applyFont="1" applyFill="1" applyBorder="1" applyAlignment="1">
      <alignment horizontal="left" vertical="center"/>
    </xf>
    <xf numFmtId="0" fontId="1" fillId="6" borderId="6" xfId="0" applyFont="1" applyFill="1" applyBorder="1" applyAlignment="1">
      <alignment horizontal="left" vertical="center"/>
    </xf>
    <xf numFmtId="0" fontId="1" fillId="8" borderId="5" xfId="0" applyFont="1" applyFill="1" applyBorder="1" applyAlignment="1">
      <alignment horizontal="left" vertical="center"/>
    </xf>
    <xf numFmtId="0" fontId="1" fillId="8" borderId="0" xfId="0" applyFont="1" applyFill="1" applyBorder="1" applyAlignment="1">
      <alignment horizontal="left" vertical="center"/>
    </xf>
    <xf numFmtId="0" fontId="1" fillId="8" borderId="6" xfId="0" applyFont="1" applyFill="1" applyBorder="1" applyAlignment="1">
      <alignment horizontal="left" vertical="center"/>
    </xf>
    <xf numFmtId="0" fontId="1" fillId="8" borderId="7" xfId="0" applyFont="1" applyFill="1" applyBorder="1" applyAlignment="1">
      <alignment horizontal="left" vertical="center"/>
    </xf>
    <xf numFmtId="0" fontId="1" fillId="8" borderId="8" xfId="0" applyFont="1" applyFill="1" applyBorder="1" applyAlignment="1">
      <alignment horizontal="left" vertical="center"/>
    </xf>
    <xf numFmtId="0" fontId="1" fillId="8" borderId="9" xfId="0" applyFont="1" applyFill="1" applyBorder="1" applyAlignment="1">
      <alignment horizontal="left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left" vertical="center"/>
    </xf>
    <xf numFmtId="0" fontId="1" fillId="2" borderId="9" xfId="0" applyFont="1" applyFill="1" applyBorder="1" applyAlignment="1">
      <alignment horizontal="left" vertical="center"/>
    </xf>
    <xf numFmtId="0" fontId="1" fillId="7" borderId="2" xfId="0" applyFont="1" applyFill="1" applyBorder="1" applyAlignment="1">
      <alignment horizontal="left" vertical="center"/>
    </xf>
    <xf numFmtId="0" fontId="1" fillId="7" borderId="3" xfId="0" applyFont="1" applyFill="1" applyBorder="1" applyAlignment="1">
      <alignment horizontal="left" vertical="center"/>
    </xf>
    <xf numFmtId="0" fontId="1" fillId="7" borderId="4" xfId="0" applyFont="1" applyFill="1" applyBorder="1" applyAlignment="1">
      <alignment horizontal="left" vertical="center"/>
    </xf>
    <xf numFmtId="0" fontId="1" fillId="7" borderId="5" xfId="0" applyFont="1" applyFill="1" applyBorder="1" applyAlignment="1">
      <alignment horizontal="left" vertical="center"/>
    </xf>
    <xf numFmtId="0" fontId="1" fillId="7" borderId="0" xfId="0" applyFont="1" applyFill="1" applyBorder="1" applyAlignment="1">
      <alignment horizontal="left" vertical="center"/>
    </xf>
    <xf numFmtId="0" fontId="1" fillId="7" borderId="6" xfId="0" applyFont="1" applyFill="1" applyBorder="1" applyAlignment="1">
      <alignment horizontal="left" vertical="center"/>
    </xf>
    <xf numFmtId="0" fontId="1" fillId="7" borderId="7" xfId="0" applyFont="1" applyFill="1" applyBorder="1" applyAlignment="1">
      <alignment horizontal="left" vertical="center"/>
    </xf>
    <xf numFmtId="0" fontId="1" fillId="7" borderId="8" xfId="0" applyFont="1" applyFill="1" applyBorder="1" applyAlignment="1">
      <alignment horizontal="left" vertical="center"/>
    </xf>
    <xf numFmtId="0" fontId="1" fillId="7" borderId="9" xfId="0" applyFont="1" applyFill="1" applyBorder="1" applyAlignment="1">
      <alignment horizontal="left" vertical="center"/>
    </xf>
    <xf numFmtId="0" fontId="1" fillId="8" borderId="2" xfId="0" applyFont="1" applyFill="1" applyBorder="1" applyAlignment="1">
      <alignment horizontal="left" vertical="center"/>
    </xf>
    <xf numFmtId="0" fontId="1" fillId="8" borderId="3" xfId="0" applyFont="1" applyFill="1" applyBorder="1" applyAlignment="1">
      <alignment horizontal="left" vertical="center"/>
    </xf>
    <xf numFmtId="0" fontId="1" fillId="8" borderId="4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8" xfId="0" applyFont="1" applyFill="1" applyBorder="1" applyAlignment="1">
      <alignment horizontal="left" vertical="center"/>
    </xf>
    <xf numFmtId="0" fontId="1" fillId="6" borderId="9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11" borderId="5" xfId="0" applyFont="1" applyFill="1" applyBorder="1" applyAlignment="1">
      <alignment horizontal="left" vertical="center"/>
    </xf>
    <xf numFmtId="0" fontId="1" fillId="11" borderId="0" xfId="0" applyFont="1" applyFill="1" applyBorder="1" applyAlignment="1">
      <alignment horizontal="left" vertical="center"/>
    </xf>
    <xf numFmtId="0" fontId="1" fillId="11" borderId="6" xfId="0" applyFont="1" applyFill="1" applyBorder="1" applyAlignment="1">
      <alignment horizontal="left" vertical="center"/>
    </xf>
    <xf numFmtId="0" fontId="1" fillId="11" borderId="7" xfId="0" applyFont="1" applyFill="1" applyBorder="1" applyAlignment="1">
      <alignment horizontal="left" vertical="center"/>
    </xf>
    <xf numFmtId="0" fontId="1" fillId="11" borderId="8" xfId="0" applyFont="1" applyFill="1" applyBorder="1" applyAlignment="1">
      <alignment horizontal="left" vertical="center"/>
    </xf>
    <xf numFmtId="0" fontId="1" fillId="11" borderId="9" xfId="0" applyFont="1" applyFill="1" applyBorder="1" applyAlignment="1">
      <alignment horizontal="left" vertical="center"/>
    </xf>
    <xf numFmtId="0" fontId="2" fillId="9" borderId="10" xfId="0" applyFont="1" applyFill="1" applyBorder="1" applyAlignment="1">
      <alignment horizontal="center" vertical="center"/>
    </xf>
    <xf numFmtId="0" fontId="2" fillId="9" borderId="11" xfId="0" applyFont="1" applyFill="1" applyBorder="1" applyAlignment="1">
      <alignment horizontal="center" vertical="center"/>
    </xf>
    <xf numFmtId="0" fontId="2" fillId="9" borderId="12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2" fillId="10" borderId="12" xfId="0" applyFont="1" applyFill="1" applyBorder="1" applyAlignment="1">
      <alignment horizontal="center" vertical="center"/>
    </xf>
    <xf numFmtId="0" fontId="2" fillId="11" borderId="10" xfId="0" applyFont="1" applyFill="1" applyBorder="1" applyAlignment="1">
      <alignment horizontal="center" vertical="center"/>
    </xf>
    <xf numFmtId="0" fontId="2" fillId="11" borderId="11" xfId="0" applyFont="1" applyFill="1" applyBorder="1" applyAlignment="1">
      <alignment horizontal="center" vertical="center"/>
    </xf>
    <xf numFmtId="0" fontId="2" fillId="11" borderId="12" xfId="0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left" vertical="center"/>
    </xf>
    <xf numFmtId="0" fontId="1" fillId="10" borderId="0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left" vertical="center"/>
    </xf>
    <xf numFmtId="0" fontId="1" fillId="10" borderId="8" xfId="0" applyFont="1" applyFill="1" applyBorder="1" applyAlignment="1">
      <alignment horizontal="left" vertical="center"/>
    </xf>
    <xf numFmtId="0" fontId="1" fillId="10" borderId="9" xfId="0" applyFont="1" applyFill="1" applyBorder="1" applyAlignment="1">
      <alignment horizontal="left" vertical="center"/>
    </xf>
    <xf numFmtId="0" fontId="1" fillId="11" borderId="2" xfId="0" applyFont="1" applyFill="1" applyBorder="1" applyAlignment="1">
      <alignment horizontal="left" vertical="center"/>
    </xf>
    <xf numFmtId="0" fontId="1" fillId="11" borderId="3" xfId="0" applyFont="1" applyFill="1" applyBorder="1" applyAlignment="1">
      <alignment horizontal="left" vertical="center"/>
    </xf>
    <xf numFmtId="0" fontId="1" fillId="11" borderId="4" xfId="0" applyFont="1" applyFill="1" applyBorder="1" applyAlignment="1">
      <alignment horizontal="left" vertical="center"/>
    </xf>
    <xf numFmtId="0" fontId="1" fillId="9" borderId="2" xfId="0" applyFont="1" applyFill="1" applyBorder="1" applyAlignment="1">
      <alignment horizontal="left" vertical="center"/>
    </xf>
    <xf numFmtId="0" fontId="1" fillId="9" borderId="3" xfId="0" applyFont="1" applyFill="1" applyBorder="1" applyAlignment="1">
      <alignment horizontal="left" vertical="center"/>
    </xf>
    <xf numFmtId="0" fontId="1" fillId="9" borderId="4" xfId="0" applyFont="1" applyFill="1" applyBorder="1" applyAlignment="1">
      <alignment horizontal="left" vertical="center"/>
    </xf>
    <xf numFmtId="0" fontId="1" fillId="9" borderId="5" xfId="0" applyFont="1" applyFill="1" applyBorder="1" applyAlignment="1">
      <alignment horizontal="left" vertical="center"/>
    </xf>
    <xf numFmtId="0" fontId="1" fillId="9" borderId="0" xfId="0" applyFont="1" applyFill="1" applyBorder="1" applyAlignment="1">
      <alignment horizontal="left" vertical="center"/>
    </xf>
    <xf numFmtId="0" fontId="1" fillId="9" borderId="6" xfId="0" applyFont="1" applyFill="1" applyBorder="1" applyAlignment="1">
      <alignment horizontal="left" vertical="center"/>
    </xf>
    <xf numFmtId="0" fontId="1" fillId="9" borderId="7" xfId="0" applyFont="1" applyFill="1" applyBorder="1" applyAlignment="1">
      <alignment horizontal="left" vertical="center"/>
    </xf>
    <xf numFmtId="0" fontId="1" fillId="9" borderId="8" xfId="0" applyFont="1" applyFill="1" applyBorder="1" applyAlignment="1">
      <alignment horizontal="left" vertical="center"/>
    </xf>
    <xf numFmtId="0" fontId="1" fillId="9" borderId="9" xfId="0" applyFont="1" applyFill="1" applyBorder="1" applyAlignment="1">
      <alignment horizontal="left" vertical="center"/>
    </xf>
    <xf numFmtId="0" fontId="1" fillId="10" borderId="2" xfId="0" applyFont="1" applyFill="1" applyBorder="1" applyAlignment="1">
      <alignment horizontal="left" vertical="center"/>
    </xf>
    <xf numFmtId="0" fontId="1" fillId="10" borderId="3" xfId="0" applyFont="1" applyFill="1" applyBorder="1" applyAlignment="1">
      <alignment horizontal="left" vertical="center"/>
    </xf>
    <xf numFmtId="0" fontId="1" fillId="10" borderId="4" xfId="0" applyFont="1" applyFill="1" applyBorder="1" applyAlignment="1">
      <alignment horizontal="left" vertical="center"/>
    </xf>
    <xf numFmtId="0" fontId="9" fillId="0" borderId="0" xfId="1" applyFill="1" applyBorder="1" applyAlignment="1">
      <alignment horizontal="left" vertical="center"/>
    </xf>
    <xf numFmtId="0" fontId="1" fillId="16" borderId="1" xfId="0" applyFont="1" applyFill="1" applyBorder="1" applyAlignment="1">
      <alignment horizontal="center" vertical="center"/>
    </xf>
    <xf numFmtId="0" fontId="2" fillId="12" borderId="16" xfId="0" applyFont="1" applyFill="1" applyBorder="1" applyAlignment="1">
      <alignment horizontal="center" vertical="center"/>
    </xf>
    <xf numFmtId="0" fontId="2" fillId="12" borderId="17" xfId="0" applyFont="1" applyFill="1" applyBorder="1" applyAlignment="1">
      <alignment horizontal="center" vertical="center"/>
    </xf>
    <xf numFmtId="0" fontId="2" fillId="12" borderId="18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15" borderId="14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/>
    </xf>
    <xf numFmtId="0" fontId="0" fillId="29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0" fillId="30" borderId="0" xfId="0" applyFill="1" applyAlignment="1">
      <alignment horizontal="center"/>
    </xf>
    <xf numFmtId="0" fontId="0" fillId="0" borderId="0" xfId="0" applyAlignment="1">
      <alignment horizontal="left"/>
    </xf>
    <xf numFmtId="0" fontId="2" fillId="17" borderId="16" xfId="0" applyFont="1" applyFill="1" applyBorder="1" applyAlignment="1">
      <alignment horizontal="left" vertical="center"/>
    </xf>
    <xf numFmtId="0" fontId="2" fillId="17" borderId="17" xfId="0" applyFont="1" applyFill="1" applyBorder="1" applyAlignment="1">
      <alignment horizontal="left" vertical="center"/>
    </xf>
    <xf numFmtId="0" fontId="2" fillId="17" borderId="18" xfId="0" applyFont="1" applyFill="1" applyBorder="1" applyAlignment="1">
      <alignment horizontal="left" vertical="center"/>
    </xf>
  </cellXfs>
  <cellStyles count="4">
    <cellStyle name="Body: normal cell" xfId="3" xr:uid="{078028B4-1006-4FB4-95F8-3EAC19838C14}"/>
    <cellStyle name="Hyperlink" xfId="1" builtinId="8"/>
    <cellStyle name="Normal" xfId="0" builtinId="0"/>
    <cellStyle name="Parent row" xfId="2" xr:uid="{E866E4CC-F532-40CF-9032-98E8B10CA9FA}"/>
  </cellStyles>
  <dxfs count="0"/>
  <tableStyles count="0" defaultTableStyle="TableStyleMedium2" defaultPivotStyle="PivotStyleLight16"/>
  <colors>
    <mruColors>
      <color rgb="FFFFE48F"/>
      <color rgb="FFF6BC94"/>
      <color rgb="FFF8CAAA"/>
      <color rgb="FFFFCDCD"/>
      <color rgb="FFFFFFC5"/>
      <color rgb="FFFFB7B7"/>
      <color rgb="FFFDCBC7"/>
      <color rgb="FFFFCDF2"/>
      <color rgb="FFE8D1FF"/>
      <color rgb="FFD9B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720689420359569E-2"/>
          <c:y val="4.6153835988362757E-2"/>
          <c:w val="0.65042717308110409"/>
          <c:h val="0.84339742450362321"/>
        </c:manualLayout>
      </c:layout>
      <c:scatterChart>
        <c:scatterStyle val="smoothMarker"/>
        <c:varyColors val="0"/>
        <c:ser>
          <c:idx val="0"/>
          <c:order val="0"/>
          <c:tx>
            <c:v>Coal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Trend!$C$4:$AH$4</c:f>
              <c:numCache>
                <c:formatCode>0.0</c:formatCode>
                <c:ptCount val="32"/>
                <c:pt idx="0" formatCode="General">
                  <c:v>4241</c:v>
                </c:pt>
                <c:pt idx="1">
                  <c:v>4214.909090909091</c:v>
                </c:pt>
                <c:pt idx="2">
                  <c:v>4188.818181818182</c:v>
                </c:pt>
                <c:pt idx="3">
                  <c:v>4162.727272727273</c:v>
                </c:pt>
                <c:pt idx="4">
                  <c:v>4136.636363636364</c:v>
                </c:pt>
                <c:pt idx="5">
                  <c:v>4110.545454545455</c:v>
                </c:pt>
                <c:pt idx="6">
                  <c:v>4084.4545454545455</c:v>
                </c:pt>
                <c:pt idx="7">
                  <c:v>4058.3636363636365</c:v>
                </c:pt>
                <c:pt idx="8">
                  <c:v>4032.2727272727275</c:v>
                </c:pt>
                <c:pt idx="9">
                  <c:v>4006.181818181818</c:v>
                </c:pt>
                <c:pt idx="10">
                  <c:v>3980.090909090909</c:v>
                </c:pt>
                <c:pt idx="11" formatCode="General">
                  <c:v>3954</c:v>
                </c:pt>
                <c:pt idx="12">
                  <c:v>3951.7</c:v>
                </c:pt>
                <c:pt idx="13">
                  <c:v>3949.4</c:v>
                </c:pt>
                <c:pt idx="14">
                  <c:v>3947.1</c:v>
                </c:pt>
                <c:pt idx="15">
                  <c:v>3944.8</c:v>
                </c:pt>
                <c:pt idx="16">
                  <c:v>3942.5</c:v>
                </c:pt>
                <c:pt idx="17">
                  <c:v>3940.2</c:v>
                </c:pt>
                <c:pt idx="18">
                  <c:v>3937.9</c:v>
                </c:pt>
                <c:pt idx="19">
                  <c:v>3935.6</c:v>
                </c:pt>
                <c:pt idx="20">
                  <c:v>3933.3</c:v>
                </c:pt>
                <c:pt idx="21">
                  <c:v>3931</c:v>
                </c:pt>
                <c:pt idx="22">
                  <c:v>3928.7</c:v>
                </c:pt>
                <c:pt idx="23">
                  <c:v>3926.4</c:v>
                </c:pt>
                <c:pt idx="24">
                  <c:v>3924.1</c:v>
                </c:pt>
                <c:pt idx="25">
                  <c:v>3921.8</c:v>
                </c:pt>
                <c:pt idx="26">
                  <c:v>3919.5</c:v>
                </c:pt>
                <c:pt idx="27">
                  <c:v>3917.2</c:v>
                </c:pt>
                <c:pt idx="28">
                  <c:v>3914.9</c:v>
                </c:pt>
                <c:pt idx="29">
                  <c:v>3912.6</c:v>
                </c:pt>
                <c:pt idx="30">
                  <c:v>3910.3</c:v>
                </c:pt>
                <c:pt idx="31" formatCode="General">
                  <c:v>3908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2D92-4838-AD54-A8069093B1DC}"/>
            </c:ext>
          </c:extLst>
        </c:ser>
        <c:ser>
          <c:idx val="1"/>
          <c:order val="1"/>
          <c:tx>
            <c:v>Coal (with CCS)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Trend!$C$5:$AH$5</c:f>
              <c:numCache>
                <c:formatCode>0.0</c:formatCode>
                <c:ptCount val="32"/>
                <c:pt idx="0" formatCode="General">
                  <c:v>6049</c:v>
                </c:pt>
                <c:pt idx="1">
                  <c:v>6019.090909090909</c:v>
                </c:pt>
                <c:pt idx="2">
                  <c:v>5989.181818181818</c:v>
                </c:pt>
                <c:pt idx="3">
                  <c:v>5959.272727272727</c:v>
                </c:pt>
                <c:pt idx="4">
                  <c:v>5929.363636363636</c:v>
                </c:pt>
                <c:pt idx="5">
                  <c:v>5899.454545454545</c:v>
                </c:pt>
                <c:pt idx="6">
                  <c:v>5869.545454545455</c:v>
                </c:pt>
                <c:pt idx="7">
                  <c:v>5839.636363636364</c:v>
                </c:pt>
                <c:pt idx="8">
                  <c:v>5809.727272727273</c:v>
                </c:pt>
                <c:pt idx="9">
                  <c:v>5779.818181818182</c:v>
                </c:pt>
                <c:pt idx="10">
                  <c:v>5749.909090909091</c:v>
                </c:pt>
                <c:pt idx="11" formatCode="General">
                  <c:v>5720</c:v>
                </c:pt>
                <c:pt idx="12">
                  <c:v>5713.9250000000002</c:v>
                </c:pt>
                <c:pt idx="13">
                  <c:v>5707.85</c:v>
                </c:pt>
                <c:pt idx="14">
                  <c:v>5701.7749999999996</c:v>
                </c:pt>
                <c:pt idx="15">
                  <c:v>5695.7</c:v>
                </c:pt>
                <c:pt idx="16">
                  <c:v>5689.625</c:v>
                </c:pt>
                <c:pt idx="17">
                  <c:v>5683.55</c:v>
                </c:pt>
                <c:pt idx="18">
                  <c:v>5677.4750000000004</c:v>
                </c:pt>
                <c:pt idx="19">
                  <c:v>5671.4</c:v>
                </c:pt>
                <c:pt idx="20">
                  <c:v>5665.3249999999998</c:v>
                </c:pt>
                <c:pt idx="21">
                  <c:v>5659.25</c:v>
                </c:pt>
                <c:pt idx="22">
                  <c:v>5653.1750000000002</c:v>
                </c:pt>
                <c:pt idx="23">
                  <c:v>5647.1</c:v>
                </c:pt>
                <c:pt idx="24">
                  <c:v>5641.0249999999996</c:v>
                </c:pt>
                <c:pt idx="25">
                  <c:v>5634.95</c:v>
                </c:pt>
                <c:pt idx="26">
                  <c:v>5628.875</c:v>
                </c:pt>
                <c:pt idx="27">
                  <c:v>5622.8</c:v>
                </c:pt>
                <c:pt idx="28">
                  <c:v>5616.7250000000004</c:v>
                </c:pt>
                <c:pt idx="29">
                  <c:v>5610.65</c:v>
                </c:pt>
                <c:pt idx="30">
                  <c:v>5604.5749999999998</c:v>
                </c:pt>
                <c:pt idx="31" formatCode="General">
                  <c:v>5598.5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D92-4838-AD54-A8069093B1DC}"/>
            </c:ext>
          </c:extLst>
        </c:ser>
        <c:ser>
          <c:idx val="2"/>
          <c:order val="2"/>
          <c:tx>
            <c:v>Gas - CT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Trend!$C$6:$AH$6</c:f>
              <c:numCache>
                <c:formatCode>0.0</c:formatCode>
                <c:ptCount val="32"/>
                <c:pt idx="0" formatCode="General">
                  <c:v>902</c:v>
                </c:pt>
                <c:pt idx="1">
                  <c:v>897.4545454545455</c:v>
                </c:pt>
                <c:pt idx="2">
                  <c:v>892.90909090909088</c:v>
                </c:pt>
                <c:pt idx="3">
                  <c:v>888.36363636363637</c:v>
                </c:pt>
                <c:pt idx="4">
                  <c:v>883.81818181818187</c:v>
                </c:pt>
                <c:pt idx="5">
                  <c:v>879.27272727272725</c:v>
                </c:pt>
                <c:pt idx="6">
                  <c:v>874.72727272727275</c:v>
                </c:pt>
                <c:pt idx="7">
                  <c:v>870.18181818181813</c:v>
                </c:pt>
                <c:pt idx="8">
                  <c:v>865.63636363636363</c:v>
                </c:pt>
                <c:pt idx="9">
                  <c:v>861.09090909090912</c:v>
                </c:pt>
                <c:pt idx="10">
                  <c:v>856.5454545454545</c:v>
                </c:pt>
                <c:pt idx="11" formatCode="General">
                  <c:v>852</c:v>
                </c:pt>
                <c:pt idx="12">
                  <c:v>848.7</c:v>
                </c:pt>
                <c:pt idx="13">
                  <c:v>845.4</c:v>
                </c:pt>
                <c:pt idx="14">
                  <c:v>842.1</c:v>
                </c:pt>
                <c:pt idx="15">
                  <c:v>838.8</c:v>
                </c:pt>
                <c:pt idx="16">
                  <c:v>835.5</c:v>
                </c:pt>
                <c:pt idx="17">
                  <c:v>832.2</c:v>
                </c:pt>
                <c:pt idx="18">
                  <c:v>828.9</c:v>
                </c:pt>
                <c:pt idx="19">
                  <c:v>825.6</c:v>
                </c:pt>
                <c:pt idx="20">
                  <c:v>822.3</c:v>
                </c:pt>
                <c:pt idx="21">
                  <c:v>819</c:v>
                </c:pt>
                <c:pt idx="22">
                  <c:v>815.7</c:v>
                </c:pt>
                <c:pt idx="23">
                  <c:v>812.4</c:v>
                </c:pt>
                <c:pt idx="24">
                  <c:v>809.1</c:v>
                </c:pt>
                <c:pt idx="25">
                  <c:v>805.8</c:v>
                </c:pt>
                <c:pt idx="26">
                  <c:v>802.5</c:v>
                </c:pt>
                <c:pt idx="27">
                  <c:v>799.2</c:v>
                </c:pt>
                <c:pt idx="28">
                  <c:v>795.9</c:v>
                </c:pt>
                <c:pt idx="29">
                  <c:v>792.6</c:v>
                </c:pt>
                <c:pt idx="30">
                  <c:v>789.3</c:v>
                </c:pt>
                <c:pt idx="31" formatCode="General">
                  <c:v>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D92-4838-AD54-A8069093B1DC}"/>
            </c:ext>
          </c:extLst>
        </c:ser>
        <c:ser>
          <c:idx val="3"/>
          <c:order val="3"/>
          <c:tx>
            <c:v>Gas - CC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Trend!$C$7:$AH$7</c:f>
              <c:numCache>
                <c:formatCode>0.0</c:formatCode>
                <c:ptCount val="32"/>
                <c:pt idx="0" formatCode="General">
                  <c:v>1054</c:v>
                </c:pt>
                <c:pt idx="1">
                  <c:v>1049.1818181818182</c:v>
                </c:pt>
                <c:pt idx="2">
                  <c:v>1044.3636363636363</c:v>
                </c:pt>
                <c:pt idx="3">
                  <c:v>1039.5454545454545</c:v>
                </c:pt>
                <c:pt idx="4">
                  <c:v>1034.7272727272727</c:v>
                </c:pt>
                <c:pt idx="5">
                  <c:v>1029.909090909091</c:v>
                </c:pt>
                <c:pt idx="6">
                  <c:v>1025.090909090909</c:v>
                </c:pt>
                <c:pt idx="7">
                  <c:v>1020.2727272727273</c:v>
                </c:pt>
                <c:pt idx="8">
                  <c:v>1015.4545454545455</c:v>
                </c:pt>
                <c:pt idx="9">
                  <c:v>1010.6363636363636</c:v>
                </c:pt>
                <c:pt idx="10">
                  <c:v>1005.8181818181819</c:v>
                </c:pt>
                <c:pt idx="11" formatCode="General">
                  <c:v>1001</c:v>
                </c:pt>
                <c:pt idx="12">
                  <c:v>997.3</c:v>
                </c:pt>
                <c:pt idx="13">
                  <c:v>993.6</c:v>
                </c:pt>
                <c:pt idx="14">
                  <c:v>989.9</c:v>
                </c:pt>
                <c:pt idx="15">
                  <c:v>986.2</c:v>
                </c:pt>
                <c:pt idx="16">
                  <c:v>982.5</c:v>
                </c:pt>
                <c:pt idx="17">
                  <c:v>978.8</c:v>
                </c:pt>
                <c:pt idx="18">
                  <c:v>975.1</c:v>
                </c:pt>
                <c:pt idx="19">
                  <c:v>971.4</c:v>
                </c:pt>
                <c:pt idx="20">
                  <c:v>967.7</c:v>
                </c:pt>
                <c:pt idx="21">
                  <c:v>964</c:v>
                </c:pt>
                <c:pt idx="22">
                  <c:v>960.3</c:v>
                </c:pt>
                <c:pt idx="23">
                  <c:v>956.6</c:v>
                </c:pt>
                <c:pt idx="24">
                  <c:v>952.9</c:v>
                </c:pt>
                <c:pt idx="25">
                  <c:v>949.2</c:v>
                </c:pt>
                <c:pt idx="26">
                  <c:v>945.5</c:v>
                </c:pt>
                <c:pt idx="27">
                  <c:v>941.8</c:v>
                </c:pt>
                <c:pt idx="28">
                  <c:v>938.1</c:v>
                </c:pt>
                <c:pt idx="29">
                  <c:v>934.4</c:v>
                </c:pt>
                <c:pt idx="30">
                  <c:v>930.7</c:v>
                </c:pt>
                <c:pt idx="31" formatCode="General">
                  <c:v>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D92-4838-AD54-A8069093B1DC}"/>
            </c:ext>
          </c:extLst>
        </c:ser>
        <c:ser>
          <c:idx val="4"/>
          <c:order val="4"/>
          <c:tx>
            <c:v>Gas - CC (with CCS)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Trend!$C$8:$AH$8</c:f>
              <c:numCache>
                <c:formatCode>0.0</c:formatCode>
                <c:ptCount val="32"/>
                <c:pt idx="0" formatCode="General">
                  <c:v>2201</c:v>
                </c:pt>
                <c:pt idx="1">
                  <c:v>2181.909090909091</c:v>
                </c:pt>
                <c:pt idx="2">
                  <c:v>2162.818181818182</c:v>
                </c:pt>
                <c:pt idx="3">
                  <c:v>2143.7272727272725</c:v>
                </c:pt>
                <c:pt idx="4">
                  <c:v>2124.6363636363635</c:v>
                </c:pt>
                <c:pt idx="5">
                  <c:v>2105.5454545454545</c:v>
                </c:pt>
                <c:pt idx="6">
                  <c:v>2086.4545454545455</c:v>
                </c:pt>
                <c:pt idx="7">
                  <c:v>2067.3636363636365</c:v>
                </c:pt>
                <c:pt idx="8">
                  <c:v>2048.2727272727275</c:v>
                </c:pt>
                <c:pt idx="9">
                  <c:v>2029.1818181818182</c:v>
                </c:pt>
                <c:pt idx="10">
                  <c:v>2010.090909090909</c:v>
                </c:pt>
                <c:pt idx="11" formatCode="General">
                  <c:v>1991</c:v>
                </c:pt>
                <c:pt idx="12">
                  <c:v>1976.3</c:v>
                </c:pt>
                <c:pt idx="13">
                  <c:v>1961.6</c:v>
                </c:pt>
                <c:pt idx="14">
                  <c:v>1946.9</c:v>
                </c:pt>
                <c:pt idx="15">
                  <c:v>1932.2</c:v>
                </c:pt>
                <c:pt idx="16">
                  <c:v>1917.5</c:v>
                </c:pt>
                <c:pt idx="17">
                  <c:v>1902.8</c:v>
                </c:pt>
                <c:pt idx="18">
                  <c:v>1888.1</c:v>
                </c:pt>
                <c:pt idx="19">
                  <c:v>1873.4</c:v>
                </c:pt>
                <c:pt idx="20">
                  <c:v>1858.7</c:v>
                </c:pt>
                <c:pt idx="21">
                  <c:v>1844</c:v>
                </c:pt>
                <c:pt idx="22">
                  <c:v>1829.3</c:v>
                </c:pt>
                <c:pt idx="23">
                  <c:v>1814.6</c:v>
                </c:pt>
                <c:pt idx="24">
                  <c:v>1799.9</c:v>
                </c:pt>
                <c:pt idx="25">
                  <c:v>1785.2</c:v>
                </c:pt>
                <c:pt idx="26">
                  <c:v>1770.5</c:v>
                </c:pt>
                <c:pt idx="27">
                  <c:v>1755.8</c:v>
                </c:pt>
                <c:pt idx="28">
                  <c:v>1741.1</c:v>
                </c:pt>
                <c:pt idx="29">
                  <c:v>1726.4</c:v>
                </c:pt>
                <c:pt idx="30">
                  <c:v>1711.7</c:v>
                </c:pt>
                <c:pt idx="31" formatCode="General">
                  <c:v>1697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D92-4838-AD54-A8069093B1DC}"/>
            </c:ext>
          </c:extLst>
        </c:ser>
        <c:ser>
          <c:idx val="6"/>
          <c:order val="5"/>
          <c:tx>
            <c:v>Solar (PV)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Trend!$C$9:$AH$9</c:f>
              <c:numCache>
                <c:formatCode>0.0</c:formatCode>
                <c:ptCount val="32"/>
                <c:pt idx="0" formatCode="General">
                  <c:v>1778</c:v>
                </c:pt>
                <c:pt idx="1">
                  <c:v>1691</c:v>
                </c:pt>
                <c:pt idx="2">
                  <c:v>1604</c:v>
                </c:pt>
                <c:pt idx="3">
                  <c:v>1517</c:v>
                </c:pt>
                <c:pt idx="4">
                  <c:v>1430</c:v>
                </c:pt>
                <c:pt idx="5">
                  <c:v>1343</c:v>
                </c:pt>
                <c:pt idx="6">
                  <c:v>1256</c:v>
                </c:pt>
                <c:pt idx="7">
                  <c:v>1169</c:v>
                </c:pt>
                <c:pt idx="8">
                  <c:v>1082</c:v>
                </c:pt>
                <c:pt idx="9">
                  <c:v>995</c:v>
                </c:pt>
                <c:pt idx="10">
                  <c:v>908</c:v>
                </c:pt>
                <c:pt idx="11" formatCode="General">
                  <c:v>821</c:v>
                </c:pt>
                <c:pt idx="12">
                  <c:v>813.4</c:v>
                </c:pt>
                <c:pt idx="13">
                  <c:v>805.8</c:v>
                </c:pt>
                <c:pt idx="14">
                  <c:v>798.2</c:v>
                </c:pt>
                <c:pt idx="15">
                  <c:v>790.6</c:v>
                </c:pt>
                <c:pt idx="16">
                  <c:v>783</c:v>
                </c:pt>
                <c:pt idx="17">
                  <c:v>775.4</c:v>
                </c:pt>
                <c:pt idx="18">
                  <c:v>767.8</c:v>
                </c:pt>
                <c:pt idx="19">
                  <c:v>760.2</c:v>
                </c:pt>
                <c:pt idx="20">
                  <c:v>752.6</c:v>
                </c:pt>
                <c:pt idx="21">
                  <c:v>745</c:v>
                </c:pt>
                <c:pt idx="22">
                  <c:v>737.4</c:v>
                </c:pt>
                <c:pt idx="23">
                  <c:v>729.8</c:v>
                </c:pt>
                <c:pt idx="24">
                  <c:v>722.2</c:v>
                </c:pt>
                <c:pt idx="25">
                  <c:v>714.6</c:v>
                </c:pt>
                <c:pt idx="26">
                  <c:v>707</c:v>
                </c:pt>
                <c:pt idx="27">
                  <c:v>699.4</c:v>
                </c:pt>
                <c:pt idx="28">
                  <c:v>691.8</c:v>
                </c:pt>
                <c:pt idx="29">
                  <c:v>684.2</c:v>
                </c:pt>
                <c:pt idx="30">
                  <c:v>676.6</c:v>
                </c:pt>
                <c:pt idx="31" formatCode="General">
                  <c:v>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2D92-4838-AD54-A8069093B1DC}"/>
            </c:ext>
          </c:extLst>
        </c:ser>
        <c:ser>
          <c:idx val="7"/>
          <c:order val="6"/>
          <c:tx>
            <c:v>Solar (CSP)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Trend!$C$10:$AH$10</c:f>
              <c:numCache>
                <c:formatCode>0.0</c:formatCode>
                <c:ptCount val="32"/>
                <c:pt idx="0" formatCode="General">
                  <c:v>7872</c:v>
                </c:pt>
                <c:pt idx="1">
                  <c:v>7684.181818181818</c:v>
                </c:pt>
                <c:pt idx="2">
                  <c:v>7496.363636363636</c:v>
                </c:pt>
                <c:pt idx="3">
                  <c:v>7308.545454545454</c:v>
                </c:pt>
                <c:pt idx="4">
                  <c:v>7120.727272727273</c:v>
                </c:pt>
                <c:pt idx="5">
                  <c:v>6932.909090909091</c:v>
                </c:pt>
                <c:pt idx="6">
                  <c:v>6745.090909090909</c:v>
                </c:pt>
                <c:pt idx="7">
                  <c:v>6557.272727272727</c:v>
                </c:pt>
                <c:pt idx="8">
                  <c:v>6369.454545454546</c:v>
                </c:pt>
                <c:pt idx="9">
                  <c:v>6181.636363636364</c:v>
                </c:pt>
                <c:pt idx="10">
                  <c:v>5993.818181818182</c:v>
                </c:pt>
                <c:pt idx="11" formatCode="General">
                  <c:v>5806</c:v>
                </c:pt>
                <c:pt idx="12">
                  <c:v>5747.95</c:v>
                </c:pt>
                <c:pt idx="13">
                  <c:v>5689.9</c:v>
                </c:pt>
                <c:pt idx="14">
                  <c:v>5631.85</c:v>
                </c:pt>
                <c:pt idx="15">
                  <c:v>5573.8</c:v>
                </c:pt>
                <c:pt idx="16">
                  <c:v>5515.75</c:v>
                </c:pt>
                <c:pt idx="17">
                  <c:v>5457.7</c:v>
                </c:pt>
                <c:pt idx="18">
                  <c:v>5399.65</c:v>
                </c:pt>
                <c:pt idx="19">
                  <c:v>5341.6</c:v>
                </c:pt>
                <c:pt idx="20">
                  <c:v>5283.55</c:v>
                </c:pt>
                <c:pt idx="21">
                  <c:v>5225.5</c:v>
                </c:pt>
                <c:pt idx="22">
                  <c:v>5167.45</c:v>
                </c:pt>
                <c:pt idx="23">
                  <c:v>5109.3999999999996</c:v>
                </c:pt>
                <c:pt idx="24">
                  <c:v>5051.3500000000004</c:v>
                </c:pt>
                <c:pt idx="25">
                  <c:v>4993.3</c:v>
                </c:pt>
                <c:pt idx="26">
                  <c:v>4935.25</c:v>
                </c:pt>
                <c:pt idx="27">
                  <c:v>4877.2</c:v>
                </c:pt>
                <c:pt idx="28">
                  <c:v>4819.1499999999996</c:v>
                </c:pt>
                <c:pt idx="29">
                  <c:v>4761.1000000000004</c:v>
                </c:pt>
                <c:pt idx="30">
                  <c:v>4703.05</c:v>
                </c:pt>
                <c:pt idx="31" formatCode="General">
                  <c:v>4645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2D92-4838-AD54-A8069093B1DC}"/>
            </c:ext>
          </c:extLst>
        </c:ser>
        <c:ser>
          <c:idx val="5"/>
          <c:order val="7"/>
          <c:tx>
            <c:v>Wind (Onshore)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Trend!$C$11:$AH$11</c:f>
              <c:numCache>
                <c:formatCode>0.0</c:formatCode>
                <c:ptCount val="32"/>
                <c:pt idx="0" formatCode="General">
                  <c:v>1640</c:v>
                </c:pt>
                <c:pt idx="1">
                  <c:v>1643.5454545454545</c:v>
                </c:pt>
                <c:pt idx="2">
                  <c:v>1647.090909090909</c:v>
                </c:pt>
                <c:pt idx="3">
                  <c:v>1650.6363636363637</c:v>
                </c:pt>
                <c:pt idx="4">
                  <c:v>1654.1818181818182</c:v>
                </c:pt>
                <c:pt idx="5">
                  <c:v>1657.7272727272727</c:v>
                </c:pt>
                <c:pt idx="6">
                  <c:v>1661.2727272727273</c:v>
                </c:pt>
                <c:pt idx="7">
                  <c:v>1664.8181818181818</c:v>
                </c:pt>
                <c:pt idx="8">
                  <c:v>1668.3636363636363</c:v>
                </c:pt>
                <c:pt idx="9">
                  <c:v>1671.909090909091</c:v>
                </c:pt>
                <c:pt idx="10">
                  <c:v>1675.4545454545455</c:v>
                </c:pt>
                <c:pt idx="11" formatCode="General">
                  <c:v>1679</c:v>
                </c:pt>
                <c:pt idx="12">
                  <c:v>1682.7750000000001</c:v>
                </c:pt>
                <c:pt idx="13">
                  <c:v>1686.55</c:v>
                </c:pt>
                <c:pt idx="14">
                  <c:v>1690.325</c:v>
                </c:pt>
                <c:pt idx="15">
                  <c:v>1694.1</c:v>
                </c:pt>
                <c:pt idx="16">
                  <c:v>1697.875</c:v>
                </c:pt>
                <c:pt idx="17">
                  <c:v>1701.65</c:v>
                </c:pt>
                <c:pt idx="18">
                  <c:v>1705.425</c:v>
                </c:pt>
                <c:pt idx="19">
                  <c:v>1709.2</c:v>
                </c:pt>
                <c:pt idx="20">
                  <c:v>1712.9749999999999</c:v>
                </c:pt>
                <c:pt idx="21">
                  <c:v>1716.75</c:v>
                </c:pt>
                <c:pt idx="22">
                  <c:v>1720.5250000000001</c:v>
                </c:pt>
                <c:pt idx="23">
                  <c:v>1724.3</c:v>
                </c:pt>
                <c:pt idx="24">
                  <c:v>1728.075</c:v>
                </c:pt>
                <c:pt idx="25">
                  <c:v>1731.85</c:v>
                </c:pt>
                <c:pt idx="26">
                  <c:v>1735.625</c:v>
                </c:pt>
                <c:pt idx="27">
                  <c:v>1739.4</c:v>
                </c:pt>
                <c:pt idx="28">
                  <c:v>1743.175</c:v>
                </c:pt>
                <c:pt idx="29">
                  <c:v>1746.95</c:v>
                </c:pt>
                <c:pt idx="30">
                  <c:v>1750.7249999999999</c:v>
                </c:pt>
                <c:pt idx="31" formatCode="General">
                  <c:v>1754.5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D92-4838-AD54-A8069093B1DC}"/>
            </c:ext>
          </c:extLst>
        </c:ser>
        <c:ser>
          <c:idx val="8"/>
          <c:order val="8"/>
          <c:tx>
            <c:v>Wind (Offshore)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Trend!$C$12:$AH$12</c:f>
              <c:numCache>
                <c:formatCode>0.0</c:formatCode>
                <c:ptCount val="32"/>
                <c:pt idx="0" formatCode="General">
                  <c:v>6002</c:v>
                </c:pt>
                <c:pt idx="1">
                  <c:v>5841.636363636364</c:v>
                </c:pt>
                <c:pt idx="2">
                  <c:v>5681.272727272727</c:v>
                </c:pt>
                <c:pt idx="3">
                  <c:v>5520.909090909091</c:v>
                </c:pt>
                <c:pt idx="4">
                  <c:v>5360.545454545454</c:v>
                </c:pt>
                <c:pt idx="5">
                  <c:v>5200.181818181818</c:v>
                </c:pt>
                <c:pt idx="6">
                  <c:v>5039.818181818182</c:v>
                </c:pt>
                <c:pt idx="7">
                  <c:v>4879.454545454546</c:v>
                </c:pt>
                <c:pt idx="8">
                  <c:v>4719.090909090909</c:v>
                </c:pt>
                <c:pt idx="9">
                  <c:v>4558.727272727273</c:v>
                </c:pt>
                <c:pt idx="10">
                  <c:v>4398.363636363636</c:v>
                </c:pt>
                <c:pt idx="11" formatCode="General">
                  <c:v>4238</c:v>
                </c:pt>
                <c:pt idx="12">
                  <c:v>4206.05</c:v>
                </c:pt>
                <c:pt idx="13">
                  <c:v>4174.1000000000004</c:v>
                </c:pt>
                <c:pt idx="14">
                  <c:v>4142.1499999999996</c:v>
                </c:pt>
                <c:pt idx="15">
                  <c:v>4110.2</c:v>
                </c:pt>
                <c:pt idx="16">
                  <c:v>4078.25</c:v>
                </c:pt>
                <c:pt idx="17">
                  <c:v>4046.3</c:v>
                </c:pt>
                <c:pt idx="18">
                  <c:v>4014.35</c:v>
                </c:pt>
                <c:pt idx="19">
                  <c:v>3982.4</c:v>
                </c:pt>
                <c:pt idx="20">
                  <c:v>3950.45</c:v>
                </c:pt>
                <c:pt idx="21">
                  <c:v>3918.5</c:v>
                </c:pt>
                <c:pt idx="22">
                  <c:v>3886.55</c:v>
                </c:pt>
                <c:pt idx="23">
                  <c:v>3854.6</c:v>
                </c:pt>
                <c:pt idx="24">
                  <c:v>3822.65</c:v>
                </c:pt>
                <c:pt idx="25">
                  <c:v>3790.7</c:v>
                </c:pt>
                <c:pt idx="26">
                  <c:v>3758.75</c:v>
                </c:pt>
                <c:pt idx="27">
                  <c:v>3726.8</c:v>
                </c:pt>
                <c:pt idx="28">
                  <c:v>3694.85</c:v>
                </c:pt>
                <c:pt idx="29">
                  <c:v>3662.9</c:v>
                </c:pt>
                <c:pt idx="30">
                  <c:v>3630.95</c:v>
                </c:pt>
                <c:pt idx="31" formatCode="General">
                  <c:v>3599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2D92-4838-AD54-A8069093B1DC}"/>
            </c:ext>
          </c:extLst>
        </c:ser>
        <c:ser>
          <c:idx val="9"/>
          <c:order val="9"/>
          <c:tx>
            <c:v>Nuclear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Trend!$C$13:$AH$13</c:f>
              <c:numCache>
                <c:formatCode>0.0</c:formatCode>
                <c:ptCount val="32"/>
                <c:pt idx="0" formatCode="General">
                  <c:v>6158</c:v>
                </c:pt>
                <c:pt idx="1">
                  <c:v>6133.363636363636</c:v>
                </c:pt>
                <c:pt idx="2">
                  <c:v>6108.727272727273</c:v>
                </c:pt>
                <c:pt idx="3">
                  <c:v>6084.090909090909</c:v>
                </c:pt>
                <c:pt idx="4">
                  <c:v>6059.454545454545</c:v>
                </c:pt>
                <c:pt idx="5">
                  <c:v>6034.818181818182</c:v>
                </c:pt>
                <c:pt idx="6">
                  <c:v>6010.181818181818</c:v>
                </c:pt>
                <c:pt idx="7">
                  <c:v>5985.545454545455</c:v>
                </c:pt>
                <c:pt idx="8">
                  <c:v>5960.909090909091</c:v>
                </c:pt>
                <c:pt idx="9">
                  <c:v>5936.272727272727</c:v>
                </c:pt>
                <c:pt idx="10">
                  <c:v>5911.636363636364</c:v>
                </c:pt>
                <c:pt idx="11" formatCode="General">
                  <c:v>5887</c:v>
                </c:pt>
                <c:pt idx="12">
                  <c:v>5853.2</c:v>
                </c:pt>
                <c:pt idx="13">
                  <c:v>5819.4</c:v>
                </c:pt>
                <c:pt idx="14">
                  <c:v>5785.6</c:v>
                </c:pt>
                <c:pt idx="15">
                  <c:v>5751.8</c:v>
                </c:pt>
                <c:pt idx="16">
                  <c:v>5718</c:v>
                </c:pt>
                <c:pt idx="17">
                  <c:v>5684.2</c:v>
                </c:pt>
                <c:pt idx="18">
                  <c:v>5650.4</c:v>
                </c:pt>
                <c:pt idx="19">
                  <c:v>5616.6</c:v>
                </c:pt>
                <c:pt idx="20">
                  <c:v>5582.8</c:v>
                </c:pt>
                <c:pt idx="21">
                  <c:v>5549</c:v>
                </c:pt>
                <c:pt idx="22">
                  <c:v>5515.2</c:v>
                </c:pt>
                <c:pt idx="23">
                  <c:v>5481.4</c:v>
                </c:pt>
                <c:pt idx="24">
                  <c:v>5447.6</c:v>
                </c:pt>
                <c:pt idx="25">
                  <c:v>5413.8</c:v>
                </c:pt>
                <c:pt idx="26">
                  <c:v>5380</c:v>
                </c:pt>
                <c:pt idx="27">
                  <c:v>5346.2</c:v>
                </c:pt>
                <c:pt idx="28">
                  <c:v>5312.4</c:v>
                </c:pt>
                <c:pt idx="29">
                  <c:v>5278.6</c:v>
                </c:pt>
                <c:pt idx="30">
                  <c:v>5244.8</c:v>
                </c:pt>
                <c:pt idx="31" formatCode="General">
                  <c:v>5211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2D92-4838-AD54-A8069093B1DC}"/>
            </c:ext>
          </c:extLst>
        </c:ser>
        <c:ser>
          <c:idx val="10"/>
          <c:order val="10"/>
          <c:tx>
            <c:v>Geothermal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Trend!$C$14:$AH$14</c:f>
              <c:numCache>
                <c:formatCode>0.0</c:formatCode>
                <c:ptCount val="32"/>
                <c:pt idx="0" formatCode="General">
                  <c:v>9400</c:v>
                </c:pt>
                <c:pt idx="1">
                  <c:v>9370.136363636364</c:v>
                </c:pt>
                <c:pt idx="2">
                  <c:v>9340.2727272727279</c:v>
                </c:pt>
                <c:pt idx="3">
                  <c:v>9310.4090909090901</c:v>
                </c:pt>
                <c:pt idx="4">
                  <c:v>9280.545454545454</c:v>
                </c:pt>
                <c:pt idx="5">
                  <c:v>9250.681818181818</c:v>
                </c:pt>
                <c:pt idx="6">
                  <c:v>9220.818181818182</c:v>
                </c:pt>
                <c:pt idx="7">
                  <c:v>9190.954545454546</c:v>
                </c:pt>
                <c:pt idx="8">
                  <c:v>9161.0909090909099</c:v>
                </c:pt>
                <c:pt idx="9">
                  <c:v>9131.2272727272721</c:v>
                </c:pt>
                <c:pt idx="10">
                  <c:v>9101.363636363636</c:v>
                </c:pt>
                <c:pt idx="11" formatCode="General">
                  <c:v>9071.5</c:v>
                </c:pt>
                <c:pt idx="12">
                  <c:v>9048</c:v>
                </c:pt>
                <c:pt idx="13">
                  <c:v>9024.5</c:v>
                </c:pt>
                <c:pt idx="14">
                  <c:v>9001</c:v>
                </c:pt>
                <c:pt idx="15">
                  <c:v>8977.5</c:v>
                </c:pt>
                <c:pt idx="16">
                  <c:v>8954</c:v>
                </c:pt>
                <c:pt idx="17">
                  <c:v>8930.5</c:v>
                </c:pt>
                <c:pt idx="18">
                  <c:v>8907</c:v>
                </c:pt>
                <c:pt idx="19">
                  <c:v>8883.5</c:v>
                </c:pt>
                <c:pt idx="20">
                  <c:v>8860</c:v>
                </c:pt>
                <c:pt idx="21">
                  <c:v>8836.5</c:v>
                </c:pt>
                <c:pt idx="22">
                  <c:v>8813</c:v>
                </c:pt>
                <c:pt idx="23">
                  <c:v>8789.5</c:v>
                </c:pt>
                <c:pt idx="24">
                  <c:v>8766</c:v>
                </c:pt>
                <c:pt idx="25">
                  <c:v>8742.5</c:v>
                </c:pt>
                <c:pt idx="26">
                  <c:v>8719</c:v>
                </c:pt>
                <c:pt idx="27">
                  <c:v>8695.5</c:v>
                </c:pt>
                <c:pt idx="28">
                  <c:v>8672</c:v>
                </c:pt>
                <c:pt idx="29">
                  <c:v>8648.5</c:v>
                </c:pt>
                <c:pt idx="30">
                  <c:v>8625</c:v>
                </c:pt>
                <c:pt idx="31" formatCode="General">
                  <c:v>8601.5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D92-4838-AD54-A8069093B1DC}"/>
            </c:ext>
          </c:extLst>
        </c:ser>
        <c:ser>
          <c:idx val="11"/>
          <c:order val="11"/>
          <c:tx>
            <c:v>Biomass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Trend!$C$15:$AH$15</c:f>
              <c:numCache>
                <c:formatCode>0.0</c:formatCode>
                <c:ptCount val="32"/>
                <c:pt idx="0" formatCode="General">
                  <c:v>4035</c:v>
                </c:pt>
                <c:pt idx="1">
                  <c:v>4017.681818181818</c:v>
                </c:pt>
                <c:pt idx="2">
                  <c:v>4000.3636363636365</c:v>
                </c:pt>
                <c:pt idx="3">
                  <c:v>3983.0454545454545</c:v>
                </c:pt>
                <c:pt idx="4">
                  <c:v>3965.7272727272725</c:v>
                </c:pt>
                <c:pt idx="5">
                  <c:v>3948.409090909091</c:v>
                </c:pt>
                <c:pt idx="6">
                  <c:v>3931.090909090909</c:v>
                </c:pt>
                <c:pt idx="7">
                  <c:v>3913.7727272727275</c:v>
                </c:pt>
                <c:pt idx="8">
                  <c:v>3896.4545454545455</c:v>
                </c:pt>
                <c:pt idx="9">
                  <c:v>3879.1363636363635</c:v>
                </c:pt>
                <c:pt idx="10">
                  <c:v>3861.818181818182</c:v>
                </c:pt>
                <c:pt idx="11" formatCode="General">
                  <c:v>3844.5</c:v>
                </c:pt>
                <c:pt idx="12">
                  <c:v>3831.05</c:v>
                </c:pt>
                <c:pt idx="13">
                  <c:v>3817.6</c:v>
                </c:pt>
                <c:pt idx="14">
                  <c:v>3804.15</c:v>
                </c:pt>
                <c:pt idx="15">
                  <c:v>3790.7</c:v>
                </c:pt>
                <c:pt idx="16">
                  <c:v>3777.25</c:v>
                </c:pt>
                <c:pt idx="17">
                  <c:v>3763.8</c:v>
                </c:pt>
                <c:pt idx="18">
                  <c:v>3750.35</c:v>
                </c:pt>
                <c:pt idx="19">
                  <c:v>3736.9</c:v>
                </c:pt>
                <c:pt idx="20">
                  <c:v>3723.45</c:v>
                </c:pt>
                <c:pt idx="21">
                  <c:v>3710</c:v>
                </c:pt>
                <c:pt idx="22">
                  <c:v>3696.55</c:v>
                </c:pt>
                <c:pt idx="23">
                  <c:v>3683.1</c:v>
                </c:pt>
                <c:pt idx="24">
                  <c:v>3669.65</c:v>
                </c:pt>
                <c:pt idx="25">
                  <c:v>3656.2</c:v>
                </c:pt>
                <c:pt idx="26">
                  <c:v>3642.75</c:v>
                </c:pt>
                <c:pt idx="27">
                  <c:v>3629.3</c:v>
                </c:pt>
                <c:pt idx="28">
                  <c:v>3615.85</c:v>
                </c:pt>
                <c:pt idx="29">
                  <c:v>3602.4</c:v>
                </c:pt>
                <c:pt idx="30">
                  <c:v>3588.95</c:v>
                </c:pt>
                <c:pt idx="31" formatCode="General">
                  <c:v>3575.5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2D92-4838-AD54-A8069093B1DC}"/>
            </c:ext>
          </c:extLst>
        </c:ser>
        <c:ser>
          <c:idx val="12"/>
          <c:order val="12"/>
          <c:tx>
            <c:v>Hydro (Dam)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Trend!$C$16:$AH$16</c:f>
              <c:numCache>
                <c:formatCode>0.0</c:formatCode>
                <c:ptCount val="32"/>
                <c:pt idx="0" formatCode="General">
                  <c:v>5691.5</c:v>
                </c:pt>
                <c:pt idx="1">
                  <c:v>5678.772727272727</c:v>
                </c:pt>
                <c:pt idx="2">
                  <c:v>5666.045454545455</c:v>
                </c:pt>
                <c:pt idx="3">
                  <c:v>5653.318181818182</c:v>
                </c:pt>
                <c:pt idx="4">
                  <c:v>5640.590909090909</c:v>
                </c:pt>
                <c:pt idx="5">
                  <c:v>5627.863636363636</c:v>
                </c:pt>
                <c:pt idx="6">
                  <c:v>5615.136363636364</c:v>
                </c:pt>
                <c:pt idx="7">
                  <c:v>5602.409090909091</c:v>
                </c:pt>
                <c:pt idx="8">
                  <c:v>5589.681818181818</c:v>
                </c:pt>
                <c:pt idx="9">
                  <c:v>5576.954545454545</c:v>
                </c:pt>
                <c:pt idx="10">
                  <c:v>5564.227272727273</c:v>
                </c:pt>
                <c:pt idx="11" formatCode="General">
                  <c:v>5551.5</c:v>
                </c:pt>
                <c:pt idx="12">
                  <c:v>5542.6</c:v>
                </c:pt>
                <c:pt idx="13">
                  <c:v>5533.7</c:v>
                </c:pt>
                <c:pt idx="14">
                  <c:v>5524.8</c:v>
                </c:pt>
                <c:pt idx="15">
                  <c:v>5515.9</c:v>
                </c:pt>
                <c:pt idx="16">
                  <c:v>5507</c:v>
                </c:pt>
                <c:pt idx="17">
                  <c:v>5498.1</c:v>
                </c:pt>
                <c:pt idx="18">
                  <c:v>5489.2</c:v>
                </c:pt>
                <c:pt idx="19">
                  <c:v>5480.3</c:v>
                </c:pt>
                <c:pt idx="20">
                  <c:v>5471.4</c:v>
                </c:pt>
                <c:pt idx="21">
                  <c:v>5462.5</c:v>
                </c:pt>
                <c:pt idx="22">
                  <c:v>5453.6</c:v>
                </c:pt>
                <c:pt idx="23">
                  <c:v>5444.7</c:v>
                </c:pt>
                <c:pt idx="24">
                  <c:v>5435.8</c:v>
                </c:pt>
                <c:pt idx="25">
                  <c:v>5426.9</c:v>
                </c:pt>
                <c:pt idx="26">
                  <c:v>5418</c:v>
                </c:pt>
                <c:pt idx="27">
                  <c:v>5409.1</c:v>
                </c:pt>
                <c:pt idx="28">
                  <c:v>5400.2</c:v>
                </c:pt>
                <c:pt idx="29">
                  <c:v>5391.3</c:v>
                </c:pt>
                <c:pt idx="30">
                  <c:v>5382.4</c:v>
                </c:pt>
                <c:pt idx="31" formatCode="General">
                  <c:v>5373.5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2D92-4838-AD54-A8069093B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160216"/>
        <c:axId val="708159888"/>
      </c:scatterChart>
      <c:valAx>
        <c:axId val="708160216"/>
        <c:scaling>
          <c:orientation val="minMax"/>
          <c:max val="2055"/>
          <c:min val="20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59888"/>
        <c:crosses val="autoZero"/>
        <c:crossBetween val="midCat"/>
      </c:valAx>
      <c:valAx>
        <c:axId val="7081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60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893278397921956"/>
          <c:y val="5.1222498491823511E-2"/>
          <c:w val="0.26523503304829854"/>
          <c:h val="0.89842786224814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9720689420359569E-2"/>
          <c:y val="4.6153835988362757E-2"/>
          <c:w val="0.65042717308110409"/>
          <c:h val="0.84339742450362321"/>
        </c:manualLayout>
      </c:layout>
      <c:scatterChart>
        <c:scatterStyle val="smoothMarker"/>
        <c:varyColors val="0"/>
        <c:ser>
          <c:idx val="0"/>
          <c:order val="0"/>
          <c:tx>
            <c:v>Coal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Trend!$C$22:$AH$22</c:f>
              <c:numCache>
                <c:formatCode>0.00000</c:formatCode>
                <c:ptCount val="32"/>
                <c:pt idx="0">
                  <c:v>1.1465753424657533E-2</c:v>
                </c:pt>
                <c:pt idx="1">
                  <c:v>1.1465753424657501E-2</c:v>
                </c:pt>
                <c:pt idx="2">
                  <c:v>1.1465753424657533E-2</c:v>
                </c:pt>
                <c:pt idx="3">
                  <c:v>1.1465753424657533E-2</c:v>
                </c:pt>
                <c:pt idx="4">
                  <c:v>1.1465753424657533E-2</c:v>
                </c:pt>
                <c:pt idx="5">
                  <c:v>1.1465753424657533E-2</c:v>
                </c:pt>
                <c:pt idx="6">
                  <c:v>1.1465753424657533E-2</c:v>
                </c:pt>
                <c:pt idx="7">
                  <c:v>1.1465753424657533E-2</c:v>
                </c:pt>
                <c:pt idx="8">
                  <c:v>1.1465753424657533E-2</c:v>
                </c:pt>
                <c:pt idx="9">
                  <c:v>1.1465753424657533E-2</c:v>
                </c:pt>
                <c:pt idx="10">
                  <c:v>1.1465753424657533E-2</c:v>
                </c:pt>
                <c:pt idx="11">
                  <c:v>1.1465753424657533E-2</c:v>
                </c:pt>
                <c:pt idx="12">
                  <c:v>1.1465753424657533E-2</c:v>
                </c:pt>
                <c:pt idx="13">
                  <c:v>1.1465753424657533E-2</c:v>
                </c:pt>
                <c:pt idx="14">
                  <c:v>1.1465753424657533E-2</c:v>
                </c:pt>
                <c:pt idx="15">
                  <c:v>1.1465753424657533E-2</c:v>
                </c:pt>
                <c:pt idx="16">
                  <c:v>1.1465753424657533E-2</c:v>
                </c:pt>
                <c:pt idx="17">
                  <c:v>1.1465753424657533E-2</c:v>
                </c:pt>
                <c:pt idx="18">
                  <c:v>1.1465753424657533E-2</c:v>
                </c:pt>
                <c:pt idx="19">
                  <c:v>1.1465753424657533E-2</c:v>
                </c:pt>
                <c:pt idx="20">
                  <c:v>1.1465753424657533E-2</c:v>
                </c:pt>
                <c:pt idx="21">
                  <c:v>1.1465753424657533E-2</c:v>
                </c:pt>
                <c:pt idx="22">
                  <c:v>1.1465753424657533E-2</c:v>
                </c:pt>
                <c:pt idx="23">
                  <c:v>1.1465753424657533E-2</c:v>
                </c:pt>
                <c:pt idx="24">
                  <c:v>1.1465753424657533E-2</c:v>
                </c:pt>
                <c:pt idx="25">
                  <c:v>1.1465753424657533E-2</c:v>
                </c:pt>
                <c:pt idx="26">
                  <c:v>1.1465753424657533E-2</c:v>
                </c:pt>
                <c:pt idx="27">
                  <c:v>1.1465753424657533E-2</c:v>
                </c:pt>
                <c:pt idx="28">
                  <c:v>1.1465753424657533E-2</c:v>
                </c:pt>
                <c:pt idx="29">
                  <c:v>1.1465753424657533E-2</c:v>
                </c:pt>
                <c:pt idx="30">
                  <c:v>1.1465753424657533E-2</c:v>
                </c:pt>
                <c:pt idx="31">
                  <c:v>1.1465753424657533E-2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6-458A-8BBA-C897FE450B88}"/>
            </c:ext>
          </c:extLst>
        </c:ser>
        <c:ser>
          <c:idx val="1"/>
          <c:order val="1"/>
          <c:tx>
            <c:v>Coal (with CCS)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Trend!$C$23:$AH$23</c:f>
              <c:numCache>
                <c:formatCode>0.00000</c:formatCode>
                <c:ptCount val="32"/>
                <c:pt idx="0">
                  <c:v>1.9132420091324202E-2</c:v>
                </c:pt>
                <c:pt idx="1">
                  <c:v>1.9132420091324202E-2</c:v>
                </c:pt>
                <c:pt idx="2">
                  <c:v>1.9132420091324202E-2</c:v>
                </c:pt>
                <c:pt idx="3">
                  <c:v>1.9132420091324202E-2</c:v>
                </c:pt>
                <c:pt idx="4">
                  <c:v>1.9132420091324202E-2</c:v>
                </c:pt>
                <c:pt idx="5">
                  <c:v>1.9132420091324202E-2</c:v>
                </c:pt>
                <c:pt idx="6">
                  <c:v>1.9132420091324202E-2</c:v>
                </c:pt>
                <c:pt idx="7">
                  <c:v>1.9132420091324202E-2</c:v>
                </c:pt>
                <c:pt idx="8">
                  <c:v>1.9132420091324202E-2</c:v>
                </c:pt>
                <c:pt idx="9">
                  <c:v>1.9132420091324202E-2</c:v>
                </c:pt>
                <c:pt idx="10">
                  <c:v>1.9132420091324202E-2</c:v>
                </c:pt>
                <c:pt idx="11">
                  <c:v>1.9132420091324202E-2</c:v>
                </c:pt>
                <c:pt idx="12">
                  <c:v>1.9132420091324202E-2</c:v>
                </c:pt>
                <c:pt idx="13">
                  <c:v>1.9132420091324202E-2</c:v>
                </c:pt>
                <c:pt idx="14">
                  <c:v>1.9132420091324202E-2</c:v>
                </c:pt>
                <c:pt idx="15">
                  <c:v>1.9132420091324202E-2</c:v>
                </c:pt>
                <c:pt idx="16">
                  <c:v>1.9132420091324202E-2</c:v>
                </c:pt>
                <c:pt idx="17">
                  <c:v>1.9132420091324202E-2</c:v>
                </c:pt>
                <c:pt idx="18">
                  <c:v>1.9132420091324202E-2</c:v>
                </c:pt>
                <c:pt idx="19">
                  <c:v>1.9132420091324202E-2</c:v>
                </c:pt>
                <c:pt idx="20">
                  <c:v>1.9132420091324202E-2</c:v>
                </c:pt>
                <c:pt idx="21">
                  <c:v>1.9132420091324202E-2</c:v>
                </c:pt>
                <c:pt idx="22">
                  <c:v>1.9132420091324202E-2</c:v>
                </c:pt>
                <c:pt idx="23">
                  <c:v>1.9132420091324202E-2</c:v>
                </c:pt>
                <c:pt idx="24">
                  <c:v>1.9132420091324202E-2</c:v>
                </c:pt>
                <c:pt idx="25">
                  <c:v>1.9132420091324202E-2</c:v>
                </c:pt>
                <c:pt idx="26">
                  <c:v>1.9132420091324202E-2</c:v>
                </c:pt>
                <c:pt idx="27">
                  <c:v>1.9132420091324202E-2</c:v>
                </c:pt>
                <c:pt idx="28">
                  <c:v>1.9132420091324202E-2</c:v>
                </c:pt>
                <c:pt idx="29">
                  <c:v>1.9132420091324202E-2</c:v>
                </c:pt>
                <c:pt idx="30">
                  <c:v>1.9132420091324202E-2</c:v>
                </c:pt>
                <c:pt idx="31">
                  <c:v>1.9132420091324202E-2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46-458A-8BBA-C897FE450B88}"/>
            </c:ext>
          </c:extLst>
        </c:ser>
        <c:ser>
          <c:idx val="2"/>
          <c:order val="2"/>
          <c:tx>
            <c:v>Gas - CT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Trend!$C$24:$AH$24</c:f>
              <c:numCache>
                <c:formatCode>0.00000</c:formatCode>
                <c:ptCount val="32"/>
                <c:pt idx="0">
                  <c:v>8.3698630136986307E-3</c:v>
                </c:pt>
                <c:pt idx="1">
                  <c:v>8.3698630136986307E-3</c:v>
                </c:pt>
                <c:pt idx="2">
                  <c:v>8.3698630136986307E-3</c:v>
                </c:pt>
                <c:pt idx="3">
                  <c:v>8.3698630136986307E-3</c:v>
                </c:pt>
                <c:pt idx="4">
                  <c:v>8.3698630136986307E-3</c:v>
                </c:pt>
                <c:pt idx="5">
                  <c:v>8.3698630136986307E-3</c:v>
                </c:pt>
                <c:pt idx="6">
                  <c:v>8.3698630136986307E-3</c:v>
                </c:pt>
                <c:pt idx="7">
                  <c:v>8.3698630136986307E-3</c:v>
                </c:pt>
                <c:pt idx="8">
                  <c:v>8.3698630136986307E-3</c:v>
                </c:pt>
                <c:pt idx="9">
                  <c:v>8.3698630136986307E-3</c:v>
                </c:pt>
                <c:pt idx="10">
                  <c:v>8.3698630136986307E-3</c:v>
                </c:pt>
                <c:pt idx="11">
                  <c:v>8.3698630136986307E-3</c:v>
                </c:pt>
                <c:pt idx="12">
                  <c:v>8.3698630136986307E-3</c:v>
                </c:pt>
                <c:pt idx="13">
                  <c:v>8.3698630136986307E-3</c:v>
                </c:pt>
                <c:pt idx="14">
                  <c:v>8.3698630136986307E-3</c:v>
                </c:pt>
                <c:pt idx="15">
                  <c:v>8.3698630136986307E-3</c:v>
                </c:pt>
                <c:pt idx="16">
                  <c:v>8.3698630136986307E-3</c:v>
                </c:pt>
                <c:pt idx="17">
                  <c:v>8.3698630136986307E-3</c:v>
                </c:pt>
                <c:pt idx="18">
                  <c:v>8.3698630136986307E-3</c:v>
                </c:pt>
                <c:pt idx="19">
                  <c:v>8.3698630136986307E-3</c:v>
                </c:pt>
                <c:pt idx="20">
                  <c:v>8.3698630136986307E-3</c:v>
                </c:pt>
                <c:pt idx="21">
                  <c:v>8.3698630136986307E-3</c:v>
                </c:pt>
                <c:pt idx="22">
                  <c:v>8.3698630136986307E-3</c:v>
                </c:pt>
                <c:pt idx="23">
                  <c:v>8.3698630136986307E-3</c:v>
                </c:pt>
                <c:pt idx="24">
                  <c:v>8.3698630136986307E-3</c:v>
                </c:pt>
                <c:pt idx="25">
                  <c:v>8.3698630136986307E-3</c:v>
                </c:pt>
                <c:pt idx="26">
                  <c:v>8.3698630136986307E-3</c:v>
                </c:pt>
                <c:pt idx="27">
                  <c:v>8.3698630136986307E-3</c:v>
                </c:pt>
                <c:pt idx="28">
                  <c:v>8.3698630136986307E-3</c:v>
                </c:pt>
                <c:pt idx="29">
                  <c:v>8.3698630136986307E-3</c:v>
                </c:pt>
                <c:pt idx="30">
                  <c:v>8.3698630136986307E-3</c:v>
                </c:pt>
                <c:pt idx="31">
                  <c:v>8.3698630136986307E-3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46-458A-8BBA-C897FE450B88}"/>
            </c:ext>
          </c:extLst>
        </c:ser>
        <c:ser>
          <c:idx val="3"/>
          <c:order val="3"/>
          <c:tx>
            <c:v>Gas - CC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Trend!$C$25:$AH$25</c:f>
              <c:numCache>
                <c:formatCode>0.00000</c:formatCode>
                <c:ptCount val="32"/>
                <c:pt idx="0">
                  <c:v>4.1415525114155251E-3</c:v>
                </c:pt>
                <c:pt idx="1">
                  <c:v>4.1415525114155251E-3</c:v>
                </c:pt>
                <c:pt idx="2">
                  <c:v>4.1415525114155251E-3</c:v>
                </c:pt>
                <c:pt idx="3">
                  <c:v>4.1415525114155251E-3</c:v>
                </c:pt>
                <c:pt idx="4">
                  <c:v>4.1415525114155251E-3</c:v>
                </c:pt>
                <c:pt idx="5">
                  <c:v>4.1415525114155251E-3</c:v>
                </c:pt>
                <c:pt idx="6">
                  <c:v>4.1415525114155251E-3</c:v>
                </c:pt>
                <c:pt idx="7">
                  <c:v>4.1415525114155251E-3</c:v>
                </c:pt>
                <c:pt idx="8">
                  <c:v>4.1415525114155251E-3</c:v>
                </c:pt>
                <c:pt idx="9">
                  <c:v>4.1415525114155251E-3</c:v>
                </c:pt>
                <c:pt idx="10">
                  <c:v>4.1415525114155251E-3</c:v>
                </c:pt>
                <c:pt idx="11">
                  <c:v>4.1415525114155251E-3</c:v>
                </c:pt>
                <c:pt idx="12">
                  <c:v>4.1415525114155251E-3</c:v>
                </c:pt>
                <c:pt idx="13">
                  <c:v>4.1415525114155251E-3</c:v>
                </c:pt>
                <c:pt idx="14">
                  <c:v>4.1415525114155251E-3</c:v>
                </c:pt>
                <c:pt idx="15">
                  <c:v>4.1415525114155251E-3</c:v>
                </c:pt>
                <c:pt idx="16">
                  <c:v>4.1415525114155251E-3</c:v>
                </c:pt>
                <c:pt idx="17">
                  <c:v>4.1415525114155251E-3</c:v>
                </c:pt>
                <c:pt idx="18">
                  <c:v>4.1415525114155251E-3</c:v>
                </c:pt>
                <c:pt idx="19">
                  <c:v>4.1415525114155251E-3</c:v>
                </c:pt>
                <c:pt idx="20">
                  <c:v>4.1415525114155251E-3</c:v>
                </c:pt>
                <c:pt idx="21">
                  <c:v>4.1415525114155251E-3</c:v>
                </c:pt>
                <c:pt idx="22">
                  <c:v>4.1415525114155251E-3</c:v>
                </c:pt>
                <c:pt idx="23">
                  <c:v>4.1415525114155251E-3</c:v>
                </c:pt>
                <c:pt idx="24">
                  <c:v>4.1415525114155251E-3</c:v>
                </c:pt>
                <c:pt idx="25">
                  <c:v>4.1415525114155251E-3</c:v>
                </c:pt>
                <c:pt idx="26">
                  <c:v>4.1415525114155251E-3</c:v>
                </c:pt>
                <c:pt idx="27">
                  <c:v>4.1415525114155251E-3</c:v>
                </c:pt>
                <c:pt idx="28">
                  <c:v>4.1415525114155251E-3</c:v>
                </c:pt>
                <c:pt idx="29">
                  <c:v>4.1415525114155251E-3</c:v>
                </c:pt>
                <c:pt idx="30">
                  <c:v>4.1415525114155251E-3</c:v>
                </c:pt>
                <c:pt idx="31">
                  <c:v>4.1415525114155251E-3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46-458A-8BBA-C897FE450B88}"/>
            </c:ext>
          </c:extLst>
        </c:ser>
        <c:ser>
          <c:idx val="4"/>
          <c:order val="4"/>
          <c:tx>
            <c:v>Gas - CC (with CCS)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Trend!$C$26:$AH$26</c:f>
              <c:numCache>
                <c:formatCode>0.00000</c:formatCode>
                <c:ptCount val="32"/>
                <c:pt idx="0">
                  <c:v>1.0767123287671232E-2</c:v>
                </c:pt>
                <c:pt idx="1">
                  <c:v>1.0767123287671232E-2</c:v>
                </c:pt>
                <c:pt idx="2">
                  <c:v>1.0767123287671232E-2</c:v>
                </c:pt>
                <c:pt idx="3">
                  <c:v>1.0767123287671232E-2</c:v>
                </c:pt>
                <c:pt idx="4">
                  <c:v>1.0767123287671232E-2</c:v>
                </c:pt>
                <c:pt idx="5">
                  <c:v>1.0767123287671232E-2</c:v>
                </c:pt>
                <c:pt idx="6">
                  <c:v>1.0767123287671232E-2</c:v>
                </c:pt>
                <c:pt idx="7">
                  <c:v>1.0767123287671232E-2</c:v>
                </c:pt>
                <c:pt idx="8">
                  <c:v>1.0767123287671232E-2</c:v>
                </c:pt>
                <c:pt idx="9">
                  <c:v>1.0767123287671232E-2</c:v>
                </c:pt>
                <c:pt idx="10">
                  <c:v>1.0767123287671232E-2</c:v>
                </c:pt>
                <c:pt idx="11">
                  <c:v>1.0767123287671232E-2</c:v>
                </c:pt>
                <c:pt idx="12">
                  <c:v>1.0767123287671232E-2</c:v>
                </c:pt>
                <c:pt idx="13">
                  <c:v>1.0767123287671232E-2</c:v>
                </c:pt>
                <c:pt idx="14">
                  <c:v>1.0767123287671232E-2</c:v>
                </c:pt>
                <c:pt idx="15">
                  <c:v>1.0767123287671232E-2</c:v>
                </c:pt>
                <c:pt idx="16">
                  <c:v>1.0767123287671232E-2</c:v>
                </c:pt>
                <c:pt idx="17">
                  <c:v>1.0767123287671232E-2</c:v>
                </c:pt>
                <c:pt idx="18">
                  <c:v>1.0767123287671232E-2</c:v>
                </c:pt>
                <c:pt idx="19">
                  <c:v>1.0767123287671232E-2</c:v>
                </c:pt>
                <c:pt idx="20">
                  <c:v>1.0767123287671232E-2</c:v>
                </c:pt>
                <c:pt idx="21">
                  <c:v>1.0767123287671232E-2</c:v>
                </c:pt>
                <c:pt idx="22">
                  <c:v>1.0767123287671232E-2</c:v>
                </c:pt>
                <c:pt idx="23">
                  <c:v>1.0767123287671232E-2</c:v>
                </c:pt>
                <c:pt idx="24">
                  <c:v>1.0767123287671232E-2</c:v>
                </c:pt>
                <c:pt idx="25">
                  <c:v>1.0767123287671232E-2</c:v>
                </c:pt>
                <c:pt idx="26">
                  <c:v>1.0767123287671232E-2</c:v>
                </c:pt>
                <c:pt idx="27">
                  <c:v>1.0767123287671232E-2</c:v>
                </c:pt>
                <c:pt idx="28">
                  <c:v>1.0767123287671232E-2</c:v>
                </c:pt>
                <c:pt idx="29">
                  <c:v>1.0767123287671232E-2</c:v>
                </c:pt>
                <c:pt idx="30">
                  <c:v>1.0767123287671232E-2</c:v>
                </c:pt>
                <c:pt idx="31">
                  <c:v>1.0767123287671232E-2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046-458A-8BBA-C897FE450B88}"/>
            </c:ext>
          </c:extLst>
        </c:ser>
        <c:ser>
          <c:idx val="6"/>
          <c:order val="5"/>
          <c:tx>
            <c:v>Solar (PV)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Trend!$C$27:$AH$27</c:f>
              <c:numCache>
                <c:formatCode>0.00000</c:formatCode>
                <c:ptCount val="32"/>
                <c:pt idx="0">
                  <c:v>1.59817351598174E-3</c:v>
                </c:pt>
                <c:pt idx="1">
                  <c:v>1.525529265255297E-3</c:v>
                </c:pt>
                <c:pt idx="2">
                  <c:v>1.4528850145288541E-3</c:v>
                </c:pt>
                <c:pt idx="3">
                  <c:v>1.3802407638024111E-3</c:v>
                </c:pt>
                <c:pt idx="4">
                  <c:v>1.3075965130759683E-3</c:v>
                </c:pt>
                <c:pt idx="5">
                  <c:v>1.2349522623495252E-3</c:v>
                </c:pt>
                <c:pt idx="6">
                  <c:v>1.1623080116230822E-3</c:v>
                </c:pt>
                <c:pt idx="7">
                  <c:v>1.0896637608966394E-3</c:v>
                </c:pt>
                <c:pt idx="8">
                  <c:v>1.0170195101701965E-3</c:v>
                </c:pt>
                <c:pt idx="9">
                  <c:v>9.4437525944375338E-4</c:v>
                </c:pt>
                <c:pt idx="10">
                  <c:v>8.7173100871731045E-4</c:v>
                </c:pt>
                <c:pt idx="11">
                  <c:v>7.9908675799086751E-4</c:v>
                </c:pt>
                <c:pt idx="12">
                  <c:v>7.9337899543378994E-4</c:v>
                </c:pt>
                <c:pt idx="13">
                  <c:v>7.8767123287671226E-4</c:v>
                </c:pt>
                <c:pt idx="14">
                  <c:v>7.8196347031963469E-4</c:v>
                </c:pt>
                <c:pt idx="15">
                  <c:v>7.76255707762557E-4</c:v>
                </c:pt>
                <c:pt idx="16">
                  <c:v>7.7054794520547943E-4</c:v>
                </c:pt>
                <c:pt idx="17">
                  <c:v>7.6484018264840175E-4</c:v>
                </c:pt>
                <c:pt idx="18">
                  <c:v>7.5913242009132418E-4</c:v>
                </c:pt>
                <c:pt idx="19">
                  <c:v>7.5342465753424649E-4</c:v>
                </c:pt>
                <c:pt idx="20">
                  <c:v>7.4771689497716892E-4</c:v>
                </c:pt>
                <c:pt idx="21">
                  <c:v>7.4200913242009124E-4</c:v>
                </c:pt>
                <c:pt idx="22">
                  <c:v>7.3630136986301367E-4</c:v>
                </c:pt>
                <c:pt idx="23">
                  <c:v>7.3059360730593609E-4</c:v>
                </c:pt>
                <c:pt idx="24">
                  <c:v>7.2488584474885841E-4</c:v>
                </c:pt>
                <c:pt idx="25">
                  <c:v>7.1917808219178084E-4</c:v>
                </c:pt>
                <c:pt idx="26">
                  <c:v>7.1347031963470316E-4</c:v>
                </c:pt>
                <c:pt idx="27">
                  <c:v>7.0776255707762558E-4</c:v>
                </c:pt>
                <c:pt idx="28">
                  <c:v>7.020547945205479E-4</c:v>
                </c:pt>
                <c:pt idx="29">
                  <c:v>6.9634703196347033E-4</c:v>
                </c:pt>
                <c:pt idx="30">
                  <c:v>6.9063926940639265E-4</c:v>
                </c:pt>
                <c:pt idx="31">
                  <c:v>6.8493150684931507E-4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046-458A-8BBA-C897FE450B88}"/>
            </c:ext>
          </c:extLst>
        </c:ser>
        <c:ser>
          <c:idx val="7"/>
          <c:order val="6"/>
          <c:tx>
            <c:v>Solar (CSP)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Trend!$C$28:$AH$28</c:f>
              <c:numCache>
                <c:formatCode>0.00000</c:formatCode>
                <c:ptCount val="32"/>
                <c:pt idx="0">
                  <c:v>1.1648401826484019E-2</c:v>
                </c:pt>
                <c:pt idx="1">
                  <c:v>1.1471980074719801E-2</c:v>
                </c:pt>
                <c:pt idx="2">
                  <c:v>1.1295558322955585E-2</c:v>
                </c:pt>
                <c:pt idx="3">
                  <c:v>1.1119136571191367E-2</c:v>
                </c:pt>
                <c:pt idx="4">
                  <c:v>1.0942714819427149E-2</c:v>
                </c:pt>
                <c:pt idx="5">
                  <c:v>1.0766293067662931E-2</c:v>
                </c:pt>
                <c:pt idx="6">
                  <c:v>1.0589871315898714E-2</c:v>
                </c:pt>
                <c:pt idx="7">
                  <c:v>1.0413449564134496E-2</c:v>
                </c:pt>
                <c:pt idx="8">
                  <c:v>1.0237027812370278E-2</c:v>
                </c:pt>
                <c:pt idx="9">
                  <c:v>1.0060606060606062E-2</c:v>
                </c:pt>
                <c:pt idx="10">
                  <c:v>9.8841843088418434E-3</c:v>
                </c:pt>
                <c:pt idx="11">
                  <c:v>9.7077625570776253E-3</c:v>
                </c:pt>
                <c:pt idx="12">
                  <c:v>9.7077625570776253E-3</c:v>
                </c:pt>
                <c:pt idx="13">
                  <c:v>9.7077625570776253E-3</c:v>
                </c:pt>
                <c:pt idx="14">
                  <c:v>9.7077625570776253E-3</c:v>
                </c:pt>
                <c:pt idx="15">
                  <c:v>9.7077625570776253E-3</c:v>
                </c:pt>
                <c:pt idx="16">
                  <c:v>9.7077625570776253E-3</c:v>
                </c:pt>
                <c:pt idx="17">
                  <c:v>9.7077625570776253E-3</c:v>
                </c:pt>
                <c:pt idx="18">
                  <c:v>9.7077625570776253E-3</c:v>
                </c:pt>
                <c:pt idx="19">
                  <c:v>9.7077625570776253E-3</c:v>
                </c:pt>
                <c:pt idx="20">
                  <c:v>9.7077625570776253E-3</c:v>
                </c:pt>
                <c:pt idx="21">
                  <c:v>9.7077625570776253E-3</c:v>
                </c:pt>
                <c:pt idx="22">
                  <c:v>9.7077625570776253E-3</c:v>
                </c:pt>
                <c:pt idx="23">
                  <c:v>9.7077625570776253E-3</c:v>
                </c:pt>
                <c:pt idx="24">
                  <c:v>9.7077625570776253E-3</c:v>
                </c:pt>
                <c:pt idx="25">
                  <c:v>9.7077625570776253E-3</c:v>
                </c:pt>
                <c:pt idx="26">
                  <c:v>9.7077625570776253E-3</c:v>
                </c:pt>
                <c:pt idx="27">
                  <c:v>9.7077625570776253E-3</c:v>
                </c:pt>
                <c:pt idx="28">
                  <c:v>9.7077625570776253E-3</c:v>
                </c:pt>
                <c:pt idx="29">
                  <c:v>9.7077625570776253E-3</c:v>
                </c:pt>
                <c:pt idx="30">
                  <c:v>9.7077625570776253E-3</c:v>
                </c:pt>
                <c:pt idx="31">
                  <c:v>9.7077625570776253E-3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046-458A-8BBA-C897FE450B88}"/>
            </c:ext>
          </c:extLst>
        </c:ser>
        <c:ser>
          <c:idx val="5"/>
          <c:order val="7"/>
          <c:tx>
            <c:v>Wind (Onshore)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Trend!$C$29:$AH$29</c:f>
              <c:numCache>
                <c:formatCode>0.00000</c:formatCode>
                <c:ptCount val="32"/>
                <c:pt idx="0">
                  <c:v>5.8219178082191776E-3</c:v>
                </c:pt>
                <c:pt idx="1">
                  <c:v>5.7804068078040676E-3</c:v>
                </c:pt>
                <c:pt idx="2">
                  <c:v>5.7388958073889577E-3</c:v>
                </c:pt>
                <c:pt idx="3">
                  <c:v>5.6973848069738478E-3</c:v>
                </c:pt>
                <c:pt idx="4">
                  <c:v>5.6558738065587378E-3</c:v>
                </c:pt>
                <c:pt idx="5">
                  <c:v>5.6143628061436279E-3</c:v>
                </c:pt>
                <c:pt idx="6">
                  <c:v>5.572851805728518E-3</c:v>
                </c:pt>
                <c:pt idx="7">
                  <c:v>5.531340805313408E-3</c:v>
                </c:pt>
                <c:pt idx="8">
                  <c:v>5.4898298048982981E-3</c:v>
                </c:pt>
                <c:pt idx="9">
                  <c:v>5.4483188044831881E-3</c:v>
                </c:pt>
                <c:pt idx="10">
                  <c:v>5.4068078040680782E-3</c:v>
                </c:pt>
                <c:pt idx="11">
                  <c:v>5.3652968036529683E-3</c:v>
                </c:pt>
                <c:pt idx="12">
                  <c:v>5.3196347031963468E-3</c:v>
                </c:pt>
                <c:pt idx="13">
                  <c:v>5.2739726027397262E-3</c:v>
                </c:pt>
                <c:pt idx="14">
                  <c:v>5.2283105022831056E-3</c:v>
                </c:pt>
                <c:pt idx="15">
                  <c:v>5.1826484018264842E-3</c:v>
                </c:pt>
                <c:pt idx="16">
                  <c:v>5.1369863013698627E-3</c:v>
                </c:pt>
                <c:pt idx="17">
                  <c:v>5.0913242009132421E-3</c:v>
                </c:pt>
                <c:pt idx="18">
                  <c:v>5.0456621004566216E-3</c:v>
                </c:pt>
                <c:pt idx="19">
                  <c:v>5.0000000000000001E-3</c:v>
                </c:pt>
                <c:pt idx="20">
                  <c:v>4.9543378995433787E-3</c:v>
                </c:pt>
                <c:pt idx="21">
                  <c:v>4.9086757990867581E-3</c:v>
                </c:pt>
                <c:pt idx="22">
                  <c:v>4.8630136986301375E-3</c:v>
                </c:pt>
                <c:pt idx="23">
                  <c:v>4.817351598173516E-3</c:v>
                </c:pt>
                <c:pt idx="24">
                  <c:v>4.7716894977168946E-3</c:v>
                </c:pt>
                <c:pt idx="25">
                  <c:v>4.726027397260274E-3</c:v>
                </c:pt>
                <c:pt idx="26">
                  <c:v>4.6803652968036534E-3</c:v>
                </c:pt>
                <c:pt idx="27">
                  <c:v>4.6347031963470319E-3</c:v>
                </c:pt>
                <c:pt idx="28">
                  <c:v>4.5890410958904105E-3</c:v>
                </c:pt>
                <c:pt idx="29">
                  <c:v>4.5433789954337899E-3</c:v>
                </c:pt>
                <c:pt idx="30">
                  <c:v>4.4977168949771685E-3</c:v>
                </c:pt>
                <c:pt idx="31">
                  <c:v>4.4520547945205479E-3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046-458A-8BBA-C897FE450B88}"/>
            </c:ext>
          </c:extLst>
        </c:ser>
        <c:ser>
          <c:idx val="8"/>
          <c:order val="8"/>
          <c:tx>
            <c:v>Wind (Offshore)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Trend!$C$30:$AH$30</c:f>
              <c:numCache>
                <c:formatCode>0.00000</c:formatCode>
                <c:ptCount val="32"/>
                <c:pt idx="0">
                  <c:v>1.4954337899543379E-2</c:v>
                </c:pt>
                <c:pt idx="1">
                  <c:v>1.4912826899128269E-2</c:v>
                </c:pt>
                <c:pt idx="2">
                  <c:v>1.4871315898713159E-2</c:v>
                </c:pt>
                <c:pt idx="3">
                  <c:v>1.4829804898298049E-2</c:v>
                </c:pt>
                <c:pt idx="4">
                  <c:v>1.4788293897882939E-2</c:v>
                </c:pt>
                <c:pt idx="5">
                  <c:v>1.4746782897467829E-2</c:v>
                </c:pt>
                <c:pt idx="6">
                  <c:v>1.4705271897052717E-2</c:v>
                </c:pt>
                <c:pt idx="7">
                  <c:v>1.4663760896637608E-2</c:v>
                </c:pt>
                <c:pt idx="8">
                  <c:v>1.4622249896222498E-2</c:v>
                </c:pt>
                <c:pt idx="9">
                  <c:v>1.4580738895807388E-2</c:v>
                </c:pt>
                <c:pt idx="10">
                  <c:v>1.4539227895392278E-2</c:v>
                </c:pt>
                <c:pt idx="11">
                  <c:v>1.4497716894977168E-2</c:v>
                </c:pt>
                <c:pt idx="12">
                  <c:v>1.446917808219178E-2</c:v>
                </c:pt>
                <c:pt idx="13">
                  <c:v>1.4440639269406391E-2</c:v>
                </c:pt>
                <c:pt idx="14">
                  <c:v>1.4412100456621004E-2</c:v>
                </c:pt>
                <c:pt idx="15">
                  <c:v>1.4383561643835615E-2</c:v>
                </c:pt>
                <c:pt idx="16">
                  <c:v>1.4355022831050227E-2</c:v>
                </c:pt>
                <c:pt idx="17">
                  <c:v>1.432648401826484E-2</c:v>
                </c:pt>
                <c:pt idx="18">
                  <c:v>1.4297945205479451E-2</c:v>
                </c:pt>
                <c:pt idx="19">
                  <c:v>1.4269406392694063E-2</c:v>
                </c:pt>
                <c:pt idx="20">
                  <c:v>1.4240867579908674E-2</c:v>
                </c:pt>
                <c:pt idx="21">
                  <c:v>1.4212328767123287E-2</c:v>
                </c:pt>
                <c:pt idx="22">
                  <c:v>1.4183789954337899E-2</c:v>
                </c:pt>
                <c:pt idx="23">
                  <c:v>1.415525114155251E-2</c:v>
                </c:pt>
                <c:pt idx="24">
                  <c:v>1.4126712328767123E-2</c:v>
                </c:pt>
                <c:pt idx="25">
                  <c:v>1.4098173515981733E-2</c:v>
                </c:pt>
                <c:pt idx="26">
                  <c:v>1.4069634703196346E-2</c:v>
                </c:pt>
                <c:pt idx="27">
                  <c:v>1.4041095890410958E-2</c:v>
                </c:pt>
                <c:pt idx="28">
                  <c:v>1.4012557077625569E-2</c:v>
                </c:pt>
                <c:pt idx="29">
                  <c:v>1.3984018264840182E-2</c:v>
                </c:pt>
                <c:pt idx="30">
                  <c:v>1.3955479452054793E-2</c:v>
                </c:pt>
                <c:pt idx="31">
                  <c:v>1.3926940639269405E-2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046-458A-8BBA-C897FE450B88}"/>
            </c:ext>
          </c:extLst>
        </c:ser>
        <c:ser>
          <c:idx val="9"/>
          <c:order val="9"/>
          <c:tx>
            <c:v>Nuclear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Trend!$C$31:$AH$31</c:f>
              <c:numCache>
                <c:formatCode>0.00000</c:formatCode>
                <c:ptCount val="32"/>
                <c:pt idx="0">
                  <c:v>1.3301369863013699E-2</c:v>
                </c:pt>
                <c:pt idx="1">
                  <c:v>1.3301369863013699E-2</c:v>
                </c:pt>
                <c:pt idx="2">
                  <c:v>1.3301369863013699E-2</c:v>
                </c:pt>
                <c:pt idx="3">
                  <c:v>1.3301369863013699E-2</c:v>
                </c:pt>
                <c:pt idx="4">
                  <c:v>1.3301369863013699E-2</c:v>
                </c:pt>
                <c:pt idx="5">
                  <c:v>1.3301369863013699E-2</c:v>
                </c:pt>
                <c:pt idx="6">
                  <c:v>1.3301369863013699E-2</c:v>
                </c:pt>
                <c:pt idx="7">
                  <c:v>1.3301369863013699E-2</c:v>
                </c:pt>
                <c:pt idx="8">
                  <c:v>1.3301369863013699E-2</c:v>
                </c:pt>
                <c:pt idx="9">
                  <c:v>1.3301369863013699E-2</c:v>
                </c:pt>
                <c:pt idx="10">
                  <c:v>1.3301369863013699E-2</c:v>
                </c:pt>
                <c:pt idx="11">
                  <c:v>1.3301369863013699E-2</c:v>
                </c:pt>
                <c:pt idx="12">
                  <c:v>1.3301369863013699E-2</c:v>
                </c:pt>
                <c:pt idx="13">
                  <c:v>1.3301369863013699E-2</c:v>
                </c:pt>
                <c:pt idx="14">
                  <c:v>1.3301369863013699E-2</c:v>
                </c:pt>
                <c:pt idx="15">
                  <c:v>1.3301369863013699E-2</c:v>
                </c:pt>
                <c:pt idx="16">
                  <c:v>1.3301369863013699E-2</c:v>
                </c:pt>
                <c:pt idx="17">
                  <c:v>1.3301369863013699E-2</c:v>
                </c:pt>
                <c:pt idx="18">
                  <c:v>1.3301369863013699E-2</c:v>
                </c:pt>
                <c:pt idx="19">
                  <c:v>1.3301369863013699E-2</c:v>
                </c:pt>
                <c:pt idx="20">
                  <c:v>1.3301369863013699E-2</c:v>
                </c:pt>
                <c:pt idx="21">
                  <c:v>1.3301369863013699E-2</c:v>
                </c:pt>
                <c:pt idx="22">
                  <c:v>1.3301369863013699E-2</c:v>
                </c:pt>
                <c:pt idx="23">
                  <c:v>1.3301369863013699E-2</c:v>
                </c:pt>
                <c:pt idx="24">
                  <c:v>1.3301369863013699E-2</c:v>
                </c:pt>
                <c:pt idx="25">
                  <c:v>1.3301369863013699E-2</c:v>
                </c:pt>
                <c:pt idx="26">
                  <c:v>1.3301369863013699E-2</c:v>
                </c:pt>
                <c:pt idx="27">
                  <c:v>1.3301369863013699E-2</c:v>
                </c:pt>
                <c:pt idx="28">
                  <c:v>1.3301369863013699E-2</c:v>
                </c:pt>
                <c:pt idx="29">
                  <c:v>1.3301369863013699E-2</c:v>
                </c:pt>
                <c:pt idx="30">
                  <c:v>1.3301369863013699E-2</c:v>
                </c:pt>
                <c:pt idx="31">
                  <c:v>1.3301369863013699E-2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046-458A-8BBA-C897FE450B88}"/>
            </c:ext>
          </c:extLst>
        </c:ser>
        <c:ser>
          <c:idx val="11"/>
          <c:order val="10"/>
          <c:tx>
            <c:v>Biomass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Trend!$C$33:$AH$33</c:f>
              <c:numCache>
                <c:formatCode>0.00000</c:formatCode>
                <c:ptCount val="32"/>
                <c:pt idx="0">
                  <c:v>1.1050228310502282E-2</c:v>
                </c:pt>
                <c:pt idx="1">
                  <c:v>1.1029472810294727E-2</c:v>
                </c:pt>
                <c:pt idx="2">
                  <c:v>1.1008717310087172E-2</c:v>
                </c:pt>
                <c:pt idx="3">
                  <c:v>1.0987961809879617E-2</c:v>
                </c:pt>
                <c:pt idx="4">
                  <c:v>1.0967206309672062E-2</c:v>
                </c:pt>
                <c:pt idx="5">
                  <c:v>1.0946450809464508E-2</c:v>
                </c:pt>
                <c:pt idx="6">
                  <c:v>1.0925695309256953E-2</c:v>
                </c:pt>
                <c:pt idx="7">
                  <c:v>1.0904939809049398E-2</c:v>
                </c:pt>
                <c:pt idx="8">
                  <c:v>1.0884184308841843E-2</c:v>
                </c:pt>
                <c:pt idx="9">
                  <c:v>1.0863428808634288E-2</c:v>
                </c:pt>
                <c:pt idx="10">
                  <c:v>1.0842673308426733E-2</c:v>
                </c:pt>
                <c:pt idx="11">
                  <c:v>1.0821917808219178E-2</c:v>
                </c:pt>
                <c:pt idx="12">
                  <c:v>1.0821917808219178E-2</c:v>
                </c:pt>
                <c:pt idx="13">
                  <c:v>1.0821917808219178E-2</c:v>
                </c:pt>
                <c:pt idx="14">
                  <c:v>1.0821917808219178E-2</c:v>
                </c:pt>
                <c:pt idx="15">
                  <c:v>1.0821917808219178E-2</c:v>
                </c:pt>
                <c:pt idx="16">
                  <c:v>1.0821917808219178E-2</c:v>
                </c:pt>
                <c:pt idx="17">
                  <c:v>1.0821917808219178E-2</c:v>
                </c:pt>
                <c:pt idx="18">
                  <c:v>1.0821917808219178E-2</c:v>
                </c:pt>
                <c:pt idx="19">
                  <c:v>1.0821917808219178E-2</c:v>
                </c:pt>
                <c:pt idx="20">
                  <c:v>1.0821917808219178E-2</c:v>
                </c:pt>
                <c:pt idx="21">
                  <c:v>1.0821917808219178E-2</c:v>
                </c:pt>
                <c:pt idx="22">
                  <c:v>1.0821917808219178E-2</c:v>
                </c:pt>
                <c:pt idx="23">
                  <c:v>1.0821917808219178E-2</c:v>
                </c:pt>
                <c:pt idx="24">
                  <c:v>1.0821917808219178E-2</c:v>
                </c:pt>
                <c:pt idx="25">
                  <c:v>1.0821917808219178E-2</c:v>
                </c:pt>
                <c:pt idx="26">
                  <c:v>1.0821917808219178E-2</c:v>
                </c:pt>
                <c:pt idx="27">
                  <c:v>1.0821917808219178E-2</c:v>
                </c:pt>
                <c:pt idx="28">
                  <c:v>1.0821917808219178E-2</c:v>
                </c:pt>
                <c:pt idx="29">
                  <c:v>1.0821917808219178E-2</c:v>
                </c:pt>
                <c:pt idx="30">
                  <c:v>1.0821917808219178E-2</c:v>
                </c:pt>
                <c:pt idx="31">
                  <c:v>1.0821917808219178E-2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046-458A-8BBA-C897FE450B88}"/>
            </c:ext>
          </c:extLst>
        </c:ser>
        <c:ser>
          <c:idx val="12"/>
          <c:order val="11"/>
          <c:tx>
            <c:v>Hydro (Dam)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Trend!$C$34:$AH$34</c:f>
              <c:numCache>
                <c:formatCode>0.00000</c:formatCode>
                <c:ptCount val="32"/>
                <c:pt idx="0">
                  <c:v>4.6803652968036525E-3</c:v>
                </c:pt>
                <c:pt idx="1">
                  <c:v>4.6803652968036525E-3</c:v>
                </c:pt>
                <c:pt idx="2">
                  <c:v>4.6803652968036525E-3</c:v>
                </c:pt>
                <c:pt idx="3">
                  <c:v>4.6803652968036525E-3</c:v>
                </c:pt>
                <c:pt idx="4">
                  <c:v>4.6803652968036525E-3</c:v>
                </c:pt>
                <c:pt idx="5">
                  <c:v>4.6803652968036525E-3</c:v>
                </c:pt>
                <c:pt idx="6">
                  <c:v>4.6803652968036525E-3</c:v>
                </c:pt>
                <c:pt idx="7">
                  <c:v>4.6803652968036525E-3</c:v>
                </c:pt>
                <c:pt idx="8">
                  <c:v>4.6803652968036525E-3</c:v>
                </c:pt>
                <c:pt idx="9">
                  <c:v>4.6803652968036525E-3</c:v>
                </c:pt>
                <c:pt idx="10">
                  <c:v>4.6803652968036525E-3</c:v>
                </c:pt>
                <c:pt idx="11">
                  <c:v>4.6803652968036525E-3</c:v>
                </c:pt>
                <c:pt idx="12">
                  <c:v>4.6803652968036525E-3</c:v>
                </c:pt>
                <c:pt idx="13">
                  <c:v>4.6803652968036525E-3</c:v>
                </c:pt>
                <c:pt idx="14">
                  <c:v>4.6803652968036525E-3</c:v>
                </c:pt>
                <c:pt idx="15">
                  <c:v>4.6803652968036525E-3</c:v>
                </c:pt>
                <c:pt idx="16">
                  <c:v>4.6803652968036525E-3</c:v>
                </c:pt>
                <c:pt idx="17">
                  <c:v>4.6803652968036525E-3</c:v>
                </c:pt>
                <c:pt idx="18">
                  <c:v>4.6803652968036525E-3</c:v>
                </c:pt>
                <c:pt idx="19">
                  <c:v>4.6803652968036525E-3</c:v>
                </c:pt>
                <c:pt idx="20">
                  <c:v>4.6803652968036525E-3</c:v>
                </c:pt>
                <c:pt idx="21">
                  <c:v>4.6803652968036525E-3</c:v>
                </c:pt>
                <c:pt idx="22">
                  <c:v>4.6803652968036525E-3</c:v>
                </c:pt>
                <c:pt idx="23">
                  <c:v>4.6803652968036525E-3</c:v>
                </c:pt>
                <c:pt idx="24">
                  <c:v>4.6803652968036525E-3</c:v>
                </c:pt>
                <c:pt idx="25">
                  <c:v>4.6803652968036525E-3</c:v>
                </c:pt>
                <c:pt idx="26">
                  <c:v>4.6803652968036525E-3</c:v>
                </c:pt>
                <c:pt idx="27">
                  <c:v>4.6803652968036525E-3</c:v>
                </c:pt>
                <c:pt idx="28">
                  <c:v>4.6803652968036525E-3</c:v>
                </c:pt>
                <c:pt idx="29">
                  <c:v>4.6803652968036525E-3</c:v>
                </c:pt>
                <c:pt idx="30">
                  <c:v>4.6803652968036525E-3</c:v>
                </c:pt>
                <c:pt idx="31">
                  <c:v>4.6803652968036525E-3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046-458A-8BBA-C897FE450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160216"/>
        <c:axId val="708159888"/>
      </c:scatterChart>
      <c:valAx>
        <c:axId val="708160216"/>
        <c:scaling>
          <c:orientation val="minMax"/>
          <c:max val="2055"/>
          <c:min val="20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59888"/>
        <c:crosses val="autoZero"/>
        <c:crossBetween val="midCat"/>
      </c:valAx>
      <c:valAx>
        <c:axId val="708159888"/>
        <c:scaling>
          <c:orientation val="minMax"/>
          <c:max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60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893278397921956"/>
          <c:y val="5.1222498491823511E-2"/>
          <c:w val="0.26523503304829854"/>
          <c:h val="0.89842786224814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9720689420359569E-2"/>
          <c:y val="4.6153835988362757E-2"/>
          <c:w val="0.65042717308110409"/>
          <c:h val="0.84339742450362321"/>
        </c:manualLayout>
      </c:layout>
      <c:scatterChart>
        <c:scatterStyle val="smoothMarker"/>
        <c:varyColors val="0"/>
        <c:ser>
          <c:idx val="5"/>
          <c:order val="0"/>
          <c:tx>
            <c:v>Wind (Onshore)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Trend!$C$47:$AH$47</c:f>
              <c:numCache>
                <c:formatCode>General</c:formatCode>
                <c:ptCount val="32"/>
                <c:pt idx="0">
                  <c:v>29.5</c:v>
                </c:pt>
                <c:pt idx="1">
                  <c:v>29.863636363636363</c:v>
                </c:pt>
                <c:pt idx="2">
                  <c:v>30.227272727272727</c:v>
                </c:pt>
                <c:pt idx="3">
                  <c:v>30.59090909090909</c:v>
                </c:pt>
                <c:pt idx="4">
                  <c:v>30.954545454545453</c:v>
                </c:pt>
                <c:pt idx="5">
                  <c:v>31.31818181818182</c:v>
                </c:pt>
                <c:pt idx="6">
                  <c:v>31.68181818181818</c:v>
                </c:pt>
                <c:pt idx="7">
                  <c:v>32.045454545454547</c:v>
                </c:pt>
                <c:pt idx="8">
                  <c:v>32.409090909090907</c:v>
                </c:pt>
                <c:pt idx="9">
                  <c:v>32.772727272727273</c:v>
                </c:pt>
                <c:pt idx="10">
                  <c:v>33.13636363636364</c:v>
                </c:pt>
                <c:pt idx="11">
                  <c:v>33.5</c:v>
                </c:pt>
                <c:pt idx="12">
                  <c:v>33.700000000000003</c:v>
                </c:pt>
                <c:pt idx="13">
                  <c:v>33.9</c:v>
                </c:pt>
                <c:pt idx="14">
                  <c:v>34.1</c:v>
                </c:pt>
                <c:pt idx="15">
                  <c:v>34.299999999999997</c:v>
                </c:pt>
                <c:pt idx="16">
                  <c:v>34.5</c:v>
                </c:pt>
                <c:pt idx="17">
                  <c:v>34.700000000000003</c:v>
                </c:pt>
                <c:pt idx="18">
                  <c:v>34.9</c:v>
                </c:pt>
                <c:pt idx="19">
                  <c:v>35.1</c:v>
                </c:pt>
                <c:pt idx="20">
                  <c:v>35.299999999999997</c:v>
                </c:pt>
                <c:pt idx="21">
                  <c:v>35.5</c:v>
                </c:pt>
                <c:pt idx="22">
                  <c:v>35.700000000000003</c:v>
                </c:pt>
                <c:pt idx="23">
                  <c:v>35.9</c:v>
                </c:pt>
                <c:pt idx="24">
                  <c:v>36.1</c:v>
                </c:pt>
                <c:pt idx="25">
                  <c:v>36.299999999999997</c:v>
                </c:pt>
                <c:pt idx="26">
                  <c:v>36.5</c:v>
                </c:pt>
                <c:pt idx="27">
                  <c:v>36.700000000000003</c:v>
                </c:pt>
                <c:pt idx="28">
                  <c:v>36.9</c:v>
                </c:pt>
                <c:pt idx="29">
                  <c:v>37.1</c:v>
                </c:pt>
                <c:pt idx="30">
                  <c:v>37.299999999999997</c:v>
                </c:pt>
                <c:pt idx="31">
                  <c:v>37.5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DB7-4C21-B658-E5499E9ACA7C}"/>
            </c:ext>
          </c:extLst>
        </c:ser>
        <c:ser>
          <c:idx val="8"/>
          <c:order val="1"/>
          <c:tx>
            <c:v>Wind (Offshore)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Trend!$C$48:$AH$48</c:f>
              <c:numCache>
                <c:formatCode>General</c:formatCode>
                <c:ptCount val="32"/>
                <c:pt idx="0">
                  <c:v>41</c:v>
                </c:pt>
                <c:pt idx="1">
                  <c:v>41.136363636363633</c:v>
                </c:pt>
                <c:pt idx="2">
                  <c:v>41.272727272727273</c:v>
                </c:pt>
                <c:pt idx="3">
                  <c:v>41.409090909090907</c:v>
                </c:pt>
                <c:pt idx="4">
                  <c:v>41.545454545454547</c:v>
                </c:pt>
                <c:pt idx="5">
                  <c:v>41.68181818181818</c:v>
                </c:pt>
                <c:pt idx="6">
                  <c:v>41.81818181818182</c:v>
                </c:pt>
                <c:pt idx="7">
                  <c:v>41.954545454545453</c:v>
                </c:pt>
                <c:pt idx="8">
                  <c:v>42.090909090909093</c:v>
                </c:pt>
                <c:pt idx="9">
                  <c:v>42.227272727272727</c:v>
                </c:pt>
                <c:pt idx="10">
                  <c:v>42.363636363636367</c:v>
                </c:pt>
                <c:pt idx="11">
                  <c:v>42.5</c:v>
                </c:pt>
                <c:pt idx="12">
                  <c:v>42.575000000000003</c:v>
                </c:pt>
                <c:pt idx="13">
                  <c:v>42.65</c:v>
                </c:pt>
                <c:pt idx="14">
                  <c:v>42.725000000000001</c:v>
                </c:pt>
                <c:pt idx="15">
                  <c:v>42.8</c:v>
                </c:pt>
                <c:pt idx="16">
                  <c:v>42.875</c:v>
                </c:pt>
                <c:pt idx="17">
                  <c:v>42.95</c:v>
                </c:pt>
                <c:pt idx="18">
                  <c:v>43.024999999999999</c:v>
                </c:pt>
                <c:pt idx="19">
                  <c:v>43.1</c:v>
                </c:pt>
                <c:pt idx="20">
                  <c:v>43.174999999999997</c:v>
                </c:pt>
                <c:pt idx="21">
                  <c:v>43.25</c:v>
                </c:pt>
                <c:pt idx="22">
                  <c:v>43.325000000000003</c:v>
                </c:pt>
                <c:pt idx="23">
                  <c:v>43.4</c:v>
                </c:pt>
                <c:pt idx="24">
                  <c:v>43.475000000000001</c:v>
                </c:pt>
                <c:pt idx="25">
                  <c:v>43.55</c:v>
                </c:pt>
                <c:pt idx="26">
                  <c:v>43.625</c:v>
                </c:pt>
                <c:pt idx="27">
                  <c:v>43.7</c:v>
                </c:pt>
                <c:pt idx="28">
                  <c:v>43.774999999999999</c:v>
                </c:pt>
                <c:pt idx="29">
                  <c:v>43.85</c:v>
                </c:pt>
                <c:pt idx="30">
                  <c:v>43.924999999999997</c:v>
                </c:pt>
                <c:pt idx="31">
                  <c:v>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DB7-4C21-B658-E5499E9AC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160216"/>
        <c:axId val="708159888"/>
      </c:scatterChart>
      <c:valAx>
        <c:axId val="708160216"/>
        <c:scaling>
          <c:orientation val="minMax"/>
          <c:max val="2055"/>
          <c:min val="20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59888"/>
        <c:crosses val="autoZero"/>
        <c:crossBetween val="midCat"/>
      </c:valAx>
      <c:valAx>
        <c:axId val="708159888"/>
        <c:scaling>
          <c:orientation val="minMax"/>
          <c:min val="2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60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893278397921956"/>
          <c:y val="5.1222498491823511E-2"/>
          <c:w val="0.26523503304829854"/>
          <c:h val="0.89842786224814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9720689420359569E-2"/>
          <c:y val="4.6153835988362757E-2"/>
          <c:w val="0.65042717308110409"/>
          <c:h val="0.84339742450362321"/>
        </c:manualLayout>
      </c:layout>
      <c:scatterChart>
        <c:scatterStyle val="smoothMarker"/>
        <c:varyColors val="0"/>
        <c:ser>
          <c:idx val="0"/>
          <c:order val="0"/>
          <c:tx>
            <c:v>Coal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Trend!$C$58:$AH$58</c:f>
              <c:numCache>
                <c:formatCode>General</c:formatCode>
                <c:ptCount val="32"/>
                <c:pt idx="0">
                  <c:v>1.9E-2</c:v>
                </c:pt>
                <c:pt idx="1">
                  <c:v>1.9045454545454546E-2</c:v>
                </c:pt>
                <c:pt idx="2">
                  <c:v>1.9090909090909089E-2</c:v>
                </c:pt>
                <c:pt idx="3">
                  <c:v>1.9136363636363635E-2</c:v>
                </c:pt>
                <c:pt idx="4">
                  <c:v>1.9181818181818182E-2</c:v>
                </c:pt>
                <c:pt idx="5">
                  <c:v>1.9227272727272728E-2</c:v>
                </c:pt>
                <c:pt idx="6">
                  <c:v>1.9272727272727271E-2</c:v>
                </c:pt>
                <c:pt idx="7">
                  <c:v>1.9318181818181818E-2</c:v>
                </c:pt>
                <c:pt idx="8">
                  <c:v>1.9363636363636364E-2</c:v>
                </c:pt>
                <c:pt idx="9">
                  <c:v>1.9409090909090911E-2</c:v>
                </c:pt>
                <c:pt idx="10">
                  <c:v>1.9454545454545454E-2</c:v>
                </c:pt>
                <c:pt idx="11">
                  <c:v>1.95E-2</c:v>
                </c:pt>
                <c:pt idx="12">
                  <c:v>1.9474999999999999E-2</c:v>
                </c:pt>
                <c:pt idx="13">
                  <c:v>1.9449999999999999E-2</c:v>
                </c:pt>
                <c:pt idx="14">
                  <c:v>1.9425000000000001E-2</c:v>
                </c:pt>
                <c:pt idx="15">
                  <c:v>1.9400000000000001E-2</c:v>
                </c:pt>
                <c:pt idx="16">
                  <c:v>1.9375E-2</c:v>
                </c:pt>
                <c:pt idx="17">
                  <c:v>1.9349999999999999E-2</c:v>
                </c:pt>
                <c:pt idx="18">
                  <c:v>1.9324999999999998E-2</c:v>
                </c:pt>
                <c:pt idx="19">
                  <c:v>1.9300000000000001E-2</c:v>
                </c:pt>
                <c:pt idx="20">
                  <c:v>1.9275E-2</c:v>
                </c:pt>
                <c:pt idx="21">
                  <c:v>1.925E-2</c:v>
                </c:pt>
                <c:pt idx="22">
                  <c:v>1.9224999999999999E-2</c:v>
                </c:pt>
                <c:pt idx="23">
                  <c:v>1.9199999999999998E-2</c:v>
                </c:pt>
                <c:pt idx="24">
                  <c:v>1.9175000000000001E-2</c:v>
                </c:pt>
                <c:pt idx="25">
                  <c:v>1.915E-2</c:v>
                </c:pt>
                <c:pt idx="26">
                  <c:v>1.9125E-2</c:v>
                </c:pt>
                <c:pt idx="27">
                  <c:v>1.9099999999999999E-2</c:v>
                </c:pt>
                <c:pt idx="28">
                  <c:v>1.9074999999999998E-2</c:v>
                </c:pt>
                <c:pt idx="29">
                  <c:v>1.9050000000000001E-2</c:v>
                </c:pt>
                <c:pt idx="30">
                  <c:v>1.9025E-2</c:v>
                </c:pt>
                <c:pt idx="31">
                  <c:v>1.9E-2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63-4CC7-A6C8-02B2004423BB}"/>
            </c:ext>
          </c:extLst>
        </c:ser>
        <c:ser>
          <c:idx val="1"/>
          <c:order val="1"/>
          <c:tx>
            <c:v>Coal (with CCS)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Trend!$C$59:$AH$59</c:f>
              <c:numCache>
                <c:formatCode>General</c:formatCode>
                <c:ptCount val="32"/>
                <c:pt idx="0">
                  <c:v>2.5000000000000001E-2</c:v>
                </c:pt>
                <c:pt idx="1">
                  <c:v>2.4636363636363637E-2</c:v>
                </c:pt>
                <c:pt idx="2">
                  <c:v>2.4272727272727276E-2</c:v>
                </c:pt>
                <c:pt idx="3">
                  <c:v>2.3909090909090911E-2</c:v>
                </c:pt>
                <c:pt idx="4">
                  <c:v>2.3545454545454546E-2</c:v>
                </c:pt>
                <c:pt idx="5">
                  <c:v>2.3181818181818182E-2</c:v>
                </c:pt>
                <c:pt idx="6">
                  <c:v>2.2818181818181821E-2</c:v>
                </c:pt>
                <c:pt idx="7">
                  <c:v>2.2454545454545456E-2</c:v>
                </c:pt>
                <c:pt idx="8">
                  <c:v>2.2090909090909092E-2</c:v>
                </c:pt>
                <c:pt idx="9">
                  <c:v>2.1727272727272727E-2</c:v>
                </c:pt>
                <c:pt idx="10">
                  <c:v>2.1363636363636366E-2</c:v>
                </c:pt>
                <c:pt idx="11">
                  <c:v>2.1000000000000001E-2</c:v>
                </c:pt>
                <c:pt idx="12">
                  <c:v>2.12E-2</c:v>
                </c:pt>
                <c:pt idx="13">
                  <c:v>2.1400000000000002E-2</c:v>
                </c:pt>
                <c:pt idx="14">
                  <c:v>2.1600000000000001E-2</c:v>
                </c:pt>
                <c:pt idx="15">
                  <c:v>2.18E-2</c:v>
                </c:pt>
                <c:pt idx="16">
                  <c:v>2.2000000000000002E-2</c:v>
                </c:pt>
                <c:pt idx="17">
                  <c:v>2.2200000000000001E-2</c:v>
                </c:pt>
                <c:pt idx="18">
                  <c:v>2.24E-2</c:v>
                </c:pt>
                <c:pt idx="19">
                  <c:v>2.2600000000000002E-2</c:v>
                </c:pt>
                <c:pt idx="20">
                  <c:v>2.2800000000000001E-2</c:v>
                </c:pt>
                <c:pt idx="21">
                  <c:v>2.3E-2</c:v>
                </c:pt>
                <c:pt idx="22">
                  <c:v>2.3200000000000002E-2</c:v>
                </c:pt>
                <c:pt idx="23">
                  <c:v>2.3400000000000001E-2</c:v>
                </c:pt>
                <c:pt idx="24">
                  <c:v>2.3600000000000003E-2</c:v>
                </c:pt>
                <c:pt idx="25">
                  <c:v>2.3800000000000002E-2</c:v>
                </c:pt>
                <c:pt idx="26">
                  <c:v>2.4E-2</c:v>
                </c:pt>
                <c:pt idx="27">
                  <c:v>2.4200000000000003E-2</c:v>
                </c:pt>
                <c:pt idx="28">
                  <c:v>2.4400000000000002E-2</c:v>
                </c:pt>
                <c:pt idx="29">
                  <c:v>2.46E-2</c:v>
                </c:pt>
                <c:pt idx="30">
                  <c:v>2.4800000000000003E-2</c:v>
                </c:pt>
                <c:pt idx="31">
                  <c:v>2.5000000000000001E-2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63-4CC7-A6C8-02B2004423BB}"/>
            </c:ext>
          </c:extLst>
        </c:ser>
        <c:ser>
          <c:idx val="2"/>
          <c:order val="2"/>
          <c:tx>
            <c:v>Gas - CT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Trend!$C$60:$AH$60</c:f>
              <c:numCache>
                <c:formatCode>General</c:formatCode>
                <c:ptCount val="32"/>
                <c:pt idx="0">
                  <c:v>2.8000000000000001E-2</c:v>
                </c:pt>
                <c:pt idx="1">
                  <c:v>2.9181818181818184E-2</c:v>
                </c:pt>
                <c:pt idx="2">
                  <c:v>3.0363636363636363E-2</c:v>
                </c:pt>
                <c:pt idx="3">
                  <c:v>3.1545454545454543E-2</c:v>
                </c:pt>
                <c:pt idx="4">
                  <c:v>3.272727272727273E-2</c:v>
                </c:pt>
                <c:pt idx="5">
                  <c:v>3.390909090909091E-2</c:v>
                </c:pt>
                <c:pt idx="6">
                  <c:v>3.5090909090909089E-2</c:v>
                </c:pt>
                <c:pt idx="7">
                  <c:v>3.6272727272727276E-2</c:v>
                </c:pt>
                <c:pt idx="8">
                  <c:v>3.7454545454545456E-2</c:v>
                </c:pt>
                <c:pt idx="9">
                  <c:v>3.8636363636363635E-2</c:v>
                </c:pt>
                <c:pt idx="10">
                  <c:v>3.9818181818181822E-2</c:v>
                </c:pt>
                <c:pt idx="11">
                  <c:v>4.1000000000000002E-2</c:v>
                </c:pt>
                <c:pt idx="12">
                  <c:v>4.0350000000000004E-2</c:v>
                </c:pt>
                <c:pt idx="13">
                  <c:v>3.9699999999999999E-2</c:v>
                </c:pt>
                <c:pt idx="14">
                  <c:v>3.9050000000000001E-2</c:v>
                </c:pt>
                <c:pt idx="15">
                  <c:v>3.8400000000000004E-2</c:v>
                </c:pt>
                <c:pt idx="16">
                  <c:v>3.7749999999999999E-2</c:v>
                </c:pt>
                <c:pt idx="17">
                  <c:v>3.7100000000000001E-2</c:v>
                </c:pt>
                <c:pt idx="18">
                  <c:v>3.6450000000000003E-2</c:v>
                </c:pt>
                <c:pt idx="19">
                  <c:v>3.5799999999999998E-2</c:v>
                </c:pt>
                <c:pt idx="20">
                  <c:v>3.5150000000000001E-2</c:v>
                </c:pt>
                <c:pt idx="21">
                  <c:v>3.4500000000000003E-2</c:v>
                </c:pt>
                <c:pt idx="22">
                  <c:v>3.3849999999999998E-2</c:v>
                </c:pt>
                <c:pt idx="23">
                  <c:v>3.32E-2</c:v>
                </c:pt>
                <c:pt idx="24">
                  <c:v>3.2550000000000003E-2</c:v>
                </c:pt>
                <c:pt idx="25">
                  <c:v>3.1899999999999998E-2</c:v>
                </c:pt>
                <c:pt idx="26">
                  <c:v>3.125E-2</c:v>
                </c:pt>
                <c:pt idx="27">
                  <c:v>3.0600000000000002E-2</c:v>
                </c:pt>
                <c:pt idx="28">
                  <c:v>2.9950000000000001E-2</c:v>
                </c:pt>
                <c:pt idx="29">
                  <c:v>2.93E-2</c:v>
                </c:pt>
                <c:pt idx="30">
                  <c:v>2.8650000000000002E-2</c:v>
                </c:pt>
                <c:pt idx="31">
                  <c:v>2.8000000000000001E-2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63-4CC7-A6C8-02B2004423BB}"/>
            </c:ext>
          </c:extLst>
        </c:ser>
        <c:ser>
          <c:idx val="3"/>
          <c:order val="3"/>
          <c:tx>
            <c:v>Gas - CC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Trend!$C$61:$AH$61</c:f>
              <c:numCache>
                <c:formatCode>General</c:formatCode>
                <c:ptCount val="32"/>
                <c:pt idx="0">
                  <c:v>1.9E-2</c:v>
                </c:pt>
                <c:pt idx="1">
                  <c:v>1.9818181818181818E-2</c:v>
                </c:pt>
                <c:pt idx="2">
                  <c:v>2.0636363636363637E-2</c:v>
                </c:pt>
                <c:pt idx="3">
                  <c:v>2.1454545454545455E-2</c:v>
                </c:pt>
                <c:pt idx="4">
                  <c:v>2.2272727272727274E-2</c:v>
                </c:pt>
                <c:pt idx="5">
                  <c:v>2.3090909090909092E-2</c:v>
                </c:pt>
                <c:pt idx="6">
                  <c:v>2.3909090909090908E-2</c:v>
                </c:pt>
                <c:pt idx="7">
                  <c:v>2.4727272727272726E-2</c:v>
                </c:pt>
                <c:pt idx="8">
                  <c:v>2.5545454545454545E-2</c:v>
                </c:pt>
                <c:pt idx="9">
                  <c:v>2.6363636363636363E-2</c:v>
                </c:pt>
                <c:pt idx="10">
                  <c:v>2.7181818181818182E-2</c:v>
                </c:pt>
                <c:pt idx="11">
                  <c:v>2.8000000000000001E-2</c:v>
                </c:pt>
                <c:pt idx="12">
                  <c:v>2.7550000000000002E-2</c:v>
                </c:pt>
                <c:pt idx="13">
                  <c:v>2.7099999999999999E-2</c:v>
                </c:pt>
                <c:pt idx="14">
                  <c:v>2.665E-2</c:v>
                </c:pt>
                <c:pt idx="15">
                  <c:v>2.6200000000000001E-2</c:v>
                </c:pt>
                <c:pt idx="16">
                  <c:v>2.5750000000000002E-2</c:v>
                </c:pt>
                <c:pt idx="17">
                  <c:v>2.53E-2</c:v>
                </c:pt>
                <c:pt idx="18">
                  <c:v>2.4850000000000001E-2</c:v>
                </c:pt>
                <c:pt idx="19">
                  <c:v>2.4400000000000002E-2</c:v>
                </c:pt>
                <c:pt idx="20">
                  <c:v>2.3949999999999999E-2</c:v>
                </c:pt>
                <c:pt idx="21">
                  <c:v>2.35E-2</c:v>
                </c:pt>
                <c:pt idx="22">
                  <c:v>2.3050000000000001E-2</c:v>
                </c:pt>
                <c:pt idx="23">
                  <c:v>2.2600000000000002E-2</c:v>
                </c:pt>
                <c:pt idx="24">
                  <c:v>2.215E-2</c:v>
                </c:pt>
                <c:pt idx="25">
                  <c:v>2.1700000000000001E-2</c:v>
                </c:pt>
                <c:pt idx="26">
                  <c:v>2.1249999999999998E-2</c:v>
                </c:pt>
                <c:pt idx="27">
                  <c:v>2.0799999999999999E-2</c:v>
                </c:pt>
                <c:pt idx="28">
                  <c:v>2.035E-2</c:v>
                </c:pt>
                <c:pt idx="29">
                  <c:v>1.9900000000000001E-2</c:v>
                </c:pt>
                <c:pt idx="30">
                  <c:v>1.9450000000000002E-2</c:v>
                </c:pt>
                <c:pt idx="31">
                  <c:v>1.9E-2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863-4CC7-A6C8-02B2004423BB}"/>
            </c:ext>
          </c:extLst>
        </c:ser>
        <c:ser>
          <c:idx val="4"/>
          <c:order val="4"/>
          <c:tx>
            <c:v>Gas - CC (with CCS)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Trend!$C$62:$AH$62</c:f>
              <c:numCache>
                <c:formatCode>General</c:formatCode>
                <c:ptCount val="32"/>
                <c:pt idx="0">
                  <c:v>2.1999999999999999E-2</c:v>
                </c:pt>
                <c:pt idx="1">
                  <c:v>2.3090909090909089E-2</c:v>
                </c:pt>
                <c:pt idx="2">
                  <c:v>2.4181818181818179E-2</c:v>
                </c:pt>
                <c:pt idx="3">
                  <c:v>2.5272727272727273E-2</c:v>
                </c:pt>
                <c:pt idx="4">
                  <c:v>2.6363636363636363E-2</c:v>
                </c:pt>
                <c:pt idx="5">
                  <c:v>2.7454545454545454E-2</c:v>
                </c:pt>
                <c:pt idx="6">
                  <c:v>2.8545454545454547E-2</c:v>
                </c:pt>
                <c:pt idx="7">
                  <c:v>2.9636363636363638E-2</c:v>
                </c:pt>
                <c:pt idx="8">
                  <c:v>3.0727272727272728E-2</c:v>
                </c:pt>
                <c:pt idx="9">
                  <c:v>3.1818181818181815E-2</c:v>
                </c:pt>
                <c:pt idx="10">
                  <c:v>3.2909090909090909E-2</c:v>
                </c:pt>
                <c:pt idx="11">
                  <c:v>3.4000000000000002E-2</c:v>
                </c:pt>
                <c:pt idx="12">
                  <c:v>3.3399999999999999E-2</c:v>
                </c:pt>
                <c:pt idx="13">
                  <c:v>3.2800000000000003E-2</c:v>
                </c:pt>
                <c:pt idx="14">
                  <c:v>3.2199999999999999E-2</c:v>
                </c:pt>
                <c:pt idx="15">
                  <c:v>3.1600000000000003E-2</c:v>
                </c:pt>
                <c:pt idx="16">
                  <c:v>3.1E-2</c:v>
                </c:pt>
                <c:pt idx="17">
                  <c:v>3.0400000000000003E-2</c:v>
                </c:pt>
                <c:pt idx="18">
                  <c:v>2.98E-2</c:v>
                </c:pt>
                <c:pt idx="19">
                  <c:v>2.92E-2</c:v>
                </c:pt>
                <c:pt idx="20">
                  <c:v>2.86E-2</c:v>
                </c:pt>
                <c:pt idx="21">
                  <c:v>2.8000000000000001E-2</c:v>
                </c:pt>
                <c:pt idx="22">
                  <c:v>2.7400000000000001E-2</c:v>
                </c:pt>
                <c:pt idx="23">
                  <c:v>2.6800000000000001E-2</c:v>
                </c:pt>
                <c:pt idx="24">
                  <c:v>2.6200000000000001E-2</c:v>
                </c:pt>
                <c:pt idx="25">
                  <c:v>2.5599999999999998E-2</c:v>
                </c:pt>
                <c:pt idx="26">
                  <c:v>2.5000000000000001E-2</c:v>
                </c:pt>
                <c:pt idx="27">
                  <c:v>2.4399999999999998E-2</c:v>
                </c:pt>
                <c:pt idx="28">
                  <c:v>2.3800000000000002E-2</c:v>
                </c:pt>
                <c:pt idx="29">
                  <c:v>2.3199999999999998E-2</c:v>
                </c:pt>
                <c:pt idx="30">
                  <c:v>2.2599999999999999E-2</c:v>
                </c:pt>
                <c:pt idx="31">
                  <c:v>2.1999999999999999E-2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863-4CC7-A6C8-02B2004423BB}"/>
            </c:ext>
          </c:extLst>
        </c:ser>
        <c:ser>
          <c:idx val="9"/>
          <c:order val="5"/>
          <c:tx>
            <c:v>Nuclear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Trend!$C$67:$AH$67</c:f>
              <c:numCache>
                <c:formatCode>General</c:formatCode>
                <c:ptCount val="32"/>
                <c:pt idx="0">
                  <c:v>7.0000000000000001E-3</c:v>
                </c:pt>
                <c:pt idx="1">
                  <c:v>7.0000000000000001E-3</c:v>
                </c:pt>
                <c:pt idx="2">
                  <c:v>7.0000000000000001E-3</c:v>
                </c:pt>
                <c:pt idx="3">
                  <c:v>7.0000000000000001E-3</c:v>
                </c:pt>
                <c:pt idx="4">
                  <c:v>7.0000000000000001E-3</c:v>
                </c:pt>
                <c:pt idx="5">
                  <c:v>7.0000000000000001E-3</c:v>
                </c:pt>
                <c:pt idx="6">
                  <c:v>7.0000000000000001E-3</c:v>
                </c:pt>
                <c:pt idx="7">
                  <c:v>7.0000000000000001E-3</c:v>
                </c:pt>
                <c:pt idx="8">
                  <c:v>7.0000000000000001E-3</c:v>
                </c:pt>
                <c:pt idx="9">
                  <c:v>7.0000000000000001E-3</c:v>
                </c:pt>
                <c:pt idx="10">
                  <c:v>7.0000000000000001E-3</c:v>
                </c:pt>
                <c:pt idx="11">
                  <c:v>7.0000000000000001E-3</c:v>
                </c:pt>
                <c:pt idx="12">
                  <c:v>7.0000000000000001E-3</c:v>
                </c:pt>
                <c:pt idx="13">
                  <c:v>7.0000000000000001E-3</c:v>
                </c:pt>
                <c:pt idx="14">
                  <c:v>7.0000000000000001E-3</c:v>
                </c:pt>
                <c:pt idx="15">
                  <c:v>7.0000000000000001E-3</c:v>
                </c:pt>
                <c:pt idx="16">
                  <c:v>7.0000000000000001E-3</c:v>
                </c:pt>
                <c:pt idx="17">
                  <c:v>7.0000000000000001E-3</c:v>
                </c:pt>
                <c:pt idx="18">
                  <c:v>7.0000000000000001E-3</c:v>
                </c:pt>
                <c:pt idx="19">
                  <c:v>7.0000000000000001E-3</c:v>
                </c:pt>
                <c:pt idx="20">
                  <c:v>7.0000000000000001E-3</c:v>
                </c:pt>
                <c:pt idx="21">
                  <c:v>7.0000000000000001E-3</c:v>
                </c:pt>
                <c:pt idx="22">
                  <c:v>7.0000000000000001E-3</c:v>
                </c:pt>
                <c:pt idx="23">
                  <c:v>7.0000000000000001E-3</c:v>
                </c:pt>
                <c:pt idx="24">
                  <c:v>7.0000000000000001E-3</c:v>
                </c:pt>
                <c:pt idx="25">
                  <c:v>7.0000000000000001E-3</c:v>
                </c:pt>
                <c:pt idx="26">
                  <c:v>7.0000000000000001E-3</c:v>
                </c:pt>
                <c:pt idx="27">
                  <c:v>7.0000000000000001E-3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7.0000000000000001E-3</c:v>
                </c:pt>
                <c:pt idx="31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863-4CC7-A6C8-02B200442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160216"/>
        <c:axId val="708159888"/>
      </c:scatterChart>
      <c:scatterChart>
        <c:scatterStyle val="smoothMarker"/>
        <c:varyColors val="0"/>
        <c:ser>
          <c:idx val="11"/>
          <c:order val="6"/>
          <c:tx>
            <c:v>Biomass (Diff Axis)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Trend!$C$3:$AH$3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xVal>
          <c:yVal>
            <c:numRef>
              <c:f>Trend!$C$69:$AH$69</c:f>
              <c:numCache>
                <c:formatCode>General</c:formatCode>
                <c:ptCount val="32"/>
                <c:pt idx="0">
                  <c:v>3.9E-2</c:v>
                </c:pt>
                <c:pt idx="1">
                  <c:v>3.9E-2</c:v>
                </c:pt>
                <c:pt idx="2">
                  <c:v>3.9E-2</c:v>
                </c:pt>
                <c:pt idx="3">
                  <c:v>3.9E-2</c:v>
                </c:pt>
                <c:pt idx="4">
                  <c:v>3.9E-2</c:v>
                </c:pt>
                <c:pt idx="5">
                  <c:v>3.9E-2</c:v>
                </c:pt>
                <c:pt idx="6">
                  <c:v>3.9E-2</c:v>
                </c:pt>
                <c:pt idx="7">
                  <c:v>3.9E-2</c:v>
                </c:pt>
                <c:pt idx="8">
                  <c:v>3.9E-2</c:v>
                </c:pt>
                <c:pt idx="9">
                  <c:v>3.9E-2</c:v>
                </c:pt>
                <c:pt idx="10">
                  <c:v>3.9E-2</c:v>
                </c:pt>
                <c:pt idx="11">
                  <c:v>3.9E-2</c:v>
                </c:pt>
                <c:pt idx="12">
                  <c:v>3.9E-2</c:v>
                </c:pt>
                <c:pt idx="13">
                  <c:v>3.9E-2</c:v>
                </c:pt>
                <c:pt idx="14">
                  <c:v>3.9E-2</c:v>
                </c:pt>
                <c:pt idx="15">
                  <c:v>3.9E-2</c:v>
                </c:pt>
                <c:pt idx="16">
                  <c:v>3.9E-2</c:v>
                </c:pt>
                <c:pt idx="17">
                  <c:v>3.9E-2</c:v>
                </c:pt>
                <c:pt idx="18">
                  <c:v>3.9E-2</c:v>
                </c:pt>
                <c:pt idx="19">
                  <c:v>3.9E-2</c:v>
                </c:pt>
                <c:pt idx="20">
                  <c:v>3.9E-2</c:v>
                </c:pt>
                <c:pt idx="21">
                  <c:v>3.9E-2</c:v>
                </c:pt>
                <c:pt idx="22">
                  <c:v>3.9E-2</c:v>
                </c:pt>
                <c:pt idx="23">
                  <c:v>3.9E-2</c:v>
                </c:pt>
                <c:pt idx="24">
                  <c:v>3.9E-2</c:v>
                </c:pt>
                <c:pt idx="25">
                  <c:v>3.9E-2</c:v>
                </c:pt>
                <c:pt idx="26">
                  <c:v>3.9E-2</c:v>
                </c:pt>
                <c:pt idx="27">
                  <c:v>3.9E-2</c:v>
                </c:pt>
                <c:pt idx="28">
                  <c:v>3.9E-2</c:v>
                </c:pt>
                <c:pt idx="29">
                  <c:v>3.9E-2</c:v>
                </c:pt>
                <c:pt idx="30">
                  <c:v>3.9E-2</c:v>
                </c:pt>
                <c:pt idx="31">
                  <c:v>3.9E-2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863-4CC7-A6C8-02B200442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64040"/>
        <c:axId val="736563712"/>
      </c:scatterChart>
      <c:valAx>
        <c:axId val="70816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59888"/>
        <c:crosses val="autoZero"/>
        <c:crossBetween val="midCat"/>
      </c:valAx>
      <c:valAx>
        <c:axId val="7081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160216"/>
        <c:crosses val="autoZero"/>
        <c:crossBetween val="midCat"/>
      </c:valAx>
      <c:valAx>
        <c:axId val="7365637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564040"/>
        <c:crosses val="max"/>
        <c:crossBetween val="midCat"/>
      </c:valAx>
      <c:valAx>
        <c:axId val="736564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6563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888867340634494"/>
          <c:y val="0.12655719941709448"/>
          <c:w val="0.18148166672086133"/>
          <c:h val="0.76538118554441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v>Coal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1'!$C$112:$AH$112</c:f>
              <c:numCache>
                <c:formatCode>General</c:formatCode>
                <c:ptCount val="32"/>
                <c:pt idx="0">
                  <c:v>1086.8469095200001</c:v>
                </c:pt>
                <c:pt idx="1">
                  <c:v>1064.5649559999999</c:v>
                </c:pt>
                <c:pt idx="2">
                  <c:v>993.27435904000004</c:v>
                </c:pt>
                <c:pt idx="3">
                  <c:v>920.65656076000005</c:v>
                </c:pt>
                <c:pt idx="4">
                  <c:v>814.67102895999994</c:v>
                </c:pt>
                <c:pt idx="5">
                  <c:v>707.23311544000001</c:v>
                </c:pt>
                <c:pt idx="6">
                  <c:v>614.50424056000008</c:v>
                </c:pt>
                <c:pt idx="7">
                  <c:v>568.07186932000002</c:v>
                </c:pt>
                <c:pt idx="8">
                  <c:v>536.05742439999983</c:v>
                </c:pt>
                <c:pt idx="9">
                  <c:v>517.83319924000011</c:v>
                </c:pt>
                <c:pt idx="10">
                  <c:v>513.05026552000004</c:v>
                </c:pt>
                <c:pt idx="11">
                  <c:v>487.54111924000006</c:v>
                </c:pt>
                <c:pt idx="12">
                  <c:v>464.3796354399999</c:v>
                </c:pt>
                <c:pt idx="13">
                  <c:v>422.02491279999992</c:v>
                </c:pt>
                <c:pt idx="14">
                  <c:v>422.02491279999992</c:v>
                </c:pt>
                <c:pt idx="15">
                  <c:v>396.61127679999993</c:v>
                </c:pt>
                <c:pt idx="16">
                  <c:v>396.61127679999993</c:v>
                </c:pt>
                <c:pt idx="17">
                  <c:v>396.61127679999993</c:v>
                </c:pt>
                <c:pt idx="18">
                  <c:v>386.41375203999974</c:v>
                </c:pt>
                <c:pt idx="19">
                  <c:v>386.41375203999974</c:v>
                </c:pt>
                <c:pt idx="20">
                  <c:v>386.41375203999974</c:v>
                </c:pt>
                <c:pt idx="21">
                  <c:v>386.41375203999974</c:v>
                </c:pt>
                <c:pt idx="22">
                  <c:v>375.75287583999989</c:v>
                </c:pt>
                <c:pt idx="23">
                  <c:v>375.75287583999989</c:v>
                </c:pt>
                <c:pt idx="24">
                  <c:v>370.81220955999993</c:v>
                </c:pt>
                <c:pt idx="25">
                  <c:v>370.81220955999993</c:v>
                </c:pt>
                <c:pt idx="26">
                  <c:v>370.81220955999993</c:v>
                </c:pt>
                <c:pt idx="27">
                  <c:v>370.81220955999993</c:v>
                </c:pt>
                <c:pt idx="28">
                  <c:v>370.81220955999993</c:v>
                </c:pt>
                <c:pt idx="29">
                  <c:v>370.81220955999993</c:v>
                </c:pt>
                <c:pt idx="30">
                  <c:v>370.81220955999993</c:v>
                </c:pt>
                <c:pt idx="31">
                  <c:v>370.81220955999993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7-4ACE-B3E3-4818DB1377A3}"/>
            </c:ext>
          </c:extLst>
        </c:ser>
        <c:ser>
          <c:idx val="1"/>
          <c:order val="1"/>
          <c:tx>
            <c:v>Coal CCS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1'!$C$113:$AH$113</c:f>
              <c:numCache>
                <c:formatCode>General</c:formatCode>
                <c:ptCount val="32"/>
                <c:pt idx="0">
                  <c:v>63.320291399999292</c:v>
                </c:pt>
                <c:pt idx="1">
                  <c:v>63.320291399999292</c:v>
                </c:pt>
                <c:pt idx="2">
                  <c:v>63.320291399999292</c:v>
                </c:pt>
                <c:pt idx="3">
                  <c:v>63.320291399999292</c:v>
                </c:pt>
                <c:pt idx="4">
                  <c:v>63.320291399999292</c:v>
                </c:pt>
                <c:pt idx="5">
                  <c:v>63.320291399999292</c:v>
                </c:pt>
                <c:pt idx="6">
                  <c:v>63.320291399999292</c:v>
                </c:pt>
                <c:pt idx="7">
                  <c:v>63.320291399999292</c:v>
                </c:pt>
                <c:pt idx="8">
                  <c:v>63.320291399999292</c:v>
                </c:pt>
                <c:pt idx="9">
                  <c:v>63.320291399999292</c:v>
                </c:pt>
                <c:pt idx="10">
                  <c:v>63.320291399999292</c:v>
                </c:pt>
                <c:pt idx="11">
                  <c:v>63.320291399999292</c:v>
                </c:pt>
                <c:pt idx="12">
                  <c:v>63.320291399999292</c:v>
                </c:pt>
                <c:pt idx="13">
                  <c:v>63.320291399999292</c:v>
                </c:pt>
                <c:pt idx="14">
                  <c:v>63.320291399999292</c:v>
                </c:pt>
                <c:pt idx="15">
                  <c:v>63.320291399999292</c:v>
                </c:pt>
                <c:pt idx="16">
                  <c:v>63.320291399999292</c:v>
                </c:pt>
                <c:pt idx="17">
                  <c:v>63.320291399999292</c:v>
                </c:pt>
                <c:pt idx="18">
                  <c:v>63.320291399999292</c:v>
                </c:pt>
                <c:pt idx="19">
                  <c:v>63.320291399999292</c:v>
                </c:pt>
                <c:pt idx="20">
                  <c:v>63.320291399999292</c:v>
                </c:pt>
                <c:pt idx="21">
                  <c:v>63.320291399999292</c:v>
                </c:pt>
                <c:pt idx="22">
                  <c:v>63.320291399999292</c:v>
                </c:pt>
                <c:pt idx="23">
                  <c:v>63.320291399999292</c:v>
                </c:pt>
                <c:pt idx="24">
                  <c:v>63.320291399999292</c:v>
                </c:pt>
                <c:pt idx="25">
                  <c:v>63.320291399999292</c:v>
                </c:pt>
                <c:pt idx="26">
                  <c:v>63.320291399999292</c:v>
                </c:pt>
                <c:pt idx="27">
                  <c:v>63.320291399999292</c:v>
                </c:pt>
                <c:pt idx="28">
                  <c:v>63.320291399999292</c:v>
                </c:pt>
                <c:pt idx="29">
                  <c:v>63.320291399999292</c:v>
                </c:pt>
                <c:pt idx="30">
                  <c:v>63.320291399999292</c:v>
                </c:pt>
                <c:pt idx="31">
                  <c:v>63.320291399999292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C7-4ACE-B3E3-4818DB1377A3}"/>
            </c:ext>
          </c:extLst>
        </c:ser>
        <c:ser>
          <c:idx val="2"/>
          <c:order val="2"/>
          <c:tx>
            <c:v>Gas CT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1'!$C$114:$AH$114</c:f>
              <c:numCache>
                <c:formatCode>General</c:formatCode>
                <c:ptCount val="32"/>
                <c:pt idx="0">
                  <c:v>724.11517600000002</c:v>
                </c:pt>
                <c:pt idx="1">
                  <c:v>716.808898</c:v>
                </c:pt>
                <c:pt idx="2">
                  <c:v>675.27160162000007</c:v>
                </c:pt>
                <c:pt idx="3">
                  <c:v>665.22256762000006</c:v>
                </c:pt>
                <c:pt idx="4">
                  <c:v>648.65652724000006</c:v>
                </c:pt>
                <c:pt idx="5">
                  <c:v>632.77639485999998</c:v>
                </c:pt>
                <c:pt idx="6">
                  <c:v>624.24503523999999</c:v>
                </c:pt>
                <c:pt idx="7">
                  <c:v>600.31623676000004</c:v>
                </c:pt>
                <c:pt idx="8">
                  <c:v>596.59322800000007</c:v>
                </c:pt>
                <c:pt idx="9">
                  <c:v>588.05003362000002</c:v>
                </c:pt>
                <c:pt idx="10">
                  <c:v>573.41075524000007</c:v>
                </c:pt>
                <c:pt idx="11">
                  <c:v>573.15846724000005</c:v>
                </c:pt>
                <c:pt idx="12">
                  <c:v>570.42183010000008</c:v>
                </c:pt>
                <c:pt idx="13">
                  <c:v>570.42183010000008</c:v>
                </c:pt>
                <c:pt idx="14">
                  <c:v>569.39254762000007</c:v>
                </c:pt>
                <c:pt idx="15">
                  <c:v>569.04215638000005</c:v>
                </c:pt>
                <c:pt idx="16">
                  <c:v>568.6085407600001</c:v>
                </c:pt>
                <c:pt idx="17">
                  <c:v>566.69271562000006</c:v>
                </c:pt>
                <c:pt idx="18">
                  <c:v>566.69271562000006</c:v>
                </c:pt>
                <c:pt idx="19">
                  <c:v>563.13615124000012</c:v>
                </c:pt>
                <c:pt idx="20">
                  <c:v>563.13615124000012</c:v>
                </c:pt>
                <c:pt idx="21">
                  <c:v>562.23124324000003</c:v>
                </c:pt>
                <c:pt idx="22">
                  <c:v>550.24755448000008</c:v>
                </c:pt>
                <c:pt idx="23">
                  <c:v>548.22838762000003</c:v>
                </c:pt>
                <c:pt idx="24">
                  <c:v>547.31733886000006</c:v>
                </c:pt>
                <c:pt idx="25">
                  <c:v>547.31733886000006</c:v>
                </c:pt>
                <c:pt idx="26">
                  <c:v>545.97443085999998</c:v>
                </c:pt>
                <c:pt idx="27">
                  <c:v>544.97141086000011</c:v>
                </c:pt>
                <c:pt idx="28">
                  <c:v>544.97141086000011</c:v>
                </c:pt>
                <c:pt idx="29">
                  <c:v>544.97141086000011</c:v>
                </c:pt>
                <c:pt idx="30">
                  <c:v>544.97141086000011</c:v>
                </c:pt>
                <c:pt idx="31">
                  <c:v>544.97141086000011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C7-4ACE-B3E3-4818DB1377A3}"/>
            </c:ext>
          </c:extLst>
        </c:ser>
        <c:ser>
          <c:idx val="3"/>
          <c:order val="3"/>
          <c:tx>
            <c:v>Gas - CC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1'!$C$115:$AH$115</c:f>
              <c:numCache>
                <c:formatCode>General</c:formatCode>
                <c:ptCount val="32"/>
                <c:pt idx="0">
                  <c:v>938.03626000000008</c:v>
                </c:pt>
                <c:pt idx="1">
                  <c:v>1022.5801000000004</c:v>
                </c:pt>
                <c:pt idx="2">
                  <c:v>1196.3225636200004</c:v>
                </c:pt>
                <c:pt idx="3">
                  <c:v>1346.7819775000007</c:v>
                </c:pt>
                <c:pt idx="4">
                  <c:v>1534.5219317200003</c:v>
                </c:pt>
                <c:pt idx="5">
                  <c:v>1630.4907844200006</c:v>
                </c:pt>
                <c:pt idx="6">
                  <c:v>1694.3740438400011</c:v>
                </c:pt>
                <c:pt idx="7">
                  <c:v>1707.4097033200005</c:v>
                </c:pt>
                <c:pt idx="8">
                  <c:v>1701.5667570400005</c:v>
                </c:pt>
                <c:pt idx="9">
                  <c:v>1698.0185234200005</c:v>
                </c:pt>
                <c:pt idx="10">
                  <c:v>1690.8208562800005</c:v>
                </c:pt>
                <c:pt idx="11">
                  <c:v>1688.8410962800006</c:v>
                </c:pt>
                <c:pt idx="12">
                  <c:v>1685.9879599000005</c:v>
                </c:pt>
                <c:pt idx="13">
                  <c:v>1681.5203599000006</c:v>
                </c:pt>
                <c:pt idx="14">
                  <c:v>1680.4472774200005</c:v>
                </c:pt>
                <c:pt idx="15">
                  <c:v>1676.8644461800006</c:v>
                </c:pt>
                <c:pt idx="16">
                  <c:v>1665.3178945600007</c:v>
                </c:pt>
                <c:pt idx="17">
                  <c:v>1662.2624021800007</c:v>
                </c:pt>
                <c:pt idx="18">
                  <c:v>1662.2624021800007</c:v>
                </c:pt>
                <c:pt idx="19">
                  <c:v>1651.3964850400007</c:v>
                </c:pt>
                <c:pt idx="20">
                  <c:v>1649.2415250400006</c:v>
                </c:pt>
                <c:pt idx="21">
                  <c:v>1649.2415250400006</c:v>
                </c:pt>
                <c:pt idx="22">
                  <c:v>1648.2691650400006</c:v>
                </c:pt>
                <c:pt idx="23">
                  <c:v>1642.1327894200006</c:v>
                </c:pt>
                <c:pt idx="24">
                  <c:v>1626.9955094200006</c:v>
                </c:pt>
                <c:pt idx="25">
                  <c:v>1626.9955094200006</c:v>
                </c:pt>
                <c:pt idx="26">
                  <c:v>1623.6754606600007</c:v>
                </c:pt>
                <c:pt idx="27">
                  <c:v>1619.6370919000005</c:v>
                </c:pt>
                <c:pt idx="28">
                  <c:v>1613.6373766600007</c:v>
                </c:pt>
                <c:pt idx="29">
                  <c:v>1613.6373766600007</c:v>
                </c:pt>
                <c:pt idx="30">
                  <c:v>1613.6373766600007</c:v>
                </c:pt>
                <c:pt idx="31">
                  <c:v>1613.6093446600007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C7-4ACE-B3E3-4818DB1377A3}"/>
            </c:ext>
          </c:extLst>
        </c:ser>
        <c:ser>
          <c:idx val="5"/>
          <c:order val="5"/>
          <c:tx>
            <c:v>Solar PV</c:v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1'!$C$117:$AH$117</c:f>
              <c:numCache>
                <c:formatCode>General</c:formatCode>
                <c:ptCount val="32"/>
                <c:pt idx="0">
                  <c:v>77.214188000000007</c:v>
                </c:pt>
                <c:pt idx="1">
                  <c:v>77.212727999999998</c:v>
                </c:pt>
                <c:pt idx="2">
                  <c:v>99.957799999999992</c:v>
                </c:pt>
                <c:pt idx="3">
                  <c:v>99.92874599999999</c:v>
                </c:pt>
                <c:pt idx="4">
                  <c:v>99.91925599999999</c:v>
                </c:pt>
                <c:pt idx="5">
                  <c:v>161.99313119999999</c:v>
                </c:pt>
                <c:pt idx="6">
                  <c:v>261.34505752000001</c:v>
                </c:pt>
                <c:pt idx="7">
                  <c:v>361.34213751999999</c:v>
                </c:pt>
                <c:pt idx="8">
                  <c:v>434.94919199999953</c:v>
                </c:pt>
                <c:pt idx="9">
                  <c:v>496.47837307999993</c:v>
                </c:pt>
                <c:pt idx="10">
                  <c:v>554.06568307999987</c:v>
                </c:pt>
                <c:pt idx="11">
                  <c:v>611.45537568000009</c:v>
                </c:pt>
                <c:pt idx="12">
                  <c:v>669.10309072000064</c:v>
                </c:pt>
                <c:pt idx="13">
                  <c:v>756.6432793200006</c:v>
                </c:pt>
                <c:pt idx="14">
                  <c:v>786.19676272000015</c:v>
                </c:pt>
                <c:pt idx="15">
                  <c:v>842.30364999999983</c:v>
                </c:pt>
                <c:pt idx="16">
                  <c:v>880.36781000000019</c:v>
                </c:pt>
                <c:pt idx="17">
                  <c:v>910.76759324000022</c:v>
                </c:pt>
                <c:pt idx="18">
                  <c:v>945.7537543200001</c:v>
                </c:pt>
                <c:pt idx="19">
                  <c:v>984.3436370000004</c:v>
                </c:pt>
                <c:pt idx="20">
                  <c:v>1010.0625795200003</c:v>
                </c:pt>
                <c:pt idx="21">
                  <c:v>1033.9426030400004</c:v>
                </c:pt>
                <c:pt idx="22">
                  <c:v>1079.9637188800002</c:v>
                </c:pt>
                <c:pt idx="23">
                  <c:v>1109.9668044800005</c:v>
                </c:pt>
                <c:pt idx="24">
                  <c:v>1152.2623694399999</c:v>
                </c:pt>
                <c:pt idx="25">
                  <c:v>1173.0426434399997</c:v>
                </c:pt>
                <c:pt idx="26">
                  <c:v>1197.9757681200003</c:v>
                </c:pt>
                <c:pt idx="27">
                  <c:v>1222.7891211199999</c:v>
                </c:pt>
                <c:pt idx="28">
                  <c:v>1248.39137168</c:v>
                </c:pt>
                <c:pt idx="29">
                  <c:v>1267.2102196799999</c:v>
                </c:pt>
                <c:pt idx="30">
                  <c:v>1285.5715476799999</c:v>
                </c:pt>
                <c:pt idx="31">
                  <c:v>1303.5170947200002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C7-4ACE-B3E3-4818DB1377A3}"/>
            </c:ext>
          </c:extLst>
        </c:ser>
        <c:ser>
          <c:idx val="6"/>
          <c:order val="6"/>
          <c:tx>
            <c:v>Solar CSP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1'!$C$118:$AH$118</c:f>
              <c:numCache>
                <c:formatCode>General</c:formatCode>
                <c:ptCount val="32"/>
                <c:pt idx="0">
                  <c:v>3.807188</c:v>
                </c:pt>
                <c:pt idx="1">
                  <c:v>3.8057280000000002</c:v>
                </c:pt>
                <c:pt idx="2">
                  <c:v>3.8045600000000004</c:v>
                </c:pt>
                <c:pt idx="3">
                  <c:v>3.775506</c:v>
                </c:pt>
                <c:pt idx="4">
                  <c:v>3.766016</c:v>
                </c:pt>
                <c:pt idx="5">
                  <c:v>3.7426560000000002</c:v>
                </c:pt>
                <c:pt idx="6">
                  <c:v>3.7390060000000003</c:v>
                </c:pt>
                <c:pt idx="7">
                  <c:v>3.7360860000000002</c:v>
                </c:pt>
                <c:pt idx="8">
                  <c:v>3.7360860000000002</c:v>
                </c:pt>
                <c:pt idx="9">
                  <c:v>3.7360860000000002</c:v>
                </c:pt>
                <c:pt idx="10">
                  <c:v>3.6265860000000001</c:v>
                </c:pt>
                <c:pt idx="11">
                  <c:v>3.6265860000000001</c:v>
                </c:pt>
                <c:pt idx="12">
                  <c:v>3.6265860000000001</c:v>
                </c:pt>
                <c:pt idx="13">
                  <c:v>3.6265860000000001</c:v>
                </c:pt>
                <c:pt idx="14">
                  <c:v>3.6265860000000001</c:v>
                </c:pt>
                <c:pt idx="15">
                  <c:v>3.6265860000000001</c:v>
                </c:pt>
                <c:pt idx="16">
                  <c:v>3.6265860000000001</c:v>
                </c:pt>
                <c:pt idx="17">
                  <c:v>3.6265860000000001</c:v>
                </c:pt>
                <c:pt idx="18">
                  <c:v>3.6265860000000001</c:v>
                </c:pt>
                <c:pt idx="19">
                  <c:v>3.6265860000000001</c:v>
                </c:pt>
                <c:pt idx="20">
                  <c:v>3.6265860000000001</c:v>
                </c:pt>
                <c:pt idx="21">
                  <c:v>3.6265860000000001</c:v>
                </c:pt>
                <c:pt idx="22">
                  <c:v>3.6265860000000001</c:v>
                </c:pt>
                <c:pt idx="23">
                  <c:v>3.6265860000000001</c:v>
                </c:pt>
                <c:pt idx="24">
                  <c:v>3.6265860000000001</c:v>
                </c:pt>
                <c:pt idx="25">
                  <c:v>3.6265860000000001</c:v>
                </c:pt>
                <c:pt idx="26">
                  <c:v>3.6265860000000001</c:v>
                </c:pt>
                <c:pt idx="27">
                  <c:v>3.6265860000000001</c:v>
                </c:pt>
                <c:pt idx="28">
                  <c:v>3.563806</c:v>
                </c:pt>
                <c:pt idx="29">
                  <c:v>3.563806</c:v>
                </c:pt>
                <c:pt idx="30">
                  <c:v>3.563806</c:v>
                </c:pt>
                <c:pt idx="31">
                  <c:v>3.563806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C7-4ACE-B3E3-4818DB1377A3}"/>
            </c:ext>
          </c:extLst>
        </c:ser>
        <c:ser>
          <c:idx val="7"/>
          <c:order val="7"/>
          <c:tx>
            <c:v>Wind On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1'!$C$119:$AH$119</c:f>
              <c:numCache>
                <c:formatCode>General</c:formatCode>
                <c:ptCount val="32"/>
                <c:pt idx="0">
                  <c:v>308.90618799999999</c:v>
                </c:pt>
                <c:pt idx="1">
                  <c:v>308.90472799999998</c:v>
                </c:pt>
                <c:pt idx="2">
                  <c:v>310.45745460000001</c:v>
                </c:pt>
                <c:pt idx="3">
                  <c:v>310.42840060000003</c:v>
                </c:pt>
                <c:pt idx="4">
                  <c:v>310.4189106</c:v>
                </c:pt>
                <c:pt idx="5">
                  <c:v>310.39555060000004</c:v>
                </c:pt>
                <c:pt idx="6">
                  <c:v>310.39190059999999</c:v>
                </c:pt>
                <c:pt idx="7">
                  <c:v>310.38898060000002</c:v>
                </c:pt>
                <c:pt idx="8">
                  <c:v>310.38898060000002</c:v>
                </c:pt>
                <c:pt idx="9">
                  <c:v>310.38898060000002</c:v>
                </c:pt>
                <c:pt idx="10">
                  <c:v>310.2794806</c:v>
                </c:pt>
                <c:pt idx="11">
                  <c:v>310.2794806</c:v>
                </c:pt>
                <c:pt idx="12">
                  <c:v>310.2794806</c:v>
                </c:pt>
                <c:pt idx="13">
                  <c:v>310.2794806</c:v>
                </c:pt>
                <c:pt idx="14">
                  <c:v>310.2794806</c:v>
                </c:pt>
                <c:pt idx="15">
                  <c:v>310.2794806</c:v>
                </c:pt>
                <c:pt idx="16">
                  <c:v>310.2794806</c:v>
                </c:pt>
                <c:pt idx="17">
                  <c:v>310.2794806</c:v>
                </c:pt>
                <c:pt idx="18">
                  <c:v>310.2794806</c:v>
                </c:pt>
                <c:pt idx="19">
                  <c:v>310.2794806</c:v>
                </c:pt>
                <c:pt idx="20">
                  <c:v>310.2794806</c:v>
                </c:pt>
                <c:pt idx="21">
                  <c:v>310.2794806</c:v>
                </c:pt>
                <c:pt idx="22">
                  <c:v>310.2794806</c:v>
                </c:pt>
                <c:pt idx="23">
                  <c:v>310.2794806</c:v>
                </c:pt>
                <c:pt idx="24">
                  <c:v>310.2794806</c:v>
                </c:pt>
                <c:pt idx="25">
                  <c:v>310.2794806</c:v>
                </c:pt>
                <c:pt idx="26">
                  <c:v>310.2794806</c:v>
                </c:pt>
                <c:pt idx="27">
                  <c:v>310.2794806</c:v>
                </c:pt>
                <c:pt idx="28">
                  <c:v>310.21670060000002</c:v>
                </c:pt>
                <c:pt idx="29">
                  <c:v>310.21670060000002</c:v>
                </c:pt>
                <c:pt idx="30">
                  <c:v>310.21670060000002</c:v>
                </c:pt>
                <c:pt idx="31">
                  <c:v>310.21670060000002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C7-4ACE-B3E3-4818DB1377A3}"/>
            </c:ext>
          </c:extLst>
        </c:ser>
        <c:ser>
          <c:idx val="8"/>
          <c:order val="8"/>
          <c:tx>
            <c:v>Wind Off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1'!$C$120:$AH$120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C7-4ACE-B3E3-4818DB1377A3}"/>
            </c:ext>
          </c:extLst>
        </c:ser>
        <c:ser>
          <c:idx val="9"/>
          <c:order val="9"/>
          <c:tx>
            <c:v>Nuclear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1'!$C$121:$AH$121</c:f>
              <c:numCache>
                <c:formatCode>General</c:formatCode>
                <c:ptCount val="32"/>
                <c:pt idx="0">
                  <c:v>864.42920000000004</c:v>
                </c:pt>
                <c:pt idx="1">
                  <c:v>847.83425599999998</c:v>
                </c:pt>
                <c:pt idx="2">
                  <c:v>799.99852399999997</c:v>
                </c:pt>
                <c:pt idx="3">
                  <c:v>768.80589848</c:v>
                </c:pt>
                <c:pt idx="4">
                  <c:v>739.17521599999998</c:v>
                </c:pt>
                <c:pt idx="5">
                  <c:v>739.17521599999998</c:v>
                </c:pt>
                <c:pt idx="6">
                  <c:v>710.93821447999994</c:v>
                </c:pt>
                <c:pt idx="7">
                  <c:v>701.14453447999995</c:v>
                </c:pt>
                <c:pt idx="8">
                  <c:v>701.14453447999995</c:v>
                </c:pt>
                <c:pt idx="9">
                  <c:v>701.14453447999995</c:v>
                </c:pt>
                <c:pt idx="10">
                  <c:v>701.14453447999995</c:v>
                </c:pt>
                <c:pt idx="11">
                  <c:v>701.14453447999995</c:v>
                </c:pt>
                <c:pt idx="12">
                  <c:v>701.14453447999995</c:v>
                </c:pt>
                <c:pt idx="13">
                  <c:v>688.59146324000005</c:v>
                </c:pt>
                <c:pt idx="14">
                  <c:v>688.59146324000005</c:v>
                </c:pt>
                <c:pt idx="15">
                  <c:v>688.59146324000005</c:v>
                </c:pt>
                <c:pt idx="16">
                  <c:v>688.59146324000005</c:v>
                </c:pt>
                <c:pt idx="17">
                  <c:v>688.59146324000005</c:v>
                </c:pt>
                <c:pt idx="18">
                  <c:v>688.59146324000005</c:v>
                </c:pt>
                <c:pt idx="19">
                  <c:v>688.59146324000005</c:v>
                </c:pt>
                <c:pt idx="20">
                  <c:v>688.59146324000005</c:v>
                </c:pt>
                <c:pt idx="21">
                  <c:v>688.59146324000005</c:v>
                </c:pt>
                <c:pt idx="22">
                  <c:v>688.59146324000005</c:v>
                </c:pt>
                <c:pt idx="23">
                  <c:v>688.59146324000005</c:v>
                </c:pt>
                <c:pt idx="24">
                  <c:v>688.59146324000005</c:v>
                </c:pt>
                <c:pt idx="25">
                  <c:v>688.59146324000005</c:v>
                </c:pt>
                <c:pt idx="26">
                  <c:v>688.59146324000005</c:v>
                </c:pt>
                <c:pt idx="27">
                  <c:v>688.59146324000005</c:v>
                </c:pt>
                <c:pt idx="28">
                  <c:v>688.59146324000005</c:v>
                </c:pt>
                <c:pt idx="29">
                  <c:v>688.59146324000005</c:v>
                </c:pt>
                <c:pt idx="30">
                  <c:v>688.59146324000005</c:v>
                </c:pt>
                <c:pt idx="31">
                  <c:v>688.59146324000005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C7-4ACE-B3E3-4818DB1377A3}"/>
            </c:ext>
          </c:extLst>
        </c:ser>
        <c:ser>
          <c:idx val="10"/>
          <c:order val="10"/>
          <c:tx>
            <c:v>Geothermal 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1'!$C$122:$AH$122</c:f>
              <c:numCache>
                <c:formatCode>General</c:formatCode>
                <c:ptCount val="32"/>
                <c:pt idx="0">
                  <c:v>15.949188000000001</c:v>
                </c:pt>
                <c:pt idx="1">
                  <c:v>15.947728</c:v>
                </c:pt>
                <c:pt idx="2">
                  <c:v>15.94656</c:v>
                </c:pt>
                <c:pt idx="3">
                  <c:v>15.917506000000001</c:v>
                </c:pt>
                <c:pt idx="4">
                  <c:v>15.908016</c:v>
                </c:pt>
                <c:pt idx="5">
                  <c:v>15.884656</c:v>
                </c:pt>
                <c:pt idx="6">
                  <c:v>15.881006000000001</c:v>
                </c:pt>
                <c:pt idx="7">
                  <c:v>15.878086</c:v>
                </c:pt>
                <c:pt idx="8">
                  <c:v>15.878086</c:v>
                </c:pt>
                <c:pt idx="9">
                  <c:v>15.878086</c:v>
                </c:pt>
                <c:pt idx="10">
                  <c:v>15.768586000000001</c:v>
                </c:pt>
                <c:pt idx="11">
                  <c:v>15.768586000000001</c:v>
                </c:pt>
                <c:pt idx="12">
                  <c:v>15.768586000000001</c:v>
                </c:pt>
                <c:pt idx="13">
                  <c:v>15.768586000000001</c:v>
                </c:pt>
                <c:pt idx="14">
                  <c:v>15.768586000000001</c:v>
                </c:pt>
                <c:pt idx="15">
                  <c:v>15.768586000000001</c:v>
                </c:pt>
                <c:pt idx="16">
                  <c:v>15.768586000000001</c:v>
                </c:pt>
                <c:pt idx="17">
                  <c:v>15.768586000000001</c:v>
                </c:pt>
                <c:pt idx="18">
                  <c:v>15.768586000000001</c:v>
                </c:pt>
                <c:pt idx="19">
                  <c:v>15.768586000000001</c:v>
                </c:pt>
                <c:pt idx="20">
                  <c:v>15.768586000000001</c:v>
                </c:pt>
                <c:pt idx="21">
                  <c:v>15.768586000000001</c:v>
                </c:pt>
                <c:pt idx="22">
                  <c:v>15.768586000000001</c:v>
                </c:pt>
                <c:pt idx="23">
                  <c:v>15.768586000000001</c:v>
                </c:pt>
                <c:pt idx="24">
                  <c:v>15.768586000000001</c:v>
                </c:pt>
                <c:pt idx="25">
                  <c:v>15.768586000000001</c:v>
                </c:pt>
                <c:pt idx="26">
                  <c:v>15.768586000000001</c:v>
                </c:pt>
                <c:pt idx="27">
                  <c:v>15.768586000000001</c:v>
                </c:pt>
                <c:pt idx="28">
                  <c:v>15.705806000000001</c:v>
                </c:pt>
                <c:pt idx="29">
                  <c:v>15.705806000000001</c:v>
                </c:pt>
                <c:pt idx="30">
                  <c:v>15.705806000000001</c:v>
                </c:pt>
                <c:pt idx="31">
                  <c:v>15.705806000000001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C7-4ACE-B3E3-4818DB1377A3}"/>
            </c:ext>
          </c:extLst>
        </c:ser>
        <c:ser>
          <c:idx val="11"/>
          <c:order val="11"/>
          <c:tx>
            <c:v>Biomass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1'!$C$123:$AH$123</c:f>
              <c:numCache>
                <c:formatCode>General</c:formatCode>
                <c:ptCount val="32"/>
                <c:pt idx="0">
                  <c:v>96.683188000000001</c:v>
                </c:pt>
                <c:pt idx="1">
                  <c:v>96.681727999999993</c:v>
                </c:pt>
                <c:pt idx="2">
                  <c:v>96.680559999999986</c:v>
                </c:pt>
                <c:pt idx="3">
                  <c:v>96.651505999999983</c:v>
                </c:pt>
                <c:pt idx="4">
                  <c:v>96.642015999999984</c:v>
                </c:pt>
                <c:pt idx="5">
                  <c:v>96.618655999999987</c:v>
                </c:pt>
                <c:pt idx="6">
                  <c:v>96.615005999999994</c:v>
                </c:pt>
                <c:pt idx="7">
                  <c:v>96.612085999999991</c:v>
                </c:pt>
                <c:pt idx="8">
                  <c:v>96.612085999999991</c:v>
                </c:pt>
                <c:pt idx="9">
                  <c:v>96.612085999999991</c:v>
                </c:pt>
                <c:pt idx="10">
                  <c:v>96.502585999999994</c:v>
                </c:pt>
                <c:pt idx="11">
                  <c:v>96.502585999999994</c:v>
                </c:pt>
                <c:pt idx="12">
                  <c:v>96.502585999999994</c:v>
                </c:pt>
                <c:pt idx="13">
                  <c:v>96.502585999999994</c:v>
                </c:pt>
                <c:pt idx="14">
                  <c:v>96.502585999999994</c:v>
                </c:pt>
                <c:pt idx="15">
                  <c:v>96.502585999999994</c:v>
                </c:pt>
                <c:pt idx="16">
                  <c:v>96.502585999999994</c:v>
                </c:pt>
                <c:pt idx="17">
                  <c:v>96.502585999999994</c:v>
                </c:pt>
                <c:pt idx="18">
                  <c:v>96.502585999999994</c:v>
                </c:pt>
                <c:pt idx="19">
                  <c:v>96.502585999999994</c:v>
                </c:pt>
                <c:pt idx="20">
                  <c:v>96.502585999999994</c:v>
                </c:pt>
                <c:pt idx="21">
                  <c:v>96.502585999999994</c:v>
                </c:pt>
                <c:pt idx="22">
                  <c:v>96.502585999999994</c:v>
                </c:pt>
                <c:pt idx="23">
                  <c:v>96.502585999999994</c:v>
                </c:pt>
                <c:pt idx="24">
                  <c:v>96.502585999999994</c:v>
                </c:pt>
                <c:pt idx="25">
                  <c:v>96.502585999999994</c:v>
                </c:pt>
                <c:pt idx="26">
                  <c:v>96.502585999999994</c:v>
                </c:pt>
                <c:pt idx="27">
                  <c:v>96.502585999999994</c:v>
                </c:pt>
                <c:pt idx="28">
                  <c:v>96.43980599999999</c:v>
                </c:pt>
                <c:pt idx="29">
                  <c:v>96.43980599999999</c:v>
                </c:pt>
                <c:pt idx="30">
                  <c:v>96.43980599999999</c:v>
                </c:pt>
                <c:pt idx="31">
                  <c:v>96.43980599999999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4C7-4ACE-B3E3-4818DB1377A3}"/>
            </c:ext>
          </c:extLst>
        </c:ser>
        <c:ser>
          <c:idx val="12"/>
          <c:order val="12"/>
          <c:tx>
            <c:v>Hydro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1'!$C$124:$AH$124</c:f>
              <c:numCache>
                <c:formatCode>General</c:formatCode>
                <c:ptCount val="32"/>
                <c:pt idx="0">
                  <c:v>352.40618799999999</c:v>
                </c:pt>
                <c:pt idx="1">
                  <c:v>352.40472799999998</c:v>
                </c:pt>
                <c:pt idx="2">
                  <c:v>352.40355999999997</c:v>
                </c:pt>
                <c:pt idx="3">
                  <c:v>352.374506</c:v>
                </c:pt>
                <c:pt idx="4">
                  <c:v>352.36501599999997</c:v>
                </c:pt>
                <c:pt idx="5">
                  <c:v>352.341656</c:v>
                </c:pt>
                <c:pt idx="6">
                  <c:v>352.33800599999995</c:v>
                </c:pt>
                <c:pt idx="7">
                  <c:v>352.33508599999999</c:v>
                </c:pt>
                <c:pt idx="8">
                  <c:v>352.33508599999999</c:v>
                </c:pt>
                <c:pt idx="9">
                  <c:v>352.33508599999999</c:v>
                </c:pt>
                <c:pt idx="10">
                  <c:v>352.22558599999996</c:v>
                </c:pt>
                <c:pt idx="11">
                  <c:v>352.22558599999996</c:v>
                </c:pt>
                <c:pt idx="12">
                  <c:v>352.22558599999996</c:v>
                </c:pt>
                <c:pt idx="13">
                  <c:v>352.22558599999996</c:v>
                </c:pt>
                <c:pt idx="14">
                  <c:v>352.22558599999996</c:v>
                </c:pt>
                <c:pt idx="15">
                  <c:v>352.22558599999996</c:v>
                </c:pt>
                <c:pt idx="16">
                  <c:v>352.22558599999996</c:v>
                </c:pt>
                <c:pt idx="17">
                  <c:v>352.22558599999996</c:v>
                </c:pt>
                <c:pt idx="18">
                  <c:v>352.22558599999996</c:v>
                </c:pt>
                <c:pt idx="19">
                  <c:v>352.22558599999996</c:v>
                </c:pt>
                <c:pt idx="20">
                  <c:v>352.22558599999996</c:v>
                </c:pt>
                <c:pt idx="21">
                  <c:v>352.22558599999996</c:v>
                </c:pt>
                <c:pt idx="22">
                  <c:v>352.22558599999996</c:v>
                </c:pt>
                <c:pt idx="23">
                  <c:v>352.22558599999996</c:v>
                </c:pt>
                <c:pt idx="24">
                  <c:v>352.22558599999996</c:v>
                </c:pt>
                <c:pt idx="25">
                  <c:v>352.22558599999996</c:v>
                </c:pt>
                <c:pt idx="26">
                  <c:v>352.22558599999996</c:v>
                </c:pt>
                <c:pt idx="27">
                  <c:v>352.22558599999996</c:v>
                </c:pt>
                <c:pt idx="28">
                  <c:v>352.16280599999999</c:v>
                </c:pt>
                <c:pt idx="29">
                  <c:v>352.16280599999999</c:v>
                </c:pt>
                <c:pt idx="30">
                  <c:v>352.16280599999999</c:v>
                </c:pt>
                <c:pt idx="31">
                  <c:v>352.16280599999999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4C7-4ACE-B3E3-4818DB1377A3}"/>
            </c:ext>
          </c:extLst>
        </c:ser>
        <c:ser>
          <c:idx val="13"/>
          <c:order val="13"/>
          <c:tx>
            <c:v>Others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'Scenario 1'!$C$111:$AH$111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1'!$C$125:$AH$125</c:f>
              <c:numCache>
                <c:formatCode>General</c:formatCode>
                <c:ptCount val="32"/>
                <c:pt idx="0">
                  <c:v>47.147851080000692</c:v>
                </c:pt>
                <c:pt idx="1">
                  <c:v>47.13823260000072</c:v>
                </c:pt>
                <c:pt idx="2">
                  <c:v>47.138337719999981</c:v>
                </c:pt>
                <c:pt idx="3">
                  <c:v>47.138486639999883</c:v>
                </c:pt>
                <c:pt idx="4">
                  <c:v>47.138215080000464</c:v>
                </c:pt>
                <c:pt idx="5">
                  <c:v>47.129455080000298</c:v>
                </c:pt>
                <c:pt idx="6">
                  <c:v>47.129481360000227</c:v>
                </c:pt>
                <c:pt idx="7">
                  <c:v>47.129472600000099</c:v>
                </c:pt>
                <c:pt idx="8">
                  <c:v>47.129674080000314</c:v>
                </c:pt>
                <c:pt idx="9">
                  <c:v>47.129525159999957</c:v>
                </c:pt>
                <c:pt idx="10">
                  <c:v>47.129516400000284</c:v>
                </c:pt>
                <c:pt idx="11">
                  <c:v>47.129455080000753</c:v>
                </c:pt>
                <c:pt idx="12">
                  <c:v>47.129481360000227</c:v>
                </c:pt>
                <c:pt idx="13">
                  <c:v>47.129726639999717</c:v>
                </c:pt>
                <c:pt idx="14">
                  <c:v>47.12977920000003</c:v>
                </c:pt>
                <c:pt idx="15">
                  <c:v>47.129516400000284</c:v>
                </c:pt>
                <c:pt idx="16">
                  <c:v>47.129507639999701</c:v>
                </c:pt>
                <c:pt idx="17">
                  <c:v>47.129752920000101</c:v>
                </c:pt>
                <c:pt idx="18">
                  <c:v>47.129691600000115</c:v>
                </c:pt>
                <c:pt idx="19">
                  <c:v>47.129770439999902</c:v>
                </c:pt>
                <c:pt idx="20">
                  <c:v>47.129752920000101</c:v>
                </c:pt>
                <c:pt idx="21">
                  <c:v>47.129735399999845</c:v>
                </c:pt>
                <c:pt idx="22">
                  <c:v>47.129840520000016</c:v>
                </c:pt>
                <c:pt idx="23">
                  <c:v>47.12995439999986</c:v>
                </c:pt>
                <c:pt idx="24">
                  <c:v>47.130024479999975</c:v>
                </c:pt>
                <c:pt idx="25">
                  <c:v>47.130024479999975</c:v>
                </c:pt>
                <c:pt idx="26">
                  <c:v>47.129875560000073</c:v>
                </c:pt>
                <c:pt idx="27">
                  <c:v>47.129884320000201</c:v>
                </c:pt>
                <c:pt idx="28">
                  <c:v>47.12982299999976</c:v>
                </c:pt>
                <c:pt idx="29">
                  <c:v>47.12982299999976</c:v>
                </c:pt>
                <c:pt idx="30">
                  <c:v>47.12982299999976</c:v>
                </c:pt>
                <c:pt idx="31">
                  <c:v>47.129787959999703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4C7-4ACE-B3E3-4818DB137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15616"/>
        <c:axId val="810215944"/>
        <c:extLst>
          <c:ext xmlns:c15="http://schemas.microsoft.com/office/drawing/2012/chart" uri="{02D57815-91ED-43cb-92C2-25804820EDAC}">
            <c15:filteredAreaSeries>
              <c15:ser>
                <c:idx val="4"/>
                <c:order val="4"/>
                <c:tx>
                  <c:v>Gas CCS</c:v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'Scenario 1'!$C$111:$AH$111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  <c:pt idx="5">
                        <c:v>2024</c:v>
                      </c:pt>
                      <c:pt idx="6">
                        <c:v>2025</c:v>
                      </c:pt>
                      <c:pt idx="7">
                        <c:v>2026</c:v>
                      </c:pt>
                      <c:pt idx="8">
                        <c:v>2027</c:v>
                      </c:pt>
                      <c:pt idx="9">
                        <c:v>2028</c:v>
                      </c:pt>
                      <c:pt idx="10">
                        <c:v>2029</c:v>
                      </c:pt>
                      <c:pt idx="11">
                        <c:v>2030</c:v>
                      </c:pt>
                      <c:pt idx="12">
                        <c:v>2031</c:v>
                      </c:pt>
                      <c:pt idx="13">
                        <c:v>2032</c:v>
                      </c:pt>
                      <c:pt idx="14">
                        <c:v>2033</c:v>
                      </c:pt>
                      <c:pt idx="15">
                        <c:v>2034</c:v>
                      </c:pt>
                      <c:pt idx="16">
                        <c:v>2035</c:v>
                      </c:pt>
                      <c:pt idx="17">
                        <c:v>2036</c:v>
                      </c:pt>
                      <c:pt idx="18">
                        <c:v>2037</c:v>
                      </c:pt>
                      <c:pt idx="19">
                        <c:v>2038</c:v>
                      </c:pt>
                      <c:pt idx="20">
                        <c:v>2039</c:v>
                      </c:pt>
                      <c:pt idx="21">
                        <c:v>2040</c:v>
                      </c:pt>
                      <c:pt idx="22">
                        <c:v>2041</c:v>
                      </c:pt>
                      <c:pt idx="23">
                        <c:v>2042</c:v>
                      </c:pt>
                      <c:pt idx="24">
                        <c:v>2043</c:v>
                      </c:pt>
                      <c:pt idx="25">
                        <c:v>2044</c:v>
                      </c:pt>
                      <c:pt idx="26">
                        <c:v>2045</c:v>
                      </c:pt>
                      <c:pt idx="27">
                        <c:v>2046</c:v>
                      </c:pt>
                      <c:pt idx="28">
                        <c:v>2047</c:v>
                      </c:pt>
                      <c:pt idx="29">
                        <c:v>2048</c:v>
                      </c:pt>
                      <c:pt idx="30">
                        <c:v>2049</c:v>
                      </c:pt>
                      <c:pt idx="31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'Scenario 1'!$C$116:$AH$116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212.20500000000001</c:v>
                      </c:pt>
                      <c:pt idx="1">
                        <c:v>303.41914200000031</c:v>
                      </c:pt>
                      <c:pt idx="2">
                        <c:v>515.62414200000035</c:v>
                      </c:pt>
                      <c:pt idx="3">
                        <c:v>689.16571788000078</c:v>
                      </c:pt>
                      <c:pt idx="4">
                        <c:v>893.09710860000018</c:v>
                      </c:pt>
                      <c:pt idx="5">
                        <c:v>1009.0358486000006</c:v>
                      </c:pt>
                      <c:pt idx="6">
                        <c:v>1085.2750748800011</c:v>
                      </c:pt>
                      <c:pt idx="7">
                        <c:v>1115.1395528400005</c:v>
                      </c:pt>
                      <c:pt idx="8">
                        <c:v>1115.1395528400005</c:v>
                      </c:pt>
                      <c:pt idx="9">
                        <c:v>1115.1395528400005</c:v>
                      </c:pt>
                      <c:pt idx="10">
                        <c:v>1115.1395528400005</c:v>
                      </c:pt>
                      <c:pt idx="11">
                        <c:v>1115.1395528400005</c:v>
                      </c:pt>
                      <c:pt idx="12">
                        <c:v>1115.1395528400005</c:v>
                      </c:pt>
                      <c:pt idx="13">
                        <c:v>1115.1395528400005</c:v>
                      </c:pt>
                      <c:pt idx="14">
                        <c:v>1115.1395528400005</c:v>
                      </c:pt>
                      <c:pt idx="15">
                        <c:v>1115.1395528400005</c:v>
                      </c:pt>
                      <c:pt idx="16">
                        <c:v>1115.1395528400005</c:v>
                      </c:pt>
                      <c:pt idx="17">
                        <c:v>1115.1395528400005</c:v>
                      </c:pt>
                      <c:pt idx="18">
                        <c:v>1115.1395528400005</c:v>
                      </c:pt>
                      <c:pt idx="19">
                        <c:v>1115.1395528400005</c:v>
                      </c:pt>
                      <c:pt idx="20">
                        <c:v>1115.1395528400005</c:v>
                      </c:pt>
                      <c:pt idx="21">
                        <c:v>1115.1395528400005</c:v>
                      </c:pt>
                      <c:pt idx="22">
                        <c:v>1115.1395528400005</c:v>
                      </c:pt>
                      <c:pt idx="23">
                        <c:v>1115.1395528400005</c:v>
                      </c:pt>
                      <c:pt idx="24">
                        <c:v>1115.1395528400005</c:v>
                      </c:pt>
                      <c:pt idx="25">
                        <c:v>1115.1395528400005</c:v>
                      </c:pt>
                      <c:pt idx="26">
                        <c:v>1115.1395528400005</c:v>
                      </c:pt>
                      <c:pt idx="27">
                        <c:v>1115.1395528400005</c:v>
                      </c:pt>
                      <c:pt idx="28">
                        <c:v>1115.1395528400005</c:v>
                      </c:pt>
                      <c:pt idx="29">
                        <c:v>1115.1395528400005</c:v>
                      </c:pt>
                      <c:pt idx="30">
                        <c:v>1115.1395528400005</c:v>
                      </c:pt>
                      <c:pt idx="31">
                        <c:v>1115.1395528400005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84C7-4ACE-B3E3-4818DB1377A3}"/>
                  </c:ext>
                </c:extLst>
              </c15:ser>
            </c15:filteredAreaSeries>
          </c:ext>
        </c:extLst>
      </c:areaChart>
      <c:catAx>
        <c:axId val="81021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5944"/>
        <c:crosses val="autoZero"/>
        <c:auto val="1"/>
        <c:lblAlgn val="ctr"/>
        <c:lblOffset val="100"/>
        <c:noMultiLvlLbl val="1"/>
      </c:catAx>
      <c:valAx>
        <c:axId val="81021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v>Coal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1'!$C$150:$AH$150</c:f>
              <c:numCache>
                <c:formatCode>General</c:formatCode>
                <c:ptCount val="32"/>
                <c:pt idx="0">
                  <c:v>1086.8469095199998</c:v>
                </c:pt>
                <c:pt idx="1">
                  <c:v>1064.5649559999997</c:v>
                </c:pt>
                <c:pt idx="2">
                  <c:v>993.27435903999992</c:v>
                </c:pt>
                <c:pt idx="3">
                  <c:v>920.65656075999982</c:v>
                </c:pt>
                <c:pt idx="4">
                  <c:v>814.67102895999983</c:v>
                </c:pt>
                <c:pt idx="5">
                  <c:v>707.23311543999989</c:v>
                </c:pt>
                <c:pt idx="6">
                  <c:v>614.50424055999997</c:v>
                </c:pt>
                <c:pt idx="7">
                  <c:v>568.07186932000002</c:v>
                </c:pt>
                <c:pt idx="8">
                  <c:v>536.05742439999972</c:v>
                </c:pt>
                <c:pt idx="9">
                  <c:v>517.83319924000011</c:v>
                </c:pt>
                <c:pt idx="10">
                  <c:v>513.05026552000004</c:v>
                </c:pt>
                <c:pt idx="11">
                  <c:v>487.54111924</c:v>
                </c:pt>
                <c:pt idx="12">
                  <c:v>464.3796354399999</c:v>
                </c:pt>
                <c:pt idx="13">
                  <c:v>422.02491279999987</c:v>
                </c:pt>
                <c:pt idx="14">
                  <c:v>422.02491279999987</c:v>
                </c:pt>
                <c:pt idx="15">
                  <c:v>396.61127679999987</c:v>
                </c:pt>
                <c:pt idx="16">
                  <c:v>396.61127679999987</c:v>
                </c:pt>
                <c:pt idx="17">
                  <c:v>396.61127679999987</c:v>
                </c:pt>
                <c:pt idx="18">
                  <c:v>386.41375203999968</c:v>
                </c:pt>
                <c:pt idx="19">
                  <c:v>386.41375203999968</c:v>
                </c:pt>
                <c:pt idx="20">
                  <c:v>386.41375203999968</c:v>
                </c:pt>
                <c:pt idx="21">
                  <c:v>386.41375203999968</c:v>
                </c:pt>
                <c:pt idx="22">
                  <c:v>375.75287583999983</c:v>
                </c:pt>
                <c:pt idx="23">
                  <c:v>375.75287583999983</c:v>
                </c:pt>
                <c:pt idx="24">
                  <c:v>370.81220955999987</c:v>
                </c:pt>
                <c:pt idx="25">
                  <c:v>370.81220955999987</c:v>
                </c:pt>
                <c:pt idx="26">
                  <c:v>370.81220955999987</c:v>
                </c:pt>
                <c:pt idx="27">
                  <c:v>370.81220955999987</c:v>
                </c:pt>
                <c:pt idx="28">
                  <c:v>370.81220955999987</c:v>
                </c:pt>
                <c:pt idx="29">
                  <c:v>370.81220955999987</c:v>
                </c:pt>
                <c:pt idx="30">
                  <c:v>370.81220955999987</c:v>
                </c:pt>
                <c:pt idx="31">
                  <c:v>370.81220955999987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3-492E-BD82-C61FCB2BBAF7}"/>
            </c:ext>
          </c:extLst>
        </c:ser>
        <c:ser>
          <c:idx val="1"/>
          <c:order val="1"/>
          <c:tx>
            <c:v>Coal CCS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1'!$C$151:$AH$151</c:f>
              <c:numCache>
                <c:formatCode>General</c:formatCode>
                <c:ptCount val="32"/>
                <c:pt idx="0">
                  <c:v>14.112301077025515</c:v>
                </c:pt>
                <c:pt idx="1">
                  <c:v>14.112301077025515</c:v>
                </c:pt>
                <c:pt idx="2">
                  <c:v>14.112301077025515</c:v>
                </c:pt>
                <c:pt idx="3">
                  <c:v>14.112301077025515</c:v>
                </c:pt>
                <c:pt idx="4">
                  <c:v>14.112301077025515</c:v>
                </c:pt>
                <c:pt idx="5">
                  <c:v>14.112301077025515</c:v>
                </c:pt>
                <c:pt idx="6">
                  <c:v>14.112301077025515</c:v>
                </c:pt>
                <c:pt idx="7">
                  <c:v>14.112301077025515</c:v>
                </c:pt>
                <c:pt idx="8">
                  <c:v>14.112301077025515</c:v>
                </c:pt>
                <c:pt idx="9">
                  <c:v>14.112301077025515</c:v>
                </c:pt>
                <c:pt idx="10">
                  <c:v>14.112301077025515</c:v>
                </c:pt>
                <c:pt idx="11">
                  <c:v>14.112301077025515</c:v>
                </c:pt>
                <c:pt idx="12">
                  <c:v>14.112301077025515</c:v>
                </c:pt>
                <c:pt idx="13">
                  <c:v>14.112301077025515</c:v>
                </c:pt>
                <c:pt idx="14">
                  <c:v>14.112301077025515</c:v>
                </c:pt>
                <c:pt idx="15">
                  <c:v>14.112301077025515</c:v>
                </c:pt>
                <c:pt idx="16">
                  <c:v>14.112301077025515</c:v>
                </c:pt>
                <c:pt idx="17">
                  <c:v>14.112301077025515</c:v>
                </c:pt>
                <c:pt idx="18">
                  <c:v>14.112301077025515</c:v>
                </c:pt>
                <c:pt idx="19">
                  <c:v>14.112301077025515</c:v>
                </c:pt>
                <c:pt idx="20">
                  <c:v>14.112301077025515</c:v>
                </c:pt>
                <c:pt idx="21">
                  <c:v>14.112301077025515</c:v>
                </c:pt>
                <c:pt idx="22">
                  <c:v>14.112301077025515</c:v>
                </c:pt>
                <c:pt idx="23">
                  <c:v>14.112301077025515</c:v>
                </c:pt>
                <c:pt idx="24">
                  <c:v>14.112301077025515</c:v>
                </c:pt>
                <c:pt idx="25">
                  <c:v>14.112301077025515</c:v>
                </c:pt>
                <c:pt idx="26">
                  <c:v>14.112301077025515</c:v>
                </c:pt>
                <c:pt idx="27">
                  <c:v>14.112301077025515</c:v>
                </c:pt>
                <c:pt idx="28">
                  <c:v>14.112301077025515</c:v>
                </c:pt>
                <c:pt idx="29">
                  <c:v>14.112301077025515</c:v>
                </c:pt>
                <c:pt idx="30">
                  <c:v>14.112301077025515</c:v>
                </c:pt>
                <c:pt idx="31">
                  <c:v>14.112301077025515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3-492E-BD82-C61FCB2BBAF7}"/>
            </c:ext>
          </c:extLst>
        </c:ser>
        <c:ser>
          <c:idx val="2"/>
          <c:order val="2"/>
          <c:tx>
            <c:v>Gas CT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1'!$C$152:$AH$152</c:f>
              <c:numCache>
                <c:formatCode>General</c:formatCode>
                <c:ptCount val="32"/>
                <c:pt idx="0">
                  <c:v>472.12309475199999</c:v>
                </c:pt>
                <c:pt idx="1">
                  <c:v>467.35940149599998</c:v>
                </c:pt>
                <c:pt idx="2">
                  <c:v>440.27708425624007</c:v>
                </c:pt>
                <c:pt idx="3">
                  <c:v>433.72511408824005</c:v>
                </c:pt>
                <c:pt idx="4">
                  <c:v>422.92405576048009</c:v>
                </c:pt>
                <c:pt idx="5">
                  <c:v>412.57020944871999</c:v>
                </c:pt>
                <c:pt idx="6">
                  <c:v>407.00776297648002</c:v>
                </c:pt>
                <c:pt idx="7">
                  <c:v>391.40618636751998</c:v>
                </c:pt>
                <c:pt idx="8">
                  <c:v>388.97878465600007</c:v>
                </c:pt>
                <c:pt idx="9">
                  <c:v>383.40862192024002</c:v>
                </c:pt>
                <c:pt idx="10">
                  <c:v>373.86381241648007</c:v>
                </c:pt>
                <c:pt idx="11">
                  <c:v>373.69932064048004</c:v>
                </c:pt>
                <c:pt idx="12">
                  <c:v>371.91503322520009</c:v>
                </c:pt>
                <c:pt idx="13">
                  <c:v>371.91503322520009</c:v>
                </c:pt>
                <c:pt idx="14">
                  <c:v>371.24394104824006</c:v>
                </c:pt>
                <c:pt idx="15">
                  <c:v>371.01548595976004</c:v>
                </c:pt>
                <c:pt idx="16">
                  <c:v>370.73276857552008</c:v>
                </c:pt>
                <c:pt idx="17">
                  <c:v>369.48365058424008</c:v>
                </c:pt>
                <c:pt idx="18">
                  <c:v>369.48365058424008</c:v>
                </c:pt>
                <c:pt idx="19">
                  <c:v>367.16477060848007</c:v>
                </c:pt>
                <c:pt idx="20">
                  <c:v>367.16477060848007</c:v>
                </c:pt>
                <c:pt idx="21">
                  <c:v>366.57477059247998</c:v>
                </c:pt>
                <c:pt idx="22">
                  <c:v>358.76140552096007</c:v>
                </c:pt>
                <c:pt idx="23">
                  <c:v>357.44490872824002</c:v>
                </c:pt>
                <c:pt idx="24">
                  <c:v>356.85090493672004</c:v>
                </c:pt>
                <c:pt idx="25">
                  <c:v>356.85090493672004</c:v>
                </c:pt>
                <c:pt idx="26">
                  <c:v>355.97532892072002</c:v>
                </c:pt>
                <c:pt idx="27">
                  <c:v>355.32135988072008</c:v>
                </c:pt>
                <c:pt idx="28">
                  <c:v>355.32135988072008</c:v>
                </c:pt>
                <c:pt idx="29">
                  <c:v>355.32135988072008</c:v>
                </c:pt>
                <c:pt idx="30">
                  <c:v>355.32135988072008</c:v>
                </c:pt>
                <c:pt idx="31">
                  <c:v>355.32135988072008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C3-492E-BD82-C61FCB2BBAF7}"/>
            </c:ext>
          </c:extLst>
        </c:ser>
        <c:ser>
          <c:idx val="3"/>
          <c:order val="3"/>
          <c:tx>
            <c:v>Gas CC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1'!$C$153:$AH$153</c:f>
              <c:numCache>
                <c:formatCode>General</c:formatCode>
                <c:ptCount val="32"/>
                <c:pt idx="0">
                  <c:v>413.67399066000007</c:v>
                </c:pt>
                <c:pt idx="1">
                  <c:v>450.95782410000021</c:v>
                </c:pt>
                <c:pt idx="2">
                  <c:v>527.57825055642024</c:v>
                </c:pt>
                <c:pt idx="3">
                  <c:v>593.93085207750039</c:v>
                </c:pt>
                <c:pt idx="4">
                  <c:v>676.72417188852012</c:v>
                </c:pt>
                <c:pt idx="5">
                  <c:v>719.04643592922025</c:v>
                </c:pt>
                <c:pt idx="6">
                  <c:v>747.21895333344048</c:v>
                </c:pt>
                <c:pt idx="7">
                  <c:v>752.96767916412023</c:v>
                </c:pt>
                <c:pt idx="8">
                  <c:v>750.39093985464024</c:v>
                </c:pt>
                <c:pt idx="9">
                  <c:v>748.82616882822026</c:v>
                </c:pt>
                <c:pt idx="10">
                  <c:v>745.6519976194802</c:v>
                </c:pt>
                <c:pt idx="11">
                  <c:v>744.77892345948021</c:v>
                </c:pt>
                <c:pt idx="12">
                  <c:v>743.5206903159002</c:v>
                </c:pt>
                <c:pt idx="13">
                  <c:v>741.55047871590023</c:v>
                </c:pt>
                <c:pt idx="14">
                  <c:v>741.07724934222028</c:v>
                </c:pt>
                <c:pt idx="15">
                  <c:v>739.49722076538023</c:v>
                </c:pt>
                <c:pt idx="16">
                  <c:v>734.4051915009602</c:v>
                </c:pt>
                <c:pt idx="17">
                  <c:v>733.05771936138024</c:v>
                </c:pt>
                <c:pt idx="18">
                  <c:v>733.05771936138024</c:v>
                </c:pt>
                <c:pt idx="19">
                  <c:v>728.2658499026403</c:v>
                </c:pt>
                <c:pt idx="20">
                  <c:v>727.31551254264025</c:v>
                </c:pt>
                <c:pt idx="21">
                  <c:v>727.31551254264025</c:v>
                </c:pt>
                <c:pt idx="22">
                  <c:v>726.88670178264022</c:v>
                </c:pt>
                <c:pt idx="23">
                  <c:v>724.18056013422029</c:v>
                </c:pt>
                <c:pt idx="24">
                  <c:v>717.50501965422029</c:v>
                </c:pt>
                <c:pt idx="25">
                  <c:v>717.50501965422029</c:v>
                </c:pt>
                <c:pt idx="26">
                  <c:v>716.04087815106027</c:v>
                </c:pt>
                <c:pt idx="27">
                  <c:v>714.25995752790027</c:v>
                </c:pt>
                <c:pt idx="28">
                  <c:v>711.6140831070602</c:v>
                </c:pt>
                <c:pt idx="29">
                  <c:v>711.6140831070602</c:v>
                </c:pt>
                <c:pt idx="30">
                  <c:v>711.6140831070602</c:v>
                </c:pt>
                <c:pt idx="31">
                  <c:v>711.60172099506042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C3-492E-BD82-C61FCB2BBAF7}"/>
            </c:ext>
          </c:extLst>
        </c:ser>
        <c:ser>
          <c:idx val="5"/>
          <c:order val="5"/>
          <c:tx>
            <c:v>Solar PV</c:v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1'!$C$155:$AH$155</c:f>
              <c:numCache>
                <c:formatCode>General</c:formatCode>
                <c:ptCount val="32"/>
                <c:pt idx="0">
                  <c:v>3.4746384600000004</c:v>
                </c:pt>
                <c:pt idx="1">
                  <c:v>3.47457276</c:v>
                </c:pt>
                <c:pt idx="2">
                  <c:v>4.4981010000000001</c:v>
                </c:pt>
                <c:pt idx="3">
                  <c:v>4.4967935700000004</c:v>
                </c:pt>
                <c:pt idx="4">
                  <c:v>4.4963665199999996</c:v>
                </c:pt>
                <c:pt idx="5">
                  <c:v>7.2896909040000004</c:v>
                </c:pt>
                <c:pt idx="6">
                  <c:v>11.7605275884</c:v>
                </c:pt>
                <c:pt idx="7">
                  <c:v>16.260396188400001</c:v>
                </c:pt>
                <c:pt idx="8">
                  <c:v>19.572713639999982</c:v>
                </c:pt>
                <c:pt idx="9">
                  <c:v>22.341526788599996</c:v>
                </c:pt>
                <c:pt idx="10">
                  <c:v>24.932955738599997</c:v>
                </c:pt>
                <c:pt idx="11">
                  <c:v>27.515491905600005</c:v>
                </c:pt>
                <c:pt idx="12">
                  <c:v>30.109639082400026</c:v>
                </c:pt>
                <c:pt idx="13">
                  <c:v>34.048947569400028</c:v>
                </c:pt>
                <c:pt idx="14">
                  <c:v>35.378854322400009</c:v>
                </c:pt>
                <c:pt idx="15">
                  <c:v>37.903664249999991</c:v>
                </c:pt>
                <c:pt idx="16">
                  <c:v>39.61655145000001</c:v>
                </c:pt>
                <c:pt idx="17">
                  <c:v>40.984541695800004</c:v>
                </c:pt>
                <c:pt idx="18">
                  <c:v>42.558918944400006</c:v>
                </c:pt>
                <c:pt idx="19">
                  <c:v>44.295463665000014</c:v>
                </c:pt>
                <c:pt idx="20">
                  <c:v>45.452816078400012</c:v>
                </c:pt>
                <c:pt idx="21">
                  <c:v>46.527417136800025</c:v>
                </c:pt>
                <c:pt idx="22">
                  <c:v>48.598367349600011</c:v>
                </c:pt>
                <c:pt idx="23">
                  <c:v>49.948506201600026</c:v>
                </c:pt>
                <c:pt idx="24">
                  <c:v>51.851806624799998</c:v>
                </c:pt>
                <c:pt idx="25">
                  <c:v>52.786918954799987</c:v>
                </c:pt>
                <c:pt idx="26">
                  <c:v>53.908909565400016</c:v>
                </c:pt>
                <c:pt idx="27">
                  <c:v>55.025510450399992</c:v>
                </c:pt>
                <c:pt idx="28">
                  <c:v>56.177611725600002</c:v>
                </c:pt>
                <c:pt idx="29">
                  <c:v>57.024459885599995</c:v>
                </c:pt>
                <c:pt idx="30">
                  <c:v>57.850719645599995</c:v>
                </c:pt>
                <c:pt idx="31">
                  <c:v>58.658269262400005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C3-492E-BD82-C61FCB2BBAF7}"/>
            </c:ext>
          </c:extLst>
        </c:ser>
        <c:ser>
          <c:idx val="6"/>
          <c:order val="6"/>
          <c:tx>
            <c:v>Solar CSP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1'!$C$156:$AH$156</c:f>
              <c:numCache>
                <c:formatCode>General</c:formatCode>
                <c:ptCount val="32"/>
                <c:pt idx="0">
                  <c:v>8.3758135999999997E-2</c:v>
                </c:pt>
                <c:pt idx="1">
                  <c:v>8.3726016E-2</c:v>
                </c:pt>
                <c:pt idx="2">
                  <c:v>8.3700320000000009E-2</c:v>
                </c:pt>
                <c:pt idx="3">
                  <c:v>8.3061131999999996E-2</c:v>
                </c:pt>
                <c:pt idx="4">
                  <c:v>8.2852352000000004E-2</c:v>
                </c:pt>
                <c:pt idx="5">
                  <c:v>8.2338432000000003E-2</c:v>
                </c:pt>
                <c:pt idx="6">
                  <c:v>8.2258131999999998E-2</c:v>
                </c:pt>
                <c:pt idx="7">
                  <c:v>8.2193892000000005E-2</c:v>
                </c:pt>
                <c:pt idx="8">
                  <c:v>8.2193892000000005E-2</c:v>
                </c:pt>
                <c:pt idx="9">
                  <c:v>8.2193892000000005E-2</c:v>
                </c:pt>
                <c:pt idx="10">
                  <c:v>7.9784891999999996E-2</c:v>
                </c:pt>
                <c:pt idx="11">
                  <c:v>7.9784891999999996E-2</c:v>
                </c:pt>
                <c:pt idx="12">
                  <c:v>7.9784891999999996E-2</c:v>
                </c:pt>
                <c:pt idx="13">
                  <c:v>7.9784891999999996E-2</c:v>
                </c:pt>
                <c:pt idx="14">
                  <c:v>7.9784891999999996E-2</c:v>
                </c:pt>
                <c:pt idx="15">
                  <c:v>7.9784891999999996E-2</c:v>
                </c:pt>
                <c:pt idx="16">
                  <c:v>7.9784891999999996E-2</c:v>
                </c:pt>
                <c:pt idx="17">
                  <c:v>7.9784891999999996E-2</c:v>
                </c:pt>
                <c:pt idx="18">
                  <c:v>7.9784891999999996E-2</c:v>
                </c:pt>
                <c:pt idx="19">
                  <c:v>7.9784891999999996E-2</c:v>
                </c:pt>
                <c:pt idx="20">
                  <c:v>7.9784891999999996E-2</c:v>
                </c:pt>
                <c:pt idx="21">
                  <c:v>7.9784891999999996E-2</c:v>
                </c:pt>
                <c:pt idx="22">
                  <c:v>7.9784891999999996E-2</c:v>
                </c:pt>
                <c:pt idx="23">
                  <c:v>7.9784891999999996E-2</c:v>
                </c:pt>
                <c:pt idx="24">
                  <c:v>7.9784891999999996E-2</c:v>
                </c:pt>
                <c:pt idx="25">
                  <c:v>7.9784891999999996E-2</c:v>
                </c:pt>
                <c:pt idx="26">
                  <c:v>7.9784891999999996E-2</c:v>
                </c:pt>
                <c:pt idx="27">
                  <c:v>7.9784891999999996E-2</c:v>
                </c:pt>
                <c:pt idx="28">
                  <c:v>7.8403732000000004E-2</c:v>
                </c:pt>
                <c:pt idx="29">
                  <c:v>7.8403732000000004E-2</c:v>
                </c:pt>
                <c:pt idx="30">
                  <c:v>7.8403732000000004E-2</c:v>
                </c:pt>
                <c:pt idx="31">
                  <c:v>7.8403732000000004E-2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C3-492E-BD82-C61FCB2BBAF7}"/>
            </c:ext>
          </c:extLst>
        </c:ser>
        <c:ser>
          <c:idx val="7"/>
          <c:order val="7"/>
          <c:tx>
            <c:v>Wind On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1'!$C$157:$AH$157</c:f>
              <c:numCache>
                <c:formatCode>General</c:formatCode>
                <c:ptCount val="32"/>
                <c:pt idx="0">
                  <c:v>3.397968068</c:v>
                </c:pt>
                <c:pt idx="1">
                  <c:v>3.3979520079999994</c:v>
                </c:pt>
                <c:pt idx="2">
                  <c:v>3.4150320006000001</c:v>
                </c:pt>
                <c:pt idx="3">
                  <c:v>3.4147124066000005</c:v>
                </c:pt>
                <c:pt idx="4">
                  <c:v>3.4146080165999999</c:v>
                </c:pt>
                <c:pt idx="5">
                  <c:v>3.4143510566000006</c:v>
                </c:pt>
                <c:pt idx="6">
                  <c:v>3.4143109065999999</c:v>
                </c:pt>
                <c:pt idx="7">
                  <c:v>3.4142787866000006</c:v>
                </c:pt>
                <c:pt idx="8">
                  <c:v>3.4142787866000006</c:v>
                </c:pt>
                <c:pt idx="9">
                  <c:v>3.4142787866000006</c:v>
                </c:pt>
                <c:pt idx="10">
                  <c:v>3.4130742866000001</c:v>
                </c:pt>
                <c:pt idx="11">
                  <c:v>3.4130742866000001</c:v>
                </c:pt>
                <c:pt idx="12">
                  <c:v>3.4130742866000001</c:v>
                </c:pt>
                <c:pt idx="13">
                  <c:v>3.4130742866000001</c:v>
                </c:pt>
                <c:pt idx="14">
                  <c:v>3.4130742866000001</c:v>
                </c:pt>
                <c:pt idx="15">
                  <c:v>3.4130742866000001</c:v>
                </c:pt>
                <c:pt idx="16">
                  <c:v>3.4130742866000001</c:v>
                </c:pt>
                <c:pt idx="17">
                  <c:v>3.4130742866000001</c:v>
                </c:pt>
                <c:pt idx="18">
                  <c:v>3.4130742866000001</c:v>
                </c:pt>
                <c:pt idx="19">
                  <c:v>3.4130742866000001</c:v>
                </c:pt>
                <c:pt idx="20">
                  <c:v>3.4130742866000001</c:v>
                </c:pt>
                <c:pt idx="21">
                  <c:v>3.4130742866000001</c:v>
                </c:pt>
                <c:pt idx="22">
                  <c:v>3.4130742866000001</c:v>
                </c:pt>
                <c:pt idx="23">
                  <c:v>3.4130742866000001</c:v>
                </c:pt>
                <c:pt idx="24">
                  <c:v>3.4130742866000001</c:v>
                </c:pt>
                <c:pt idx="25">
                  <c:v>3.4130742866000001</c:v>
                </c:pt>
                <c:pt idx="26">
                  <c:v>3.4130742866000001</c:v>
                </c:pt>
                <c:pt idx="27">
                  <c:v>3.4130742866000001</c:v>
                </c:pt>
                <c:pt idx="28">
                  <c:v>3.4123837066000005</c:v>
                </c:pt>
                <c:pt idx="29">
                  <c:v>3.4123837066000005</c:v>
                </c:pt>
                <c:pt idx="30">
                  <c:v>3.4123837066000005</c:v>
                </c:pt>
                <c:pt idx="31">
                  <c:v>3.4123837066000005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C3-492E-BD82-C61FCB2BBAF7}"/>
            </c:ext>
          </c:extLst>
        </c:ser>
        <c:ser>
          <c:idx val="8"/>
          <c:order val="8"/>
          <c:tx>
            <c:v>Wind Off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1'!$C$158:$AH$158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FC3-492E-BD82-C61FCB2BBAF7}"/>
            </c:ext>
          </c:extLst>
        </c:ser>
        <c:ser>
          <c:idx val="9"/>
          <c:order val="9"/>
          <c:tx>
            <c:v>Nuclear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1'!$C$159:$AH$159</c:f>
              <c:numCache>
                <c:formatCode>General</c:formatCode>
                <c:ptCount val="32"/>
                <c:pt idx="0">
                  <c:v>56.18789799999999</c:v>
                </c:pt>
                <c:pt idx="1">
                  <c:v>55.109226639999996</c:v>
                </c:pt>
                <c:pt idx="2">
                  <c:v>51.999904059999992</c:v>
                </c:pt>
                <c:pt idx="3">
                  <c:v>49.972383401199991</c:v>
                </c:pt>
                <c:pt idx="4">
                  <c:v>48.046389039999994</c:v>
                </c:pt>
                <c:pt idx="5">
                  <c:v>48.046389039999994</c:v>
                </c:pt>
                <c:pt idx="6">
                  <c:v>46.210983941199991</c:v>
                </c:pt>
                <c:pt idx="7">
                  <c:v>45.574394741199995</c:v>
                </c:pt>
                <c:pt idx="8">
                  <c:v>45.574394741199995</c:v>
                </c:pt>
                <c:pt idx="9">
                  <c:v>45.574394741199995</c:v>
                </c:pt>
                <c:pt idx="10">
                  <c:v>45.574394741199995</c:v>
                </c:pt>
                <c:pt idx="11">
                  <c:v>45.574394741199995</c:v>
                </c:pt>
                <c:pt idx="12">
                  <c:v>45.574394741199995</c:v>
                </c:pt>
                <c:pt idx="13">
                  <c:v>44.7584451106</c:v>
                </c:pt>
                <c:pt idx="14">
                  <c:v>44.7584451106</c:v>
                </c:pt>
                <c:pt idx="15">
                  <c:v>44.7584451106</c:v>
                </c:pt>
                <c:pt idx="16">
                  <c:v>44.7584451106</c:v>
                </c:pt>
                <c:pt idx="17">
                  <c:v>44.7584451106</c:v>
                </c:pt>
                <c:pt idx="18">
                  <c:v>44.7584451106</c:v>
                </c:pt>
                <c:pt idx="19">
                  <c:v>44.7584451106</c:v>
                </c:pt>
                <c:pt idx="20">
                  <c:v>44.7584451106</c:v>
                </c:pt>
                <c:pt idx="21">
                  <c:v>44.7584451106</c:v>
                </c:pt>
                <c:pt idx="22">
                  <c:v>44.7584451106</c:v>
                </c:pt>
                <c:pt idx="23">
                  <c:v>44.7584451106</c:v>
                </c:pt>
                <c:pt idx="24">
                  <c:v>44.7584451106</c:v>
                </c:pt>
                <c:pt idx="25">
                  <c:v>44.7584451106</c:v>
                </c:pt>
                <c:pt idx="26">
                  <c:v>44.7584451106</c:v>
                </c:pt>
                <c:pt idx="27">
                  <c:v>44.7584451106</c:v>
                </c:pt>
                <c:pt idx="28">
                  <c:v>44.7584451106</c:v>
                </c:pt>
                <c:pt idx="29">
                  <c:v>44.7584451106</c:v>
                </c:pt>
                <c:pt idx="30">
                  <c:v>44.7584451106</c:v>
                </c:pt>
                <c:pt idx="31">
                  <c:v>44.7584451106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C3-492E-BD82-C61FCB2BBAF7}"/>
            </c:ext>
          </c:extLst>
        </c:ser>
        <c:ser>
          <c:idx val="10"/>
          <c:order val="10"/>
          <c:tx>
            <c:v>Geothermal 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1'!$C$160:$AH$160</c:f>
              <c:numCache>
                <c:formatCode>General</c:formatCode>
                <c:ptCount val="32"/>
                <c:pt idx="0">
                  <c:v>0.74961183600000003</c:v>
                </c:pt>
                <c:pt idx="1">
                  <c:v>0.74954321599999996</c:v>
                </c:pt>
                <c:pt idx="2">
                  <c:v>0.74948831999999999</c:v>
                </c:pt>
                <c:pt idx="3">
                  <c:v>0.74812278200000004</c:v>
                </c:pt>
                <c:pt idx="4">
                  <c:v>0.74767675199999994</c:v>
                </c:pt>
                <c:pt idx="5">
                  <c:v>0.74657883199999997</c:v>
                </c:pt>
                <c:pt idx="6">
                  <c:v>0.74640728199999995</c:v>
                </c:pt>
                <c:pt idx="7">
                  <c:v>0.74627004200000002</c:v>
                </c:pt>
                <c:pt idx="8">
                  <c:v>0.74627004200000002</c:v>
                </c:pt>
                <c:pt idx="9">
                  <c:v>0.74627004200000002</c:v>
                </c:pt>
                <c:pt idx="10">
                  <c:v>0.74112354199999997</c:v>
                </c:pt>
                <c:pt idx="11">
                  <c:v>0.74112354199999997</c:v>
                </c:pt>
                <c:pt idx="12">
                  <c:v>0.74112354199999997</c:v>
                </c:pt>
                <c:pt idx="13">
                  <c:v>0.74112354199999997</c:v>
                </c:pt>
                <c:pt idx="14">
                  <c:v>0.74112354199999997</c:v>
                </c:pt>
                <c:pt idx="15">
                  <c:v>0.74112354199999997</c:v>
                </c:pt>
                <c:pt idx="16">
                  <c:v>0.74112354199999997</c:v>
                </c:pt>
                <c:pt idx="17">
                  <c:v>0.74112354199999997</c:v>
                </c:pt>
                <c:pt idx="18">
                  <c:v>0.74112354199999997</c:v>
                </c:pt>
                <c:pt idx="19">
                  <c:v>0.74112354199999997</c:v>
                </c:pt>
                <c:pt idx="20">
                  <c:v>0.74112354199999997</c:v>
                </c:pt>
                <c:pt idx="21">
                  <c:v>0.74112354199999997</c:v>
                </c:pt>
                <c:pt idx="22">
                  <c:v>0.74112354199999997</c:v>
                </c:pt>
                <c:pt idx="23">
                  <c:v>0.74112354199999997</c:v>
                </c:pt>
                <c:pt idx="24">
                  <c:v>0.74112354199999997</c:v>
                </c:pt>
                <c:pt idx="25">
                  <c:v>0.74112354199999997</c:v>
                </c:pt>
                <c:pt idx="26">
                  <c:v>0.74112354199999997</c:v>
                </c:pt>
                <c:pt idx="27">
                  <c:v>0.74112354199999997</c:v>
                </c:pt>
                <c:pt idx="28">
                  <c:v>0.73817288199999997</c:v>
                </c:pt>
                <c:pt idx="29">
                  <c:v>0.73817288199999997</c:v>
                </c:pt>
                <c:pt idx="30">
                  <c:v>0.73817288199999997</c:v>
                </c:pt>
                <c:pt idx="31">
                  <c:v>0.73817288199999997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FC3-492E-BD82-C61FCB2BBAF7}"/>
            </c:ext>
          </c:extLst>
        </c:ser>
        <c:ser>
          <c:idx val="11"/>
          <c:order val="11"/>
          <c:tx>
            <c:v>Biomass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1'!$C$161:$AH$161</c:f>
              <c:numCache>
                <c:formatCode>General</c:formatCode>
                <c:ptCount val="32"/>
                <c:pt idx="0">
                  <c:v>28.134807708</c:v>
                </c:pt>
                <c:pt idx="1">
                  <c:v>28.134382847999998</c:v>
                </c:pt>
                <c:pt idx="2">
                  <c:v>28.134042959999995</c:v>
                </c:pt>
                <c:pt idx="3">
                  <c:v>28.125588245999996</c:v>
                </c:pt>
                <c:pt idx="4">
                  <c:v>28.122826655999997</c:v>
                </c:pt>
                <c:pt idx="5">
                  <c:v>28.116028895999996</c:v>
                </c:pt>
                <c:pt idx="6">
                  <c:v>28.114966746</c:v>
                </c:pt>
                <c:pt idx="7">
                  <c:v>28.114117025999995</c:v>
                </c:pt>
                <c:pt idx="8">
                  <c:v>28.114117025999995</c:v>
                </c:pt>
                <c:pt idx="9">
                  <c:v>28.114117025999995</c:v>
                </c:pt>
                <c:pt idx="10">
                  <c:v>28.082252526000001</c:v>
                </c:pt>
                <c:pt idx="11">
                  <c:v>28.082252526000001</c:v>
                </c:pt>
                <c:pt idx="12">
                  <c:v>28.082252526000001</c:v>
                </c:pt>
                <c:pt idx="13">
                  <c:v>28.082252526000001</c:v>
                </c:pt>
                <c:pt idx="14">
                  <c:v>28.082252526000001</c:v>
                </c:pt>
                <c:pt idx="15">
                  <c:v>28.082252526000001</c:v>
                </c:pt>
                <c:pt idx="16">
                  <c:v>28.082252526000001</c:v>
                </c:pt>
                <c:pt idx="17">
                  <c:v>28.082252526000001</c:v>
                </c:pt>
                <c:pt idx="18">
                  <c:v>28.082252526000001</c:v>
                </c:pt>
                <c:pt idx="19">
                  <c:v>28.082252526000001</c:v>
                </c:pt>
                <c:pt idx="20">
                  <c:v>28.082252526000001</c:v>
                </c:pt>
                <c:pt idx="21">
                  <c:v>28.082252526000001</c:v>
                </c:pt>
                <c:pt idx="22">
                  <c:v>28.082252526000001</c:v>
                </c:pt>
                <c:pt idx="23">
                  <c:v>28.082252526000001</c:v>
                </c:pt>
                <c:pt idx="24">
                  <c:v>28.082252526000001</c:v>
                </c:pt>
                <c:pt idx="25">
                  <c:v>28.082252526000001</c:v>
                </c:pt>
                <c:pt idx="26">
                  <c:v>28.082252526000001</c:v>
                </c:pt>
                <c:pt idx="27">
                  <c:v>28.082252526000001</c:v>
                </c:pt>
                <c:pt idx="28">
                  <c:v>28.063983545999996</c:v>
                </c:pt>
                <c:pt idx="29">
                  <c:v>28.063983545999996</c:v>
                </c:pt>
                <c:pt idx="30">
                  <c:v>28.063983545999996</c:v>
                </c:pt>
                <c:pt idx="31">
                  <c:v>28.063983545999996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C3-492E-BD82-C61FCB2BBAF7}"/>
            </c:ext>
          </c:extLst>
        </c:ser>
        <c:ser>
          <c:idx val="12"/>
          <c:order val="12"/>
          <c:tx>
            <c:v>Hydro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1'!$C$162:$AH$162</c:f>
              <c:numCache>
                <c:formatCode>General</c:formatCode>
                <c:ptCount val="32"/>
                <c:pt idx="0">
                  <c:v>4.9336866319999997</c:v>
                </c:pt>
                <c:pt idx="1">
                  <c:v>4.9336661919999996</c:v>
                </c:pt>
                <c:pt idx="2">
                  <c:v>4.9336498400000002</c:v>
                </c:pt>
                <c:pt idx="3">
                  <c:v>4.9332430839999999</c:v>
                </c:pt>
                <c:pt idx="4">
                  <c:v>4.933110224</c:v>
                </c:pt>
                <c:pt idx="5">
                  <c:v>4.9327831839999998</c:v>
                </c:pt>
                <c:pt idx="6">
                  <c:v>4.9327320839999986</c:v>
                </c:pt>
                <c:pt idx="7">
                  <c:v>4.9326912040000002</c:v>
                </c:pt>
                <c:pt idx="8">
                  <c:v>4.9326912040000002</c:v>
                </c:pt>
                <c:pt idx="9">
                  <c:v>4.9326912040000002</c:v>
                </c:pt>
                <c:pt idx="10">
                  <c:v>4.931158203999999</c:v>
                </c:pt>
                <c:pt idx="11">
                  <c:v>4.931158203999999</c:v>
                </c:pt>
                <c:pt idx="12">
                  <c:v>4.931158203999999</c:v>
                </c:pt>
                <c:pt idx="13">
                  <c:v>4.931158203999999</c:v>
                </c:pt>
                <c:pt idx="14">
                  <c:v>4.931158203999999</c:v>
                </c:pt>
                <c:pt idx="15">
                  <c:v>4.931158203999999</c:v>
                </c:pt>
                <c:pt idx="16">
                  <c:v>4.931158203999999</c:v>
                </c:pt>
                <c:pt idx="17">
                  <c:v>4.931158203999999</c:v>
                </c:pt>
                <c:pt idx="18">
                  <c:v>4.931158203999999</c:v>
                </c:pt>
                <c:pt idx="19">
                  <c:v>4.931158203999999</c:v>
                </c:pt>
                <c:pt idx="20">
                  <c:v>4.931158203999999</c:v>
                </c:pt>
                <c:pt idx="21">
                  <c:v>4.931158203999999</c:v>
                </c:pt>
                <c:pt idx="22">
                  <c:v>4.931158203999999</c:v>
                </c:pt>
                <c:pt idx="23">
                  <c:v>4.931158203999999</c:v>
                </c:pt>
                <c:pt idx="24">
                  <c:v>4.931158203999999</c:v>
                </c:pt>
                <c:pt idx="25">
                  <c:v>4.931158203999999</c:v>
                </c:pt>
                <c:pt idx="26">
                  <c:v>4.931158203999999</c:v>
                </c:pt>
                <c:pt idx="27">
                  <c:v>4.931158203999999</c:v>
                </c:pt>
                <c:pt idx="28">
                  <c:v>4.930279284</c:v>
                </c:pt>
                <c:pt idx="29">
                  <c:v>4.930279284</c:v>
                </c:pt>
                <c:pt idx="30">
                  <c:v>4.930279284</c:v>
                </c:pt>
                <c:pt idx="31">
                  <c:v>4.930279284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C3-492E-BD82-C61FCB2BBAF7}"/>
            </c:ext>
          </c:extLst>
        </c:ser>
        <c:ser>
          <c:idx val="13"/>
          <c:order val="13"/>
          <c:tx>
            <c:v>Others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'Scenario 1'!$C$149:$AH$149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1'!$C$163:$AH$163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FC3-492E-BD82-C61FCB2BB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668288"/>
        <c:axId val="1257669928"/>
        <c:extLst>
          <c:ext xmlns:c15="http://schemas.microsoft.com/office/drawing/2012/chart" uri="{02D57815-91ED-43cb-92C2-25804820EDAC}">
            <c15:filteredAreaSeries>
              <c15:ser>
                <c:idx val="4"/>
                <c:order val="4"/>
                <c:tx>
                  <c:v>Gas CCS</c:v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'Scenario 1'!$C$149:$AH$149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2019</c:v>
                      </c:pt>
                      <c:pt idx="1">
                        <c:v>2020</c:v>
                      </c:pt>
                      <c:pt idx="2">
                        <c:v>2021</c:v>
                      </c:pt>
                      <c:pt idx="3">
                        <c:v>2022</c:v>
                      </c:pt>
                      <c:pt idx="4">
                        <c:v>2023</c:v>
                      </c:pt>
                      <c:pt idx="5">
                        <c:v>2024</c:v>
                      </c:pt>
                      <c:pt idx="6">
                        <c:v>2025</c:v>
                      </c:pt>
                      <c:pt idx="7">
                        <c:v>2026</c:v>
                      </c:pt>
                      <c:pt idx="8">
                        <c:v>2027</c:v>
                      </c:pt>
                      <c:pt idx="9">
                        <c:v>2028</c:v>
                      </c:pt>
                      <c:pt idx="10">
                        <c:v>2029</c:v>
                      </c:pt>
                      <c:pt idx="11">
                        <c:v>2030</c:v>
                      </c:pt>
                      <c:pt idx="12">
                        <c:v>2031</c:v>
                      </c:pt>
                      <c:pt idx="13">
                        <c:v>2032</c:v>
                      </c:pt>
                      <c:pt idx="14">
                        <c:v>2033</c:v>
                      </c:pt>
                      <c:pt idx="15">
                        <c:v>2034</c:v>
                      </c:pt>
                      <c:pt idx="16">
                        <c:v>2035</c:v>
                      </c:pt>
                      <c:pt idx="17">
                        <c:v>2036</c:v>
                      </c:pt>
                      <c:pt idx="18">
                        <c:v>2037</c:v>
                      </c:pt>
                      <c:pt idx="19">
                        <c:v>2038</c:v>
                      </c:pt>
                      <c:pt idx="20">
                        <c:v>2039</c:v>
                      </c:pt>
                      <c:pt idx="21">
                        <c:v>2040</c:v>
                      </c:pt>
                      <c:pt idx="22">
                        <c:v>2041</c:v>
                      </c:pt>
                      <c:pt idx="23">
                        <c:v>2042</c:v>
                      </c:pt>
                      <c:pt idx="24">
                        <c:v>2043</c:v>
                      </c:pt>
                      <c:pt idx="25">
                        <c:v>2044</c:v>
                      </c:pt>
                      <c:pt idx="26">
                        <c:v>2045</c:v>
                      </c:pt>
                      <c:pt idx="27">
                        <c:v>2046</c:v>
                      </c:pt>
                      <c:pt idx="28">
                        <c:v>2047</c:v>
                      </c:pt>
                      <c:pt idx="29">
                        <c:v>2048</c:v>
                      </c:pt>
                      <c:pt idx="30">
                        <c:v>2049</c:v>
                      </c:pt>
                      <c:pt idx="31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'Scenario 1'!$C$154:$AH$154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20.868876315000001</c:v>
                      </c:pt>
                      <c:pt idx="1">
                        <c:v>29.839148681706032</c:v>
                      </c:pt>
                      <c:pt idx="2">
                        <c:v>50.70802499670603</c:v>
                      </c:pt>
                      <c:pt idx="3">
                        <c:v>67.774624193472917</c:v>
                      </c:pt>
                      <c:pt idx="4">
                        <c:v>87.829848951049811</c:v>
                      </c:pt>
                      <c:pt idx="5">
                        <c:v>99.231612458869861</c:v>
                      </c:pt>
                      <c:pt idx="6">
                        <c:v>106.72920668892394</c:v>
                      </c:pt>
                      <c:pt idx="7">
                        <c:v>109.66616904494417</c:v>
                      </c:pt>
                      <c:pt idx="8">
                        <c:v>109.66616904494417</c:v>
                      </c:pt>
                      <c:pt idx="9">
                        <c:v>109.66616904494417</c:v>
                      </c:pt>
                      <c:pt idx="10">
                        <c:v>109.66616904494417</c:v>
                      </c:pt>
                      <c:pt idx="11">
                        <c:v>109.66616904494417</c:v>
                      </c:pt>
                      <c:pt idx="12">
                        <c:v>109.66616904494417</c:v>
                      </c:pt>
                      <c:pt idx="13">
                        <c:v>109.66616904494417</c:v>
                      </c:pt>
                      <c:pt idx="14">
                        <c:v>109.66616904494417</c:v>
                      </c:pt>
                      <c:pt idx="15">
                        <c:v>109.66616904494417</c:v>
                      </c:pt>
                      <c:pt idx="16">
                        <c:v>109.66616904494417</c:v>
                      </c:pt>
                      <c:pt idx="17">
                        <c:v>109.66616904494417</c:v>
                      </c:pt>
                      <c:pt idx="18">
                        <c:v>109.66616904494417</c:v>
                      </c:pt>
                      <c:pt idx="19">
                        <c:v>109.66616904494417</c:v>
                      </c:pt>
                      <c:pt idx="20">
                        <c:v>109.66616904494417</c:v>
                      </c:pt>
                      <c:pt idx="21">
                        <c:v>109.66616904494417</c:v>
                      </c:pt>
                      <c:pt idx="22">
                        <c:v>109.66616904494417</c:v>
                      </c:pt>
                      <c:pt idx="23">
                        <c:v>109.66616904494417</c:v>
                      </c:pt>
                      <c:pt idx="24">
                        <c:v>109.66616904494417</c:v>
                      </c:pt>
                      <c:pt idx="25">
                        <c:v>109.66616904494417</c:v>
                      </c:pt>
                      <c:pt idx="26">
                        <c:v>109.66616904494417</c:v>
                      </c:pt>
                      <c:pt idx="27">
                        <c:v>109.66616904494417</c:v>
                      </c:pt>
                      <c:pt idx="28">
                        <c:v>109.66616904494417</c:v>
                      </c:pt>
                      <c:pt idx="29">
                        <c:v>109.66616904494417</c:v>
                      </c:pt>
                      <c:pt idx="30">
                        <c:v>109.66616904494417</c:v>
                      </c:pt>
                      <c:pt idx="31">
                        <c:v>109.66616904494417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FC3-492E-BD82-C61FCB2BBAF7}"/>
                  </c:ext>
                </c:extLst>
              </c15:ser>
            </c15:filteredAreaSeries>
          </c:ext>
        </c:extLst>
      </c:areaChart>
      <c:catAx>
        <c:axId val="125766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669928"/>
        <c:crosses val="autoZero"/>
        <c:auto val="1"/>
        <c:lblAlgn val="ctr"/>
        <c:lblOffset val="100"/>
        <c:noMultiLvlLbl val="0"/>
      </c:catAx>
      <c:valAx>
        <c:axId val="125766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668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v>Coal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'Scenario 2'!$C$149:$AH$149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2'!$C$150:$AH$150</c:f>
              <c:numCache>
                <c:formatCode>General</c:formatCode>
                <c:ptCount val="32"/>
                <c:pt idx="0">
                  <c:v>1086.8469095199998</c:v>
                </c:pt>
                <c:pt idx="1">
                  <c:v>1064.5649559999997</c:v>
                </c:pt>
                <c:pt idx="2">
                  <c:v>993.27435903999992</c:v>
                </c:pt>
                <c:pt idx="3">
                  <c:v>920.65656075999982</c:v>
                </c:pt>
                <c:pt idx="4">
                  <c:v>814.67102895999983</c:v>
                </c:pt>
                <c:pt idx="5">
                  <c:v>707.23311543999989</c:v>
                </c:pt>
                <c:pt idx="6">
                  <c:v>614.50424055999997</c:v>
                </c:pt>
                <c:pt idx="7">
                  <c:v>568.07186932000002</c:v>
                </c:pt>
                <c:pt idx="8">
                  <c:v>536.05742439999972</c:v>
                </c:pt>
                <c:pt idx="9">
                  <c:v>517.83319924000011</c:v>
                </c:pt>
                <c:pt idx="10">
                  <c:v>513.05026552000004</c:v>
                </c:pt>
                <c:pt idx="11">
                  <c:v>487.54111924</c:v>
                </c:pt>
                <c:pt idx="12">
                  <c:v>464.3796354399999</c:v>
                </c:pt>
                <c:pt idx="13">
                  <c:v>422.02491279999987</c:v>
                </c:pt>
                <c:pt idx="14">
                  <c:v>422.02491279999987</c:v>
                </c:pt>
                <c:pt idx="15">
                  <c:v>396.61127679999987</c:v>
                </c:pt>
                <c:pt idx="16">
                  <c:v>396.61127679999987</c:v>
                </c:pt>
                <c:pt idx="17">
                  <c:v>396.61127679999987</c:v>
                </c:pt>
                <c:pt idx="18">
                  <c:v>386.41375203999968</c:v>
                </c:pt>
                <c:pt idx="19">
                  <c:v>386.41375203999968</c:v>
                </c:pt>
                <c:pt idx="20">
                  <c:v>386.41375203999968</c:v>
                </c:pt>
                <c:pt idx="21">
                  <c:v>386.41375203999968</c:v>
                </c:pt>
                <c:pt idx="22">
                  <c:v>375.75287583999983</c:v>
                </c:pt>
                <c:pt idx="23">
                  <c:v>375.75287583999983</c:v>
                </c:pt>
                <c:pt idx="24">
                  <c:v>370.81220955999987</c:v>
                </c:pt>
                <c:pt idx="25">
                  <c:v>370.81220955999987</c:v>
                </c:pt>
                <c:pt idx="26">
                  <c:v>370.81220955999987</c:v>
                </c:pt>
                <c:pt idx="27">
                  <c:v>370.81220955999987</c:v>
                </c:pt>
                <c:pt idx="28">
                  <c:v>370.81220955999987</c:v>
                </c:pt>
                <c:pt idx="29">
                  <c:v>370.81220955999987</c:v>
                </c:pt>
                <c:pt idx="30">
                  <c:v>370.81220955999987</c:v>
                </c:pt>
                <c:pt idx="31">
                  <c:v>370.81220955999987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C-4B29-AF5C-53FAE435A738}"/>
            </c:ext>
          </c:extLst>
        </c:ser>
        <c:ser>
          <c:idx val="10"/>
          <c:order val="1"/>
          <c:tx>
            <c:v>Coal CCS</c:v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'Scenario 2'!$C$151:$AH$151</c:f>
              <c:numCache>
                <c:formatCode>General</c:formatCode>
                <c:ptCount val="32"/>
                <c:pt idx="0">
                  <c:v>20.908327867605696</c:v>
                </c:pt>
                <c:pt idx="1">
                  <c:v>20.908327867605696</c:v>
                </c:pt>
                <c:pt idx="2">
                  <c:v>20.908327867605696</c:v>
                </c:pt>
                <c:pt idx="3">
                  <c:v>20.908327867605696</c:v>
                </c:pt>
                <c:pt idx="4">
                  <c:v>20.908327867605696</c:v>
                </c:pt>
                <c:pt idx="5">
                  <c:v>20.908327867605696</c:v>
                </c:pt>
                <c:pt idx="6">
                  <c:v>20.908327867605696</c:v>
                </c:pt>
                <c:pt idx="7">
                  <c:v>20.908327867605696</c:v>
                </c:pt>
                <c:pt idx="8">
                  <c:v>20.908327867605696</c:v>
                </c:pt>
                <c:pt idx="9">
                  <c:v>20.908327867605696</c:v>
                </c:pt>
                <c:pt idx="10">
                  <c:v>20.908327867605696</c:v>
                </c:pt>
                <c:pt idx="11">
                  <c:v>20.908327867605696</c:v>
                </c:pt>
                <c:pt idx="12">
                  <c:v>20.908327867605696</c:v>
                </c:pt>
                <c:pt idx="13">
                  <c:v>20.908327867605696</c:v>
                </c:pt>
                <c:pt idx="14">
                  <c:v>20.908327867605696</c:v>
                </c:pt>
                <c:pt idx="15">
                  <c:v>20.908327867605696</c:v>
                </c:pt>
                <c:pt idx="16">
                  <c:v>20.908327867605696</c:v>
                </c:pt>
                <c:pt idx="17">
                  <c:v>20.908327867605696</c:v>
                </c:pt>
                <c:pt idx="18">
                  <c:v>20.908327867605696</c:v>
                </c:pt>
                <c:pt idx="19">
                  <c:v>20.908327867605696</c:v>
                </c:pt>
                <c:pt idx="20">
                  <c:v>20.908327867605696</c:v>
                </c:pt>
                <c:pt idx="21">
                  <c:v>20.908327867605696</c:v>
                </c:pt>
                <c:pt idx="22">
                  <c:v>20.908327867605696</c:v>
                </c:pt>
                <c:pt idx="23">
                  <c:v>20.908327867605696</c:v>
                </c:pt>
                <c:pt idx="24">
                  <c:v>20.908327867605696</c:v>
                </c:pt>
                <c:pt idx="25">
                  <c:v>20.908327867605696</c:v>
                </c:pt>
                <c:pt idx="26">
                  <c:v>20.908327867605696</c:v>
                </c:pt>
                <c:pt idx="27">
                  <c:v>20.908327867605696</c:v>
                </c:pt>
                <c:pt idx="28">
                  <c:v>20.908327867605696</c:v>
                </c:pt>
                <c:pt idx="29">
                  <c:v>20.908327867605696</c:v>
                </c:pt>
                <c:pt idx="30">
                  <c:v>20.908327867605696</c:v>
                </c:pt>
                <c:pt idx="31">
                  <c:v>20.908327867605696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41-4C0D-B0CF-05A403C09E33}"/>
            </c:ext>
          </c:extLst>
        </c:ser>
        <c:ser>
          <c:idx val="1"/>
          <c:order val="2"/>
          <c:tx>
            <c:strRef>
              <c:f>'Scenario 2'!$B$152</c:f>
              <c:strCache>
                <c:ptCount val="1"/>
                <c:pt idx="0">
                  <c:v>Gas - CT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'Scenario 2'!$C$149:$AH$149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2'!$C$152:$AH$152</c:f>
              <c:numCache>
                <c:formatCode>General</c:formatCode>
                <c:ptCount val="32"/>
                <c:pt idx="0">
                  <c:v>472.12309475199999</c:v>
                </c:pt>
                <c:pt idx="1">
                  <c:v>467.35940149599998</c:v>
                </c:pt>
                <c:pt idx="2">
                  <c:v>440.27708425624007</c:v>
                </c:pt>
                <c:pt idx="3">
                  <c:v>433.72511408824005</c:v>
                </c:pt>
                <c:pt idx="4">
                  <c:v>422.92405576048009</c:v>
                </c:pt>
                <c:pt idx="5">
                  <c:v>412.57020944871999</c:v>
                </c:pt>
                <c:pt idx="6">
                  <c:v>407.00776297648002</c:v>
                </c:pt>
                <c:pt idx="7">
                  <c:v>391.40618636751998</c:v>
                </c:pt>
                <c:pt idx="8">
                  <c:v>388.97878465600007</c:v>
                </c:pt>
                <c:pt idx="9">
                  <c:v>383.40862192024002</c:v>
                </c:pt>
                <c:pt idx="10">
                  <c:v>373.86381241648007</c:v>
                </c:pt>
                <c:pt idx="11">
                  <c:v>373.69932064048004</c:v>
                </c:pt>
                <c:pt idx="12">
                  <c:v>371.91503322520009</c:v>
                </c:pt>
                <c:pt idx="13">
                  <c:v>371.91503322520009</c:v>
                </c:pt>
                <c:pt idx="14">
                  <c:v>371.24394104824006</c:v>
                </c:pt>
                <c:pt idx="15">
                  <c:v>371.01548595976004</c:v>
                </c:pt>
                <c:pt idx="16">
                  <c:v>370.73276857552008</c:v>
                </c:pt>
                <c:pt idx="17">
                  <c:v>369.48365058424008</c:v>
                </c:pt>
                <c:pt idx="18">
                  <c:v>369.48365058424008</c:v>
                </c:pt>
                <c:pt idx="19">
                  <c:v>367.16477060848007</c:v>
                </c:pt>
                <c:pt idx="20">
                  <c:v>367.16477060848007</c:v>
                </c:pt>
                <c:pt idx="21">
                  <c:v>366.57477059247998</c:v>
                </c:pt>
                <c:pt idx="22">
                  <c:v>358.76140552096007</c:v>
                </c:pt>
                <c:pt idx="23">
                  <c:v>357.44490872824002</c:v>
                </c:pt>
                <c:pt idx="24">
                  <c:v>356.85090493672004</c:v>
                </c:pt>
                <c:pt idx="25">
                  <c:v>356.85090493672004</c:v>
                </c:pt>
                <c:pt idx="26">
                  <c:v>355.97532892072002</c:v>
                </c:pt>
                <c:pt idx="27">
                  <c:v>355.32135988072008</c:v>
                </c:pt>
                <c:pt idx="28">
                  <c:v>355.32135988072008</c:v>
                </c:pt>
                <c:pt idx="29">
                  <c:v>355.32135988072008</c:v>
                </c:pt>
                <c:pt idx="30">
                  <c:v>355.32135988072008</c:v>
                </c:pt>
                <c:pt idx="31">
                  <c:v>355.32135988072008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9C-4B29-AF5C-53FAE435A738}"/>
            </c:ext>
          </c:extLst>
        </c:ser>
        <c:ser>
          <c:idx val="2"/>
          <c:order val="3"/>
          <c:tx>
            <c:strRef>
              <c:f>'Scenario 2'!$B$153</c:f>
              <c:strCache>
                <c:ptCount val="1"/>
                <c:pt idx="0">
                  <c:v>Gas - CC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'Scenario 2'!$C$149:$AH$149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2'!$C$153:$AH$153</c:f>
              <c:numCache>
                <c:formatCode>General</c:formatCode>
                <c:ptCount val="32"/>
                <c:pt idx="0">
                  <c:v>320.09158566000002</c:v>
                </c:pt>
                <c:pt idx="1">
                  <c:v>317.14998247800003</c:v>
                </c:pt>
                <c:pt idx="2">
                  <c:v>300.18800393442007</c:v>
                </c:pt>
                <c:pt idx="3">
                  <c:v>290.00877049242001</c:v>
                </c:pt>
                <c:pt idx="4">
                  <c:v>282.86834699591998</c:v>
                </c:pt>
                <c:pt idx="5">
                  <c:v>274.06162669662001</c:v>
                </c:pt>
                <c:pt idx="6">
                  <c:v>268.61264531136004</c:v>
                </c:pt>
                <c:pt idx="7">
                  <c:v>261.19113636167998</c:v>
                </c:pt>
                <c:pt idx="8">
                  <c:v>258.61439705219999</c:v>
                </c:pt>
                <c:pt idx="9">
                  <c:v>257.04962602578001</c:v>
                </c:pt>
                <c:pt idx="10">
                  <c:v>253.87545481704004</c:v>
                </c:pt>
                <c:pt idx="11">
                  <c:v>253.00238065703999</c:v>
                </c:pt>
                <c:pt idx="12">
                  <c:v>251.74414751346001</c:v>
                </c:pt>
                <c:pt idx="13">
                  <c:v>249.77393591346004</c:v>
                </c:pt>
                <c:pt idx="14">
                  <c:v>249.30070653978001</c:v>
                </c:pt>
                <c:pt idx="15">
                  <c:v>247.72067796294007</c:v>
                </c:pt>
                <c:pt idx="16">
                  <c:v>242.62864869852004</c:v>
                </c:pt>
                <c:pt idx="17">
                  <c:v>241.28117655893999</c:v>
                </c:pt>
                <c:pt idx="18">
                  <c:v>241.28117655893999</c:v>
                </c:pt>
                <c:pt idx="19">
                  <c:v>236.48930710020002</c:v>
                </c:pt>
                <c:pt idx="20">
                  <c:v>235.53896974020003</c:v>
                </c:pt>
                <c:pt idx="21">
                  <c:v>235.53896974020003</c:v>
                </c:pt>
                <c:pt idx="22">
                  <c:v>235.1101589802</c:v>
                </c:pt>
                <c:pt idx="23">
                  <c:v>232.40401733178001</c:v>
                </c:pt>
                <c:pt idx="24">
                  <c:v>225.72847685178004</c:v>
                </c:pt>
                <c:pt idx="25">
                  <c:v>225.72847685178004</c:v>
                </c:pt>
                <c:pt idx="26">
                  <c:v>224.26433534861999</c:v>
                </c:pt>
                <c:pt idx="27">
                  <c:v>222.48341472546002</c:v>
                </c:pt>
                <c:pt idx="28">
                  <c:v>219.83754030462003</c:v>
                </c:pt>
                <c:pt idx="29">
                  <c:v>219.83754030462003</c:v>
                </c:pt>
                <c:pt idx="30">
                  <c:v>219.83754030462003</c:v>
                </c:pt>
                <c:pt idx="31">
                  <c:v>219.82517819262003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9C-4B29-AF5C-53FAE435A738}"/>
            </c:ext>
          </c:extLst>
        </c:ser>
        <c:ser>
          <c:idx val="3"/>
          <c:order val="4"/>
          <c:tx>
            <c:strRef>
              <c:f>'Scenario 2'!$B$154</c:f>
              <c:strCache>
                <c:ptCount val="1"/>
                <c:pt idx="0">
                  <c:v>Gas CCS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'Scenario 2'!$C$149:$AH$149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2'!$C$154:$AH$154</c:f>
              <c:numCache>
                <c:formatCode>General</c:formatCode>
                <c:ptCount val="32"/>
                <c:pt idx="0">
                  <c:v>20.868876315000001</c:v>
                </c:pt>
                <c:pt idx="1">
                  <c:v>20.868876315000001</c:v>
                </c:pt>
                <c:pt idx="2">
                  <c:v>31.290084841087797</c:v>
                </c:pt>
                <c:pt idx="3">
                  <c:v>33.435267044210683</c:v>
                </c:pt>
                <c:pt idx="4">
                  <c:v>34.956806290685982</c:v>
                </c:pt>
                <c:pt idx="5">
                  <c:v>34.956806290685982</c:v>
                </c:pt>
                <c:pt idx="6">
                  <c:v>46.334580262777841</c:v>
                </c:pt>
                <c:pt idx="7">
                  <c:v>53.215096918798068</c:v>
                </c:pt>
                <c:pt idx="8">
                  <c:v>54.563089777524674</c:v>
                </c:pt>
                <c:pt idx="9">
                  <c:v>54.723308332475149</c:v>
                </c:pt>
                <c:pt idx="10">
                  <c:v>54.723308332475149</c:v>
                </c:pt>
                <c:pt idx="11">
                  <c:v>54.723308332475149</c:v>
                </c:pt>
                <c:pt idx="12">
                  <c:v>54.723308332475149</c:v>
                </c:pt>
                <c:pt idx="13">
                  <c:v>57.441527399964947</c:v>
                </c:pt>
                <c:pt idx="14">
                  <c:v>57.441527399964947</c:v>
                </c:pt>
                <c:pt idx="15">
                  <c:v>57.441527399964947</c:v>
                </c:pt>
                <c:pt idx="16">
                  <c:v>57.441527399964947</c:v>
                </c:pt>
                <c:pt idx="17">
                  <c:v>57.441527399964947</c:v>
                </c:pt>
                <c:pt idx="18">
                  <c:v>57.441527399964947</c:v>
                </c:pt>
                <c:pt idx="19">
                  <c:v>57.441527399964947</c:v>
                </c:pt>
                <c:pt idx="20">
                  <c:v>57.441527399964947</c:v>
                </c:pt>
                <c:pt idx="21">
                  <c:v>57.441527399964947</c:v>
                </c:pt>
                <c:pt idx="22">
                  <c:v>57.441527399964947</c:v>
                </c:pt>
                <c:pt idx="23">
                  <c:v>57.441527399964947</c:v>
                </c:pt>
                <c:pt idx="24">
                  <c:v>57.441527399964947</c:v>
                </c:pt>
                <c:pt idx="25">
                  <c:v>57.441527399964947</c:v>
                </c:pt>
                <c:pt idx="26">
                  <c:v>57.441527399964947</c:v>
                </c:pt>
                <c:pt idx="27">
                  <c:v>57.441527399964947</c:v>
                </c:pt>
                <c:pt idx="28">
                  <c:v>57.441527399964947</c:v>
                </c:pt>
                <c:pt idx="29">
                  <c:v>57.441527399964947</c:v>
                </c:pt>
                <c:pt idx="30">
                  <c:v>57.441527399964947</c:v>
                </c:pt>
                <c:pt idx="31">
                  <c:v>57.441527399964947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9C-4B29-AF5C-53FAE435A738}"/>
            </c:ext>
          </c:extLst>
        </c:ser>
        <c:ser>
          <c:idx val="4"/>
          <c:order val="5"/>
          <c:tx>
            <c:strRef>
              <c:f>'Scenario 2'!$B$155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'Scenario 2'!$C$149:$AH$149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2'!$C$155:$AH$155</c:f>
              <c:numCache>
                <c:formatCode>General</c:formatCode>
                <c:ptCount val="32"/>
                <c:pt idx="0">
                  <c:v>3.4746384600000004</c:v>
                </c:pt>
                <c:pt idx="1">
                  <c:v>4.3275567600000002</c:v>
                </c:pt>
                <c:pt idx="2">
                  <c:v>5.3510850000000012</c:v>
                </c:pt>
                <c:pt idx="3">
                  <c:v>6.6804326100000004</c:v>
                </c:pt>
                <c:pt idx="4">
                  <c:v>8.5429226160000002</c:v>
                </c:pt>
                <c:pt idx="5">
                  <c:v>11.336247</c:v>
                </c:pt>
                <c:pt idx="6">
                  <c:v>11.336082750000003</c:v>
                </c:pt>
                <c:pt idx="7">
                  <c:v>11.33595135</c:v>
                </c:pt>
                <c:pt idx="8">
                  <c:v>11.33595135</c:v>
                </c:pt>
                <c:pt idx="9">
                  <c:v>11.33595135</c:v>
                </c:pt>
                <c:pt idx="10">
                  <c:v>11.331023849999999</c:v>
                </c:pt>
                <c:pt idx="11">
                  <c:v>11.331023849999999</c:v>
                </c:pt>
                <c:pt idx="12">
                  <c:v>11.331023849999999</c:v>
                </c:pt>
                <c:pt idx="13">
                  <c:v>11.331023849999999</c:v>
                </c:pt>
                <c:pt idx="14">
                  <c:v>11.331023849999999</c:v>
                </c:pt>
                <c:pt idx="15">
                  <c:v>11.331023849999999</c:v>
                </c:pt>
                <c:pt idx="16">
                  <c:v>11.331023849999999</c:v>
                </c:pt>
                <c:pt idx="17">
                  <c:v>11.331023849999999</c:v>
                </c:pt>
                <c:pt idx="18">
                  <c:v>11.331023849999999</c:v>
                </c:pt>
                <c:pt idx="19">
                  <c:v>11.331023849999999</c:v>
                </c:pt>
                <c:pt idx="20">
                  <c:v>11.331023849999999</c:v>
                </c:pt>
                <c:pt idx="21">
                  <c:v>11.331023849999999</c:v>
                </c:pt>
                <c:pt idx="22">
                  <c:v>11.331023849999999</c:v>
                </c:pt>
                <c:pt idx="23">
                  <c:v>11.331023849999999</c:v>
                </c:pt>
                <c:pt idx="24">
                  <c:v>11.331023849999999</c:v>
                </c:pt>
                <c:pt idx="25">
                  <c:v>11.331023849999999</c:v>
                </c:pt>
                <c:pt idx="26">
                  <c:v>11.331023849999999</c:v>
                </c:pt>
                <c:pt idx="27">
                  <c:v>11.331023849999999</c:v>
                </c:pt>
                <c:pt idx="28">
                  <c:v>11.32819875</c:v>
                </c:pt>
                <c:pt idx="29">
                  <c:v>11.32819875</c:v>
                </c:pt>
                <c:pt idx="30">
                  <c:v>11.32819875</c:v>
                </c:pt>
                <c:pt idx="31">
                  <c:v>11.32819875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9C-4B29-AF5C-53FAE435A738}"/>
            </c:ext>
          </c:extLst>
        </c:ser>
        <c:ser>
          <c:idx val="5"/>
          <c:order val="6"/>
          <c:tx>
            <c:strRef>
              <c:f>'Scenario 2'!$B$156</c:f>
              <c:strCache>
                <c:ptCount val="1"/>
                <c:pt idx="0">
                  <c:v>Solar CSP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'Scenario 2'!$C$149:$AH$149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2'!$C$156:$AH$156</c:f>
              <c:numCache>
                <c:formatCode>General</c:formatCode>
                <c:ptCount val="32"/>
                <c:pt idx="0">
                  <c:v>8.3758135999999997E-2</c:v>
                </c:pt>
                <c:pt idx="1">
                  <c:v>8.3726016E-2</c:v>
                </c:pt>
                <c:pt idx="2">
                  <c:v>8.3700320000000009E-2</c:v>
                </c:pt>
                <c:pt idx="3">
                  <c:v>8.3061131999999996E-2</c:v>
                </c:pt>
                <c:pt idx="4">
                  <c:v>8.2852352000000004E-2</c:v>
                </c:pt>
                <c:pt idx="5">
                  <c:v>8.2338432000000003E-2</c:v>
                </c:pt>
                <c:pt idx="6">
                  <c:v>8.2258131999999998E-2</c:v>
                </c:pt>
                <c:pt idx="7">
                  <c:v>8.2193892000000005E-2</c:v>
                </c:pt>
                <c:pt idx="8">
                  <c:v>8.2193892000000005E-2</c:v>
                </c:pt>
                <c:pt idx="9">
                  <c:v>8.2193892000000005E-2</c:v>
                </c:pt>
                <c:pt idx="10">
                  <c:v>7.9784891999999996E-2</c:v>
                </c:pt>
                <c:pt idx="11">
                  <c:v>7.9784891999999996E-2</c:v>
                </c:pt>
                <c:pt idx="12">
                  <c:v>7.9784891999999996E-2</c:v>
                </c:pt>
                <c:pt idx="13">
                  <c:v>7.9784891999999996E-2</c:v>
                </c:pt>
                <c:pt idx="14">
                  <c:v>7.9784891999999996E-2</c:v>
                </c:pt>
                <c:pt idx="15">
                  <c:v>7.9784891999999996E-2</c:v>
                </c:pt>
                <c:pt idx="16">
                  <c:v>7.9784891999999996E-2</c:v>
                </c:pt>
                <c:pt idx="17">
                  <c:v>7.9784891999999996E-2</c:v>
                </c:pt>
                <c:pt idx="18">
                  <c:v>7.9784891999999996E-2</c:v>
                </c:pt>
                <c:pt idx="19">
                  <c:v>7.9784891999999996E-2</c:v>
                </c:pt>
                <c:pt idx="20">
                  <c:v>7.9784891999999996E-2</c:v>
                </c:pt>
                <c:pt idx="21">
                  <c:v>7.9784891999999996E-2</c:v>
                </c:pt>
                <c:pt idx="22">
                  <c:v>7.9784891999999996E-2</c:v>
                </c:pt>
                <c:pt idx="23">
                  <c:v>7.9784891999999996E-2</c:v>
                </c:pt>
                <c:pt idx="24">
                  <c:v>7.9784891999999996E-2</c:v>
                </c:pt>
                <c:pt idx="25">
                  <c:v>7.9784891999999996E-2</c:v>
                </c:pt>
                <c:pt idx="26">
                  <c:v>7.9784891999999996E-2</c:v>
                </c:pt>
                <c:pt idx="27">
                  <c:v>7.9784891999999996E-2</c:v>
                </c:pt>
                <c:pt idx="28">
                  <c:v>7.8403732000000004E-2</c:v>
                </c:pt>
                <c:pt idx="29">
                  <c:v>7.8403732000000004E-2</c:v>
                </c:pt>
                <c:pt idx="30">
                  <c:v>7.8403732000000004E-2</c:v>
                </c:pt>
                <c:pt idx="31">
                  <c:v>7.8403732000000004E-2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9C-4B29-AF5C-53FAE435A738}"/>
            </c:ext>
          </c:extLst>
        </c:ser>
        <c:ser>
          <c:idx val="6"/>
          <c:order val="7"/>
          <c:tx>
            <c:strRef>
              <c:f>'Scenario 2'!$B$157</c:f>
              <c:strCache>
                <c:ptCount val="1"/>
                <c:pt idx="0">
                  <c:v>Wind 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'Scenario 2'!$C$149:$AH$149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2'!$C$157:$AH$157</c:f>
              <c:numCache>
                <c:formatCode>General</c:formatCode>
                <c:ptCount val="32"/>
                <c:pt idx="0">
                  <c:v>3.397968068</c:v>
                </c:pt>
                <c:pt idx="1">
                  <c:v>3.8368674079999998</c:v>
                </c:pt>
                <c:pt idx="2">
                  <c:v>4.3635530400000002</c:v>
                </c:pt>
                <c:pt idx="3">
                  <c:v>5.0479414700000014</c:v>
                </c:pt>
                <c:pt idx="4">
                  <c:v>6.0064283136000007</c:v>
                </c:pt>
                <c:pt idx="5">
                  <c:v>7.1061713536000015</c:v>
                </c:pt>
                <c:pt idx="6">
                  <c:v>7.1061312036000004</c:v>
                </c:pt>
                <c:pt idx="7">
                  <c:v>7.1060990836000011</c:v>
                </c:pt>
                <c:pt idx="8">
                  <c:v>7.1060990836000011</c:v>
                </c:pt>
                <c:pt idx="9">
                  <c:v>7.1060990836000011</c:v>
                </c:pt>
                <c:pt idx="10">
                  <c:v>7.104894583600001</c:v>
                </c:pt>
                <c:pt idx="11">
                  <c:v>7.104894583600001</c:v>
                </c:pt>
                <c:pt idx="12">
                  <c:v>7.104894583600001</c:v>
                </c:pt>
                <c:pt idx="13">
                  <c:v>7.104894583600001</c:v>
                </c:pt>
                <c:pt idx="14">
                  <c:v>7.104894583600001</c:v>
                </c:pt>
                <c:pt idx="15">
                  <c:v>7.104894583600001</c:v>
                </c:pt>
                <c:pt idx="16">
                  <c:v>7.104894583600001</c:v>
                </c:pt>
                <c:pt idx="17">
                  <c:v>7.104894583600001</c:v>
                </c:pt>
                <c:pt idx="18">
                  <c:v>7.104894583600001</c:v>
                </c:pt>
                <c:pt idx="19">
                  <c:v>7.104894583600001</c:v>
                </c:pt>
                <c:pt idx="20">
                  <c:v>7.104894583600001</c:v>
                </c:pt>
                <c:pt idx="21">
                  <c:v>7.104894583600001</c:v>
                </c:pt>
                <c:pt idx="22">
                  <c:v>7.104894583600001</c:v>
                </c:pt>
                <c:pt idx="23">
                  <c:v>7.104894583600001</c:v>
                </c:pt>
                <c:pt idx="24">
                  <c:v>7.104894583600001</c:v>
                </c:pt>
                <c:pt idx="25">
                  <c:v>7.104894583600001</c:v>
                </c:pt>
                <c:pt idx="26">
                  <c:v>7.104894583600001</c:v>
                </c:pt>
                <c:pt idx="27">
                  <c:v>7.104894583600001</c:v>
                </c:pt>
                <c:pt idx="28">
                  <c:v>7.1042040036000014</c:v>
                </c:pt>
                <c:pt idx="29">
                  <c:v>7.1042040036000014</c:v>
                </c:pt>
                <c:pt idx="30">
                  <c:v>7.1042040036000014</c:v>
                </c:pt>
                <c:pt idx="31">
                  <c:v>7.1042040036000014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9C-4B29-AF5C-53FAE435A738}"/>
            </c:ext>
          </c:extLst>
        </c:ser>
        <c:ser>
          <c:idx val="11"/>
          <c:order val="8"/>
          <c:tx>
            <c:v>Wind Off</c:v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'Scenario 2'!$C$158:$AH$158</c:f>
              <c:numCache>
                <c:formatCode>General</c:formatCode>
                <c:ptCount val="32"/>
                <c:pt idx="0">
                  <c:v>7.7000000000000001E-5</c:v>
                </c:pt>
                <c:pt idx="1">
                  <c:v>7.7000000000000001E-5</c:v>
                </c:pt>
                <c:pt idx="2">
                  <c:v>1.7864000000000001E-4</c:v>
                </c:pt>
                <c:pt idx="3">
                  <c:v>3.1077200000000007E-4</c:v>
                </c:pt>
                <c:pt idx="4">
                  <c:v>4.9575680000000003E-4</c:v>
                </c:pt>
                <c:pt idx="5">
                  <c:v>4.9575680000000003E-4</c:v>
                </c:pt>
                <c:pt idx="6">
                  <c:v>4.9575680000000003E-4</c:v>
                </c:pt>
                <c:pt idx="7">
                  <c:v>4.9575680000000003E-4</c:v>
                </c:pt>
                <c:pt idx="8">
                  <c:v>4.9575680000000003E-4</c:v>
                </c:pt>
                <c:pt idx="9">
                  <c:v>4.9575680000000003E-4</c:v>
                </c:pt>
                <c:pt idx="10">
                  <c:v>4.9575680000000003E-4</c:v>
                </c:pt>
                <c:pt idx="11">
                  <c:v>4.9575680000000003E-4</c:v>
                </c:pt>
                <c:pt idx="12">
                  <c:v>4.9575680000000003E-4</c:v>
                </c:pt>
                <c:pt idx="13">
                  <c:v>4.9575680000000003E-4</c:v>
                </c:pt>
                <c:pt idx="14">
                  <c:v>4.9575680000000003E-4</c:v>
                </c:pt>
                <c:pt idx="15">
                  <c:v>4.9575680000000003E-4</c:v>
                </c:pt>
                <c:pt idx="16">
                  <c:v>4.9575680000000003E-4</c:v>
                </c:pt>
                <c:pt idx="17">
                  <c:v>4.9575680000000003E-4</c:v>
                </c:pt>
                <c:pt idx="18">
                  <c:v>4.9575680000000003E-4</c:v>
                </c:pt>
                <c:pt idx="19">
                  <c:v>4.9575680000000003E-4</c:v>
                </c:pt>
                <c:pt idx="20">
                  <c:v>4.9575680000000003E-4</c:v>
                </c:pt>
                <c:pt idx="21">
                  <c:v>4.9575680000000003E-4</c:v>
                </c:pt>
                <c:pt idx="22">
                  <c:v>4.9575680000000003E-4</c:v>
                </c:pt>
                <c:pt idx="23">
                  <c:v>4.9575680000000003E-4</c:v>
                </c:pt>
                <c:pt idx="24">
                  <c:v>4.9575680000000003E-4</c:v>
                </c:pt>
                <c:pt idx="25">
                  <c:v>4.9575680000000003E-4</c:v>
                </c:pt>
                <c:pt idx="26">
                  <c:v>4.9575680000000003E-4</c:v>
                </c:pt>
                <c:pt idx="27">
                  <c:v>4.9575680000000003E-4</c:v>
                </c:pt>
                <c:pt idx="28">
                  <c:v>4.9575680000000003E-4</c:v>
                </c:pt>
                <c:pt idx="29">
                  <c:v>4.9575680000000003E-4</c:v>
                </c:pt>
                <c:pt idx="30">
                  <c:v>4.9575680000000003E-4</c:v>
                </c:pt>
                <c:pt idx="31">
                  <c:v>4.9575680000000003E-4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41-4C0D-B0CF-05A403C09E33}"/>
            </c:ext>
          </c:extLst>
        </c:ser>
        <c:ser>
          <c:idx val="7"/>
          <c:order val="9"/>
          <c:tx>
            <c:strRef>
              <c:f>'Scenario 2'!$B$159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'Scenario 2'!$C$149:$AH$149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2'!$C$159:$AH$159</c:f>
              <c:numCache>
                <c:formatCode>General</c:formatCode>
                <c:ptCount val="32"/>
                <c:pt idx="0">
                  <c:v>56.18789799999999</c:v>
                </c:pt>
                <c:pt idx="1">
                  <c:v>55.109226639999996</c:v>
                </c:pt>
                <c:pt idx="2">
                  <c:v>51.999904059999992</c:v>
                </c:pt>
                <c:pt idx="3">
                  <c:v>49.972383401199991</c:v>
                </c:pt>
                <c:pt idx="4">
                  <c:v>48.046389039999994</c:v>
                </c:pt>
                <c:pt idx="5">
                  <c:v>48.046389039999994</c:v>
                </c:pt>
                <c:pt idx="6">
                  <c:v>46.210983941199991</c:v>
                </c:pt>
                <c:pt idx="7">
                  <c:v>45.574394741199995</c:v>
                </c:pt>
                <c:pt idx="8">
                  <c:v>45.574394741199995</c:v>
                </c:pt>
                <c:pt idx="9">
                  <c:v>45.574394741199995</c:v>
                </c:pt>
                <c:pt idx="10">
                  <c:v>45.574394741199995</c:v>
                </c:pt>
                <c:pt idx="11">
                  <c:v>45.574394741199995</c:v>
                </c:pt>
                <c:pt idx="12">
                  <c:v>45.574394741199995</c:v>
                </c:pt>
                <c:pt idx="13">
                  <c:v>44.7584451106</c:v>
                </c:pt>
                <c:pt idx="14">
                  <c:v>44.7584451106</c:v>
                </c:pt>
                <c:pt idx="15">
                  <c:v>44.7584451106</c:v>
                </c:pt>
                <c:pt idx="16">
                  <c:v>44.7584451106</c:v>
                </c:pt>
                <c:pt idx="17">
                  <c:v>44.7584451106</c:v>
                </c:pt>
                <c:pt idx="18">
                  <c:v>44.7584451106</c:v>
                </c:pt>
                <c:pt idx="19">
                  <c:v>44.7584451106</c:v>
                </c:pt>
                <c:pt idx="20">
                  <c:v>44.7584451106</c:v>
                </c:pt>
                <c:pt idx="21">
                  <c:v>44.7584451106</c:v>
                </c:pt>
                <c:pt idx="22">
                  <c:v>44.7584451106</c:v>
                </c:pt>
                <c:pt idx="23">
                  <c:v>44.7584451106</c:v>
                </c:pt>
                <c:pt idx="24">
                  <c:v>44.7584451106</c:v>
                </c:pt>
                <c:pt idx="25">
                  <c:v>44.7584451106</c:v>
                </c:pt>
                <c:pt idx="26">
                  <c:v>44.7584451106</c:v>
                </c:pt>
                <c:pt idx="27">
                  <c:v>44.7584451106</c:v>
                </c:pt>
                <c:pt idx="28">
                  <c:v>44.7584451106</c:v>
                </c:pt>
                <c:pt idx="29">
                  <c:v>44.7584451106</c:v>
                </c:pt>
                <c:pt idx="30">
                  <c:v>44.7584451106</c:v>
                </c:pt>
                <c:pt idx="31">
                  <c:v>44.7584451106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9C-4B29-AF5C-53FAE435A738}"/>
            </c:ext>
          </c:extLst>
        </c:ser>
        <c:ser>
          <c:idx val="8"/>
          <c:order val="10"/>
          <c:tx>
            <c:strRef>
              <c:f>'Scenario 2'!$B$160</c:f>
              <c:strCache>
                <c:ptCount val="1"/>
                <c:pt idx="0">
                  <c:v>Geotherm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'Scenario 2'!$C$149:$AH$149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2'!$C$160:$AH$160</c:f>
              <c:numCache>
                <c:formatCode>General</c:formatCode>
                <c:ptCount val="32"/>
                <c:pt idx="0">
                  <c:v>0.95171183599999998</c:v>
                </c:pt>
                <c:pt idx="1">
                  <c:v>0.9516432159999999</c:v>
                </c:pt>
                <c:pt idx="2">
                  <c:v>0.95158832000000004</c:v>
                </c:pt>
                <c:pt idx="3">
                  <c:v>0.95022278199999999</c:v>
                </c:pt>
                <c:pt idx="4">
                  <c:v>0.949776752</c:v>
                </c:pt>
                <c:pt idx="5">
                  <c:v>0.94867883200000003</c:v>
                </c:pt>
                <c:pt idx="6">
                  <c:v>0.94850728200000012</c:v>
                </c:pt>
                <c:pt idx="7">
                  <c:v>0.94837004199999997</c:v>
                </c:pt>
                <c:pt idx="8">
                  <c:v>0.94837004199999997</c:v>
                </c:pt>
                <c:pt idx="9">
                  <c:v>0.94837004199999997</c:v>
                </c:pt>
                <c:pt idx="10">
                  <c:v>0.94322354200000014</c:v>
                </c:pt>
                <c:pt idx="11">
                  <c:v>0.94322354200000014</c:v>
                </c:pt>
                <c:pt idx="12">
                  <c:v>0.94322354200000014</c:v>
                </c:pt>
                <c:pt idx="13">
                  <c:v>0.94322354200000014</c:v>
                </c:pt>
                <c:pt idx="14">
                  <c:v>0.94322354200000014</c:v>
                </c:pt>
                <c:pt idx="15">
                  <c:v>0.94322354200000014</c:v>
                </c:pt>
                <c:pt idx="16">
                  <c:v>0.94322354200000014</c:v>
                </c:pt>
                <c:pt idx="17">
                  <c:v>0.94322354200000014</c:v>
                </c:pt>
                <c:pt idx="18">
                  <c:v>0.94322354200000014</c:v>
                </c:pt>
                <c:pt idx="19">
                  <c:v>0.94322354200000014</c:v>
                </c:pt>
                <c:pt idx="20">
                  <c:v>0.94322354200000014</c:v>
                </c:pt>
                <c:pt idx="21">
                  <c:v>0.94322354200000014</c:v>
                </c:pt>
                <c:pt idx="22">
                  <c:v>0.94322354200000014</c:v>
                </c:pt>
                <c:pt idx="23">
                  <c:v>0.94322354200000014</c:v>
                </c:pt>
                <c:pt idx="24">
                  <c:v>0.94322354200000014</c:v>
                </c:pt>
                <c:pt idx="25">
                  <c:v>0.94322354200000014</c:v>
                </c:pt>
                <c:pt idx="26">
                  <c:v>0.94322354200000014</c:v>
                </c:pt>
                <c:pt idx="27">
                  <c:v>0.94322354200000014</c:v>
                </c:pt>
                <c:pt idx="28">
                  <c:v>0.94027288200000014</c:v>
                </c:pt>
                <c:pt idx="29">
                  <c:v>0.94027288200000014</c:v>
                </c:pt>
                <c:pt idx="30">
                  <c:v>0.94027288200000014</c:v>
                </c:pt>
                <c:pt idx="31">
                  <c:v>0.94027288200000014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9C-4B29-AF5C-53FAE435A738}"/>
            </c:ext>
          </c:extLst>
        </c:ser>
        <c:ser>
          <c:idx val="9"/>
          <c:order val="11"/>
          <c:tx>
            <c:strRef>
              <c:f>'Scenario 2'!$B$161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'Scenario 2'!$C$149:$AH$149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2'!$C$161:$AH$161</c:f>
              <c:numCache>
                <c:formatCode>General</c:formatCode>
                <c:ptCount val="32"/>
                <c:pt idx="0">
                  <c:v>18.008007708000001</c:v>
                </c:pt>
                <c:pt idx="1">
                  <c:v>18.007582847999998</c:v>
                </c:pt>
                <c:pt idx="2">
                  <c:v>18.007242959999999</c:v>
                </c:pt>
                <c:pt idx="3">
                  <c:v>17.998788246</c:v>
                </c:pt>
                <c:pt idx="4">
                  <c:v>17.996026656000002</c:v>
                </c:pt>
                <c:pt idx="5">
                  <c:v>17.989228896</c:v>
                </c:pt>
                <c:pt idx="6">
                  <c:v>17.988166746000001</c:v>
                </c:pt>
                <c:pt idx="7">
                  <c:v>17.987317025999999</c:v>
                </c:pt>
                <c:pt idx="8">
                  <c:v>17.987317025999999</c:v>
                </c:pt>
                <c:pt idx="9">
                  <c:v>17.987317025999999</c:v>
                </c:pt>
                <c:pt idx="10">
                  <c:v>17.955452525999998</c:v>
                </c:pt>
                <c:pt idx="11">
                  <c:v>17.955452525999998</c:v>
                </c:pt>
                <c:pt idx="12">
                  <c:v>17.955452525999998</c:v>
                </c:pt>
                <c:pt idx="13">
                  <c:v>17.955452525999998</c:v>
                </c:pt>
                <c:pt idx="14">
                  <c:v>17.955452525999998</c:v>
                </c:pt>
                <c:pt idx="15">
                  <c:v>17.955452525999998</c:v>
                </c:pt>
                <c:pt idx="16">
                  <c:v>17.955452525999998</c:v>
                </c:pt>
                <c:pt idx="17">
                  <c:v>17.955452525999998</c:v>
                </c:pt>
                <c:pt idx="18">
                  <c:v>17.955452525999998</c:v>
                </c:pt>
                <c:pt idx="19">
                  <c:v>17.955452525999998</c:v>
                </c:pt>
                <c:pt idx="20">
                  <c:v>17.955452525999998</c:v>
                </c:pt>
                <c:pt idx="21">
                  <c:v>17.955452525999998</c:v>
                </c:pt>
                <c:pt idx="22">
                  <c:v>17.955452525999998</c:v>
                </c:pt>
                <c:pt idx="23">
                  <c:v>17.955452525999998</c:v>
                </c:pt>
                <c:pt idx="24">
                  <c:v>17.955452525999998</c:v>
                </c:pt>
                <c:pt idx="25">
                  <c:v>17.955452525999998</c:v>
                </c:pt>
                <c:pt idx="26">
                  <c:v>17.955452525999998</c:v>
                </c:pt>
                <c:pt idx="27">
                  <c:v>17.955452525999998</c:v>
                </c:pt>
                <c:pt idx="28">
                  <c:v>17.937183546</c:v>
                </c:pt>
                <c:pt idx="29">
                  <c:v>17.937183546</c:v>
                </c:pt>
                <c:pt idx="30">
                  <c:v>17.937183546</c:v>
                </c:pt>
                <c:pt idx="31">
                  <c:v>17.937183546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9C-4B29-AF5C-53FAE435A738}"/>
            </c:ext>
          </c:extLst>
        </c:ser>
        <c:ser>
          <c:idx val="12"/>
          <c:order val="12"/>
          <c:tx>
            <c:v>Hydro</c:v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val>
            <c:numRef>
              <c:f>'Scenario 2'!$C$162:$AH$162</c:f>
              <c:numCache>
                <c:formatCode>General</c:formatCode>
                <c:ptCount val="32"/>
                <c:pt idx="0">
                  <c:v>4.9336866319999997</c:v>
                </c:pt>
                <c:pt idx="1">
                  <c:v>5.386671780000003</c:v>
                </c:pt>
                <c:pt idx="2">
                  <c:v>6.2252554280000032</c:v>
                </c:pt>
                <c:pt idx="3">
                  <c:v>7.0634486720000034</c:v>
                </c:pt>
                <c:pt idx="4">
                  <c:v>7.901915812000003</c:v>
                </c:pt>
                <c:pt idx="5">
                  <c:v>8.1247311320000097</c:v>
                </c:pt>
                <c:pt idx="6">
                  <c:v>8.963280032000009</c:v>
                </c:pt>
                <c:pt idx="7">
                  <c:v>9.8018391520000101</c:v>
                </c:pt>
                <c:pt idx="8">
                  <c:v>10.640439152000008</c:v>
                </c:pt>
                <c:pt idx="9">
                  <c:v>11.479039152000007</c:v>
                </c:pt>
                <c:pt idx="10">
                  <c:v>12.285261492000005</c:v>
                </c:pt>
                <c:pt idx="11">
                  <c:v>13.088717188400009</c:v>
                </c:pt>
                <c:pt idx="12">
                  <c:v>13.895785198960018</c:v>
                </c:pt>
                <c:pt idx="13">
                  <c:v>14.734385198960018</c:v>
                </c:pt>
                <c:pt idx="14">
                  <c:v>15.148133966560012</c:v>
                </c:pt>
                <c:pt idx="15">
                  <c:v>15.933630388480006</c:v>
                </c:pt>
                <c:pt idx="16">
                  <c:v>16.466528628480013</c:v>
                </c:pt>
                <c:pt idx="17">
                  <c:v>16.89212559384001</c:v>
                </c:pt>
                <c:pt idx="18">
                  <c:v>17.381931848960011</c:v>
                </c:pt>
                <c:pt idx="19">
                  <c:v>17.922190206480014</c:v>
                </c:pt>
                <c:pt idx="20">
                  <c:v>18.282255401760011</c:v>
                </c:pt>
                <c:pt idx="21">
                  <c:v>18.616575731040015</c:v>
                </c:pt>
                <c:pt idx="22">
                  <c:v>19.260871352800013</c:v>
                </c:pt>
                <c:pt idx="23">
                  <c:v>19.680914551200015</c:v>
                </c:pt>
                <c:pt idx="24">
                  <c:v>20.27305246064001</c:v>
                </c:pt>
                <c:pt idx="25">
                  <c:v>20.563976296640003</c:v>
                </c:pt>
                <c:pt idx="26">
                  <c:v>20.913040042160013</c:v>
                </c:pt>
                <c:pt idx="27">
                  <c:v>21.260426984160009</c:v>
                </c:pt>
                <c:pt idx="28">
                  <c:v>21.618858492000008</c:v>
                </c:pt>
                <c:pt idx="29">
                  <c:v>21.882322364000007</c:v>
                </c:pt>
                <c:pt idx="30">
                  <c:v>22.139380956000007</c:v>
                </c:pt>
                <c:pt idx="31">
                  <c:v>22.390618614560012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41-4C0D-B0CF-05A403C09E33}"/>
            </c:ext>
          </c:extLst>
        </c:ser>
        <c:ser>
          <c:idx val="13"/>
          <c:order val="13"/>
          <c:tx>
            <c:v>Others</c:v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val>
            <c:numRef>
              <c:f>'Scenario 2'!$C$163:$AH$163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41-4C0D-B0CF-05A403C09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668288"/>
        <c:axId val="1257669928"/>
      </c:areaChart>
      <c:catAx>
        <c:axId val="125766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669928"/>
        <c:crosses val="autoZero"/>
        <c:auto val="1"/>
        <c:lblAlgn val="ctr"/>
        <c:lblOffset val="100"/>
        <c:noMultiLvlLbl val="0"/>
      </c:catAx>
      <c:valAx>
        <c:axId val="125766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668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Coal</c:v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'Scenario 2'!$C$111:$AH$111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'Scenario 2'!$C$112:$AH$112</c:f>
              <c:numCache>
                <c:formatCode>General</c:formatCode>
                <c:ptCount val="32"/>
                <c:pt idx="0">
                  <c:v>1086.8469095200001</c:v>
                </c:pt>
                <c:pt idx="1">
                  <c:v>1064.5649559999999</c:v>
                </c:pt>
                <c:pt idx="2">
                  <c:v>993.27435904000004</c:v>
                </c:pt>
                <c:pt idx="3">
                  <c:v>920.65656076000005</c:v>
                </c:pt>
                <c:pt idx="4">
                  <c:v>814.67102895999994</c:v>
                </c:pt>
                <c:pt idx="5">
                  <c:v>707.23311544000001</c:v>
                </c:pt>
                <c:pt idx="6">
                  <c:v>614.50424056000008</c:v>
                </c:pt>
                <c:pt idx="7">
                  <c:v>568.07186932000002</c:v>
                </c:pt>
                <c:pt idx="8">
                  <c:v>536.05742439999983</c:v>
                </c:pt>
                <c:pt idx="9">
                  <c:v>517.83319924000011</c:v>
                </c:pt>
                <c:pt idx="10">
                  <c:v>513.05026552000004</c:v>
                </c:pt>
                <c:pt idx="11">
                  <c:v>487.54111924000006</c:v>
                </c:pt>
                <c:pt idx="12">
                  <c:v>464.3796354399999</c:v>
                </c:pt>
                <c:pt idx="13">
                  <c:v>422.02491279999992</c:v>
                </c:pt>
                <c:pt idx="14">
                  <c:v>422.02491279999992</c:v>
                </c:pt>
                <c:pt idx="15">
                  <c:v>396.61127679999993</c:v>
                </c:pt>
                <c:pt idx="16">
                  <c:v>396.61127679999993</c:v>
                </c:pt>
                <c:pt idx="17">
                  <c:v>396.61127679999993</c:v>
                </c:pt>
                <c:pt idx="18">
                  <c:v>386.41375203999974</c:v>
                </c:pt>
                <c:pt idx="19">
                  <c:v>386.41375203999974</c:v>
                </c:pt>
                <c:pt idx="20">
                  <c:v>386.41375203999974</c:v>
                </c:pt>
                <c:pt idx="21">
                  <c:v>386.41375203999974</c:v>
                </c:pt>
                <c:pt idx="22">
                  <c:v>375.75287583999989</c:v>
                </c:pt>
                <c:pt idx="23">
                  <c:v>375.75287583999989</c:v>
                </c:pt>
                <c:pt idx="24">
                  <c:v>370.81220955999993</c:v>
                </c:pt>
                <c:pt idx="25">
                  <c:v>370.81220955999993</c:v>
                </c:pt>
                <c:pt idx="26">
                  <c:v>370.81220955999993</c:v>
                </c:pt>
                <c:pt idx="27">
                  <c:v>370.81220955999993</c:v>
                </c:pt>
                <c:pt idx="28">
                  <c:v>370.81220955999993</c:v>
                </c:pt>
                <c:pt idx="29">
                  <c:v>370.81220955999993</c:v>
                </c:pt>
                <c:pt idx="30">
                  <c:v>370.81220955999993</c:v>
                </c:pt>
                <c:pt idx="31">
                  <c:v>370.81220955999993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4E-4543-A4CC-C706415D20A5}"/>
            </c:ext>
          </c:extLst>
        </c:ser>
        <c:ser>
          <c:idx val="1"/>
          <c:order val="1"/>
          <c:tx>
            <c:v>Coal CCS</c:v>
          </c:tx>
          <c:spPr>
            <a:solidFill>
              <a:schemeClr val="accent2"/>
            </a:solidFill>
            <a:ln w="25400">
              <a:noFill/>
            </a:ln>
            <a:effectLst/>
          </c:spPr>
          <c:val>
            <c:numRef>
              <c:f>'Scenario 2'!$C$113:$AH$113</c:f>
              <c:numCache>
                <c:formatCode>General</c:formatCode>
                <c:ptCount val="32"/>
                <c:pt idx="0">
                  <c:v>93.813291399999287</c:v>
                </c:pt>
                <c:pt idx="1">
                  <c:v>93.813291399999287</c:v>
                </c:pt>
                <c:pt idx="2">
                  <c:v>93.813291399999287</c:v>
                </c:pt>
                <c:pt idx="3">
                  <c:v>93.813291399999287</c:v>
                </c:pt>
                <c:pt idx="4">
                  <c:v>93.813291399999287</c:v>
                </c:pt>
                <c:pt idx="5">
                  <c:v>93.813291399999287</c:v>
                </c:pt>
                <c:pt idx="6">
                  <c:v>93.813291399999287</c:v>
                </c:pt>
                <c:pt idx="7">
                  <c:v>93.813291399999287</c:v>
                </c:pt>
                <c:pt idx="8">
                  <c:v>93.813291399999287</c:v>
                </c:pt>
                <c:pt idx="9">
                  <c:v>93.813291399999287</c:v>
                </c:pt>
                <c:pt idx="10">
                  <c:v>93.813291399999287</c:v>
                </c:pt>
                <c:pt idx="11">
                  <c:v>93.813291399999287</c:v>
                </c:pt>
                <c:pt idx="12">
                  <c:v>93.813291399999287</c:v>
                </c:pt>
                <c:pt idx="13">
                  <c:v>93.813291399999287</c:v>
                </c:pt>
                <c:pt idx="14">
                  <c:v>93.813291399999287</c:v>
                </c:pt>
                <c:pt idx="15">
                  <c:v>93.813291399999287</c:v>
                </c:pt>
                <c:pt idx="16">
                  <c:v>93.813291399999287</c:v>
                </c:pt>
                <c:pt idx="17">
                  <c:v>93.813291399999287</c:v>
                </c:pt>
                <c:pt idx="18">
                  <c:v>93.813291399999287</c:v>
                </c:pt>
                <c:pt idx="19">
                  <c:v>93.813291399999287</c:v>
                </c:pt>
                <c:pt idx="20">
                  <c:v>93.813291399999287</c:v>
                </c:pt>
                <c:pt idx="21">
                  <c:v>93.813291399999287</c:v>
                </c:pt>
                <c:pt idx="22">
                  <c:v>93.813291399999287</c:v>
                </c:pt>
                <c:pt idx="23">
                  <c:v>93.813291399999287</c:v>
                </c:pt>
                <c:pt idx="24">
                  <c:v>93.813291399999287</c:v>
                </c:pt>
                <c:pt idx="25">
                  <c:v>93.813291399999287</c:v>
                </c:pt>
                <c:pt idx="26">
                  <c:v>93.813291399999287</c:v>
                </c:pt>
                <c:pt idx="27">
                  <c:v>93.813291399999287</c:v>
                </c:pt>
                <c:pt idx="28">
                  <c:v>93.813291399999287</c:v>
                </c:pt>
                <c:pt idx="29">
                  <c:v>93.813291399999287</c:v>
                </c:pt>
                <c:pt idx="30">
                  <c:v>93.813291399999287</c:v>
                </c:pt>
                <c:pt idx="31">
                  <c:v>93.813291399999287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4E-4543-A4CC-C706415D20A5}"/>
            </c:ext>
          </c:extLst>
        </c:ser>
        <c:ser>
          <c:idx val="2"/>
          <c:order val="2"/>
          <c:tx>
            <c:v>Gas CT</c:v>
          </c:tx>
          <c:spPr>
            <a:solidFill>
              <a:schemeClr val="accent3"/>
            </a:solidFill>
            <a:ln w="25400">
              <a:noFill/>
            </a:ln>
            <a:effectLst/>
          </c:spPr>
          <c:val>
            <c:numRef>
              <c:f>'Scenario 2'!$C$114:$AH$114</c:f>
              <c:numCache>
                <c:formatCode>General</c:formatCode>
                <c:ptCount val="32"/>
                <c:pt idx="0">
                  <c:v>724.11517600000002</c:v>
                </c:pt>
                <c:pt idx="1">
                  <c:v>716.808898</c:v>
                </c:pt>
                <c:pt idx="2">
                  <c:v>675.27160162000007</c:v>
                </c:pt>
                <c:pt idx="3">
                  <c:v>665.22256762000006</c:v>
                </c:pt>
                <c:pt idx="4">
                  <c:v>648.65652724000006</c:v>
                </c:pt>
                <c:pt idx="5">
                  <c:v>632.77639485999998</c:v>
                </c:pt>
                <c:pt idx="6">
                  <c:v>624.24503523999999</c:v>
                </c:pt>
                <c:pt idx="7">
                  <c:v>600.31623676000004</c:v>
                </c:pt>
                <c:pt idx="8">
                  <c:v>596.59322800000007</c:v>
                </c:pt>
                <c:pt idx="9">
                  <c:v>588.05003362000002</c:v>
                </c:pt>
                <c:pt idx="10">
                  <c:v>573.41075524000007</c:v>
                </c:pt>
                <c:pt idx="11">
                  <c:v>573.15846724000005</c:v>
                </c:pt>
                <c:pt idx="12">
                  <c:v>570.42183010000008</c:v>
                </c:pt>
                <c:pt idx="13">
                  <c:v>570.42183010000008</c:v>
                </c:pt>
                <c:pt idx="14">
                  <c:v>569.39254762000007</c:v>
                </c:pt>
                <c:pt idx="15">
                  <c:v>569.04215638000005</c:v>
                </c:pt>
                <c:pt idx="16">
                  <c:v>568.6085407600001</c:v>
                </c:pt>
                <c:pt idx="17">
                  <c:v>566.69271562000006</c:v>
                </c:pt>
                <c:pt idx="18">
                  <c:v>566.69271562000006</c:v>
                </c:pt>
                <c:pt idx="19">
                  <c:v>563.13615124000012</c:v>
                </c:pt>
                <c:pt idx="20">
                  <c:v>563.13615124000012</c:v>
                </c:pt>
                <c:pt idx="21">
                  <c:v>562.23124324000003</c:v>
                </c:pt>
                <c:pt idx="22">
                  <c:v>550.24755448000008</c:v>
                </c:pt>
                <c:pt idx="23">
                  <c:v>548.22838762000003</c:v>
                </c:pt>
                <c:pt idx="24">
                  <c:v>547.31733886000006</c:v>
                </c:pt>
                <c:pt idx="25">
                  <c:v>547.31733886000006</c:v>
                </c:pt>
                <c:pt idx="26">
                  <c:v>545.97443085999998</c:v>
                </c:pt>
                <c:pt idx="27">
                  <c:v>544.97141086000011</c:v>
                </c:pt>
                <c:pt idx="28">
                  <c:v>544.97141086000011</c:v>
                </c:pt>
                <c:pt idx="29">
                  <c:v>544.97141086000011</c:v>
                </c:pt>
                <c:pt idx="30">
                  <c:v>544.97141086000011</c:v>
                </c:pt>
                <c:pt idx="31">
                  <c:v>544.97141086000011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4E-4543-A4CC-C706415D20A5}"/>
            </c:ext>
          </c:extLst>
        </c:ser>
        <c:ser>
          <c:idx val="3"/>
          <c:order val="3"/>
          <c:tx>
            <c:v>Gas CC</c:v>
          </c:tx>
          <c:spPr>
            <a:solidFill>
              <a:schemeClr val="accent4"/>
            </a:solidFill>
            <a:ln w="25400">
              <a:noFill/>
            </a:ln>
            <a:effectLst/>
          </c:spPr>
          <c:val>
            <c:numRef>
              <c:f>'Scenario 2'!$C$115:$AH$115</c:f>
              <c:numCache>
                <c:formatCode>General</c:formatCode>
                <c:ptCount val="32"/>
                <c:pt idx="0">
                  <c:v>725.83126000000004</c:v>
                </c:pt>
                <c:pt idx="1">
                  <c:v>719.16095800000005</c:v>
                </c:pt>
                <c:pt idx="2">
                  <c:v>680.69842162000009</c:v>
                </c:pt>
                <c:pt idx="3">
                  <c:v>657.61625962000005</c:v>
                </c:pt>
                <c:pt idx="4">
                  <c:v>641.42482312000004</c:v>
                </c:pt>
                <c:pt idx="5">
                  <c:v>621.45493582000006</c:v>
                </c:pt>
                <c:pt idx="6">
                  <c:v>609.09896896000009</c:v>
                </c:pt>
                <c:pt idx="7">
                  <c:v>592.27015047999998</c:v>
                </c:pt>
                <c:pt idx="8">
                  <c:v>586.42720420000001</c:v>
                </c:pt>
                <c:pt idx="9">
                  <c:v>582.87897057999999</c:v>
                </c:pt>
                <c:pt idx="10">
                  <c:v>575.68130344000008</c:v>
                </c:pt>
                <c:pt idx="11">
                  <c:v>573.70154344000002</c:v>
                </c:pt>
                <c:pt idx="12">
                  <c:v>570.84840706</c:v>
                </c:pt>
                <c:pt idx="13">
                  <c:v>566.38080706000005</c:v>
                </c:pt>
                <c:pt idx="14">
                  <c:v>565.30772458000001</c:v>
                </c:pt>
                <c:pt idx="15">
                  <c:v>561.72489334000011</c:v>
                </c:pt>
                <c:pt idx="16">
                  <c:v>550.17834172000005</c:v>
                </c:pt>
                <c:pt idx="17">
                  <c:v>547.12284934000002</c:v>
                </c:pt>
                <c:pt idx="18">
                  <c:v>547.12284934000002</c:v>
                </c:pt>
                <c:pt idx="19">
                  <c:v>536.25693220000005</c:v>
                </c:pt>
                <c:pt idx="20">
                  <c:v>534.10197220000009</c:v>
                </c:pt>
                <c:pt idx="21">
                  <c:v>534.10197220000009</c:v>
                </c:pt>
                <c:pt idx="22">
                  <c:v>533.1296122</c:v>
                </c:pt>
                <c:pt idx="23">
                  <c:v>526.99323658000003</c:v>
                </c:pt>
                <c:pt idx="24">
                  <c:v>511.85595658000005</c:v>
                </c:pt>
                <c:pt idx="25">
                  <c:v>511.85595658000005</c:v>
                </c:pt>
                <c:pt idx="26">
                  <c:v>508.53590782000003</c:v>
                </c:pt>
                <c:pt idx="27">
                  <c:v>504.49753906000007</c:v>
                </c:pt>
                <c:pt idx="28">
                  <c:v>498.49782382000006</c:v>
                </c:pt>
                <c:pt idx="29">
                  <c:v>498.49782382000006</c:v>
                </c:pt>
                <c:pt idx="30">
                  <c:v>498.49782382000006</c:v>
                </c:pt>
                <c:pt idx="31">
                  <c:v>498.46979182000007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4E-4543-A4CC-C706415D20A5}"/>
            </c:ext>
          </c:extLst>
        </c:ser>
        <c:ser>
          <c:idx val="4"/>
          <c:order val="4"/>
          <c:tx>
            <c:v>Gas CCS</c:v>
          </c:tx>
          <c:spPr>
            <a:solidFill>
              <a:schemeClr val="accent5"/>
            </a:solidFill>
            <a:ln w="25400">
              <a:noFill/>
            </a:ln>
            <a:effectLst/>
          </c:spPr>
          <c:val>
            <c:numRef>
              <c:f>'Scenario 2'!$C$116:$AH$116</c:f>
              <c:numCache>
                <c:formatCode>General</c:formatCode>
                <c:ptCount val="32"/>
                <c:pt idx="0">
                  <c:v>212.20500000000001</c:v>
                </c:pt>
                <c:pt idx="1">
                  <c:v>212.20500000000001</c:v>
                </c:pt>
                <c:pt idx="2">
                  <c:v>318.17297459999997</c:v>
                </c:pt>
                <c:pt idx="3">
                  <c:v>339.98624248000044</c:v>
                </c:pt>
                <c:pt idx="4">
                  <c:v>355.45800199999985</c:v>
                </c:pt>
                <c:pt idx="5">
                  <c:v>355.45800199999985</c:v>
                </c:pt>
                <c:pt idx="6">
                  <c:v>471.15280460000042</c:v>
                </c:pt>
                <c:pt idx="7">
                  <c:v>541.11728255999992</c:v>
                </c:pt>
                <c:pt idx="8">
                  <c:v>554.82433703999948</c:v>
                </c:pt>
                <c:pt idx="9">
                  <c:v>556.4535181199999</c:v>
                </c:pt>
                <c:pt idx="10">
                  <c:v>556.4535181199999</c:v>
                </c:pt>
                <c:pt idx="11">
                  <c:v>556.4535181199999</c:v>
                </c:pt>
                <c:pt idx="12">
                  <c:v>556.4535181199999</c:v>
                </c:pt>
                <c:pt idx="13">
                  <c:v>584.09370671999989</c:v>
                </c:pt>
                <c:pt idx="14">
                  <c:v>584.09370671999989</c:v>
                </c:pt>
                <c:pt idx="15">
                  <c:v>584.09370671999989</c:v>
                </c:pt>
                <c:pt idx="16">
                  <c:v>584.09370671999989</c:v>
                </c:pt>
                <c:pt idx="17">
                  <c:v>584.09370671999989</c:v>
                </c:pt>
                <c:pt idx="18">
                  <c:v>584.09370671999989</c:v>
                </c:pt>
                <c:pt idx="19">
                  <c:v>584.09370671999989</c:v>
                </c:pt>
                <c:pt idx="20">
                  <c:v>584.09370671999989</c:v>
                </c:pt>
                <c:pt idx="21">
                  <c:v>584.09370671999989</c:v>
                </c:pt>
                <c:pt idx="22">
                  <c:v>584.09370671999989</c:v>
                </c:pt>
                <c:pt idx="23">
                  <c:v>584.09370671999989</c:v>
                </c:pt>
                <c:pt idx="24">
                  <c:v>584.09370671999989</c:v>
                </c:pt>
                <c:pt idx="25">
                  <c:v>584.09370671999989</c:v>
                </c:pt>
                <c:pt idx="26">
                  <c:v>584.09370671999989</c:v>
                </c:pt>
                <c:pt idx="27">
                  <c:v>584.09370671999989</c:v>
                </c:pt>
                <c:pt idx="28">
                  <c:v>584.09370671999989</c:v>
                </c:pt>
                <c:pt idx="29">
                  <c:v>584.09370671999989</c:v>
                </c:pt>
                <c:pt idx="30">
                  <c:v>584.09370671999989</c:v>
                </c:pt>
                <c:pt idx="31">
                  <c:v>584.09370671999989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4E-4543-A4CC-C706415D20A5}"/>
            </c:ext>
          </c:extLst>
        </c:ser>
        <c:ser>
          <c:idx val="5"/>
          <c:order val="5"/>
          <c:tx>
            <c:v>Solar PV</c:v>
          </c:tx>
          <c:spPr>
            <a:solidFill>
              <a:schemeClr val="accent6"/>
            </a:solidFill>
            <a:ln w="25400">
              <a:noFill/>
            </a:ln>
            <a:effectLst/>
          </c:spPr>
          <c:val>
            <c:numRef>
              <c:f>'Scenario 2'!$C$117:$AH$117</c:f>
              <c:numCache>
                <c:formatCode>General</c:formatCode>
                <c:ptCount val="32"/>
                <c:pt idx="0">
                  <c:v>77.214188000000007</c:v>
                </c:pt>
                <c:pt idx="1">
                  <c:v>96.167928000000003</c:v>
                </c:pt>
                <c:pt idx="2">
                  <c:v>118.91300000000001</c:v>
                </c:pt>
                <c:pt idx="3">
                  <c:v>148.454058</c:v>
                </c:pt>
                <c:pt idx="4">
                  <c:v>189.84272480000001</c:v>
                </c:pt>
                <c:pt idx="5">
                  <c:v>251.91660000000002</c:v>
                </c:pt>
                <c:pt idx="6">
                  <c:v>251.91295000000002</c:v>
                </c:pt>
                <c:pt idx="7">
                  <c:v>251.91003000000001</c:v>
                </c:pt>
                <c:pt idx="8">
                  <c:v>251.91003000000001</c:v>
                </c:pt>
                <c:pt idx="9">
                  <c:v>251.91003000000001</c:v>
                </c:pt>
                <c:pt idx="10">
                  <c:v>251.80053000000001</c:v>
                </c:pt>
                <c:pt idx="11">
                  <c:v>251.80053000000001</c:v>
                </c:pt>
                <c:pt idx="12">
                  <c:v>251.80053000000001</c:v>
                </c:pt>
                <c:pt idx="13">
                  <c:v>251.80053000000001</c:v>
                </c:pt>
                <c:pt idx="14">
                  <c:v>251.80053000000001</c:v>
                </c:pt>
                <c:pt idx="15">
                  <c:v>251.80053000000001</c:v>
                </c:pt>
                <c:pt idx="16">
                  <c:v>251.80053000000001</c:v>
                </c:pt>
                <c:pt idx="17">
                  <c:v>251.80053000000001</c:v>
                </c:pt>
                <c:pt idx="18">
                  <c:v>251.80053000000001</c:v>
                </c:pt>
                <c:pt idx="19">
                  <c:v>251.80053000000001</c:v>
                </c:pt>
                <c:pt idx="20">
                  <c:v>251.80053000000001</c:v>
                </c:pt>
                <c:pt idx="21">
                  <c:v>251.80053000000001</c:v>
                </c:pt>
                <c:pt idx="22">
                  <c:v>251.80053000000001</c:v>
                </c:pt>
                <c:pt idx="23">
                  <c:v>251.80053000000001</c:v>
                </c:pt>
                <c:pt idx="24">
                  <c:v>251.80053000000001</c:v>
                </c:pt>
                <c:pt idx="25">
                  <c:v>251.80053000000001</c:v>
                </c:pt>
                <c:pt idx="26">
                  <c:v>251.80053000000001</c:v>
                </c:pt>
                <c:pt idx="27">
                  <c:v>251.80053000000001</c:v>
                </c:pt>
                <c:pt idx="28">
                  <c:v>251.73775000000001</c:v>
                </c:pt>
                <c:pt idx="29">
                  <c:v>251.73775000000001</c:v>
                </c:pt>
                <c:pt idx="30">
                  <c:v>251.73775000000001</c:v>
                </c:pt>
                <c:pt idx="31">
                  <c:v>251.73775000000001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4E-4543-A4CC-C706415D20A5}"/>
            </c:ext>
          </c:extLst>
        </c:ser>
        <c:ser>
          <c:idx val="6"/>
          <c:order val="6"/>
          <c:tx>
            <c:v>Solar CSP</c:v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'Scenario 2'!$C$118:$AH$118</c:f>
              <c:numCache>
                <c:formatCode>General</c:formatCode>
                <c:ptCount val="32"/>
                <c:pt idx="0">
                  <c:v>3.807188</c:v>
                </c:pt>
                <c:pt idx="1">
                  <c:v>3.8057280000000002</c:v>
                </c:pt>
                <c:pt idx="2">
                  <c:v>3.8045600000000004</c:v>
                </c:pt>
                <c:pt idx="3">
                  <c:v>3.775506</c:v>
                </c:pt>
                <c:pt idx="4">
                  <c:v>3.766016</c:v>
                </c:pt>
                <c:pt idx="5">
                  <c:v>3.7426560000000002</c:v>
                </c:pt>
                <c:pt idx="6">
                  <c:v>3.7390060000000003</c:v>
                </c:pt>
                <c:pt idx="7">
                  <c:v>3.7360860000000002</c:v>
                </c:pt>
                <c:pt idx="8">
                  <c:v>3.7360860000000002</c:v>
                </c:pt>
                <c:pt idx="9">
                  <c:v>3.7360860000000002</c:v>
                </c:pt>
                <c:pt idx="10">
                  <c:v>3.6265860000000001</c:v>
                </c:pt>
                <c:pt idx="11">
                  <c:v>3.6265860000000001</c:v>
                </c:pt>
                <c:pt idx="12">
                  <c:v>3.6265860000000001</c:v>
                </c:pt>
                <c:pt idx="13">
                  <c:v>3.6265860000000001</c:v>
                </c:pt>
                <c:pt idx="14">
                  <c:v>3.6265860000000001</c:v>
                </c:pt>
                <c:pt idx="15">
                  <c:v>3.6265860000000001</c:v>
                </c:pt>
                <c:pt idx="16">
                  <c:v>3.6265860000000001</c:v>
                </c:pt>
                <c:pt idx="17">
                  <c:v>3.6265860000000001</c:v>
                </c:pt>
                <c:pt idx="18">
                  <c:v>3.6265860000000001</c:v>
                </c:pt>
                <c:pt idx="19">
                  <c:v>3.6265860000000001</c:v>
                </c:pt>
                <c:pt idx="20">
                  <c:v>3.6265860000000001</c:v>
                </c:pt>
                <c:pt idx="21">
                  <c:v>3.6265860000000001</c:v>
                </c:pt>
                <c:pt idx="22">
                  <c:v>3.6265860000000001</c:v>
                </c:pt>
                <c:pt idx="23">
                  <c:v>3.6265860000000001</c:v>
                </c:pt>
                <c:pt idx="24">
                  <c:v>3.6265860000000001</c:v>
                </c:pt>
                <c:pt idx="25">
                  <c:v>3.6265860000000001</c:v>
                </c:pt>
                <c:pt idx="26">
                  <c:v>3.6265860000000001</c:v>
                </c:pt>
                <c:pt idx="27">
                  <c:v>3.6265860000000001</c:v>
                </c:pt>
                <c:pt idx="28">
                  <c:v>3.563806</c:v>
                </c:pt>
                <c:pt idx="29">
                  <c:v>3.563806</c:v>
                </c:pt>
                <c:pt idx="30">
                  <c:v>3.563806</c:v>
                </c:pt>
                <c:pt idx="31">
                  <c:v>3.563806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64E-4543-A4CC-C706415D20A5}"/>
            </c:ext>
          </c:extLst>
        </c:ser>
        <c:ser>
          <c:idx val="7"/>
          <c:order val="7"/>
          <c:tx>
            <c:v>Wind On</c:v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'Scenario 2'!$C$119:$AH$119</c:f>
              <c:numCache>
                <c:formatCode>General</c:formatCode>
                <c:ptCount val="32"/>
                <c:pt idx="0">
                  <c:v>308.90618799999999</c:v>
                </c:pt>
                <c:pt idx="1">
                  <c:v>348.806128</c:v>
                </c:pt>
                <c:pt idx="2">
                  <c:v>396.68664000000001</c:v>
                </c:pt>
                <c:pt idx="3">
                  <c:v>458.90377000000007</c:v>
                </c:pt>
                <c:pt idx="4">
                  <c:v>546.03893760000005</c:v>
                </c:pt>
                <c:pt idx="5">
                  <c:v>646.01557760000014</c:v>
                </c:pt>
                <c:pt idx="6">
                  <c:v>646.01192760000004</c:v>
                </c:pt>
                <c:pt idx="7">
                  <c:v>646.00900760000013</c:v>
                </c:pt>
                <c:pt idx="8">
                  <c:v>646.00900760000013</c:v>
                </c:pt>
                <c:pt idx="9">
                  <c:v>646.00900760000013</c:v>
                </c:pt>
                <c:pt idx="10">
                  <c:v>645.89950760000011</c:v>
                </c:pt>
                <c:pt idx="11">
                  <c:v>645.89950760000011</c:v>
                </c:pt>
                <c:pt idx="12">
                  <c:v>645.89950760000011</c:v>
                </c:pt>
                <c:pt idx="13">
                  <c:v>645.89950760000011</c:v>
                </c:pt>
                <c:pt idx="14">
                  <c:v>645.89950760000011</c:v>
                </c:pt>
                <c:pt idx="15">
                  <c:v>645.89950760000011</c:v>
                </c:pt>
                <c:pt idx="16">
                  <c:v>645.89950760000011</c:v>
                </c:pt>
                <c:pt idx="17">
                  <c:v>645.89950760000011</c:v>
                </c:pt>
                <c:pt idx="18">
                  <c:v>645.89950760000011</c:v>
                </c:pt>
                <c:pt idx="19">
                  <c:v>645.89950760000011</c:v>
                </c:pt>
                <c:pt idx="20">
                  <c:v>645.89950760000011</c:v>
                </c:pt>
                <c:pt idx="21">
                  <c:v>645.89950760000011</c:v>
                </c:pt>
                <c:pt idx="22">
                  <c:v>645.89950760000011</c:v>
                </c:pt>
                <c:pt idx="23">
                  <c:v>645.89950760000011</c:v>
                </c:pt>
                <c:pt idx="24">
                  <c:v>645.89950760000011</c:v>
                </c:pt>
                <c:pt idx="25">
                  <c:v>645.89950760000011</c:v>
                </c:pt>
                <c:pt idx="26">
                  <c:v>645.89950760000011</c:v>
                </c:pt>
                <c:pt idx="27">
                  <c:v>645.89950760000011</c:v>
                </c:pt>
                <c:pt idx="28">
                  <c:v>645.83672760000013</c:v>
                </c:pt>
                <c:pt idx="29">
                  <c:v>645.83672760000013</c:v>
                </c:pt>
                <c:pt idx="30">
                  <c:v>645.83672760000013</c:v>
                </c:pt>
                <c:pt idx="31">
                  <c:v>645.83672760000013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64E-4543-A4CC-C706415D20A5}"/>
            </c:ext>
          </c:extLst>
        </c:ser>
        <c:ser>
          <c:idx val="8"/>
          <c:order val="8"/>
          <c:tx>
            <c:v>Wind Off</c:v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'Scenario 2'!$C$120:$AH$120</c:f>
              <c:numCache>
                <c:formatCode>General</c:formatCode>
                <c:ptCount val="32"/>
                <c:pt idx="0">
                  <c:v>7.0000000000000001E-3</c:v>
                </c:pt>
                <c:pt idx="1">
                  <c:v>7.0000000000000001E-3</c:v>
                </c:pt>
                <c:pt idx="2">
                  <c:v>1.6240000000000001E-2</c:v>
                </c:pt>
                <c:pt idx="3">
                  <c:v>2.8252000000000003E-2</c:v>
                </c:pt>
                <c:pt idx="4">
                  <c:v>4.5068800000000006E-2</c:v>
                </c:pt>
                <c:pt idx="5">
                  <c:v>4.5068800000000006E-2</c:v>
                </c:pt>
                <c:pt idx="6">
                  <c:v>4.5068800000000006E-2</c:v>
                </c:pt>
                <c:pt idx="7">
                  <c:v>4.5068800000000006E-2</c:v>
                </c:pt>
                <c:pt idx="8">
                  <c:v>4.5068800000000006E-2</c:v>
                </c:pt>
                <c:pt idx="9">
                  <c:v>4.5068800000000006E-2</c:v>
                </c:pt>
                <c:pt idx="10">
                  <c:v>4.5068800000000006E-2</c:v>
                </c:pt>
                <c:pt idx="11">
                  <c:v>4.5068800000000006E-2</c:v>
                </c:pt>
                <c:pt idx="12">
                  <c:v>4.5068800000000006E-2</c:v>
                </c:pt>
                <c:pt idx="13">
                  <c:v>4.5068800000000006E-2</c:v>
                </c:pt>
                <c:pt idx="14">
                  <c:v>4.5068800000000006E-2</c:v>
                </c:pt>
                <c:pt idx="15">
                  <c:v>4.5068800000000006E-2</c:v>
                </c:pt>
                <c:pt idx="16">
                  <c:v>4.5068800000000006E-2</c:v>
                </c:pt>
                <c:pt idx="17">
                  <c:v>4.5068800000000006E-2</c:v>
                </c:pt>
                <c:pt idx="18">
                  <c:v>4.5068800000000006E-2</c:v>
                </c:pt>
                <c:pt idx="19">
                  <c:v>4.5068800000000006E-2</c:v>
                </c:pt>
                <c:pt idx="20">
                  <c:v>4.5068800000000006E-2</c:v>
                </c:pt>
                <c:pt idx="21">
                  <c:v>4.5068800000000006E-2</c:v>
                </c:pt>
                <c:pt idx="22">
                  <c:v>4.5068800000000006E-2</c:v>
                </c:pt>
                <c:pt idx="23">
                  <c:v>4.5068800000000006E-2</c:v>
                </c:pt>
                <c:pt idx="24">
                  <c:v>4.5068800000000006E-2</c:v>
                </c:pt>
                <c:pt idx="25">
                  <c:v>4.5068800000000006E-2</c:v>
                </c:pt>
                <c:pt idx="26">
                  <c:v>4.5068800000000006E-2</c:v>
                </c:pt>
                <c:pt idx="27">
                  <c:v>4.5068800000000006E-2</c:v>
                </c:pt>
                <c:pt idx="28">
                  <c:v>4.5068800000000006E-2</c:v>
                </c:pt>
                <c:pt idx="29">
                  <c:v>4.5068800000000006E-2</c:v>
                </c:pt>
                <c:pt idx="30">
                  <c:v>4.5068800000000006E-2</c:v>
                </c:pt>
                <c:pt idx="31">
                  <c:v>4.5068800000000006E-2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64E-4543-A4CC-C706415D20A5}"/>
            </c:ext>
          </c:extLst>
        </c:ser>
        <c:ser>
          <c:idx val="9"/>
          <c:order val="9"/>
          <c:tx>
            <c:v>Nuclear</c:v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'Scenario 2'!$C$121:$AH$121</c:f>
              <c:numCache>
                <c:formatCode>General</c:formatCode>
                <c:ptCount val="32"/>
                <c:pt idx="0">
                  <c:v>864.42920000000004</c:v>
                </c:pt>
                <c:pt idx="1">
                  <c:v>847.83425599999998</c:v>
                </c:pt>
                <c:pt idx="2">
                  <c:v>799.99852399999997</c:v>
                </c:pt>
                <c:pt idx="3">
                  <c:v>768.80589848</c:v>
                </c:pt>
                <c:pt idx="4">
                  <c:v>739.17521599999998</c:v>
                </c:pt>
                <c:pt idx="5">
                  <c:v>739.17521599999998</c:v>
                </c:pt>
                <c:pt idx="6">
                  <c:v>710.93821447999994</c:v>
                </c:pt>
                <c:pt idx="7">
                  <c:v>701.14453447999995</c:v>
                </c:pt>
                <c:pt idx="8">
                  <c:v>701.14453447999995</c:v>
                </c:pt>
                <c:pt idx="9">
                  <c:v>701.14453447999995</c:v>
                </c:pt>
                <c:pt idx="10">
                  <c:v>701.14453447999995</c:v>
                </c:pt>
                <c:pt idx="11">
                  <c:v>701.14453447999995</c:v>
                </c:pt>
                <c:pt idx="12">
                  <c:v>701.14453447999995</c:v>
                </c:pt>
                <c:pt idx="13">
                  <c:v>688.59146324000005</c:v>
                </c:pt>
                <c:pt idx="14">
                  <c:v>688.59146324000005</c:v>
                </c:pt>
                <c:pt idx="15">
                  <c:v>688.59146324000005</c:v>
                </c:pt>
                <c:pt idx="16">
                  <c:v>688.59146324000005</c:v>
                </c:pt>
                <c:pt idx="17">
                  <c:v>688.59146324000005</c:v>
                </c:pt>
                <c:pt idx="18">
                  <c:v>688.59146324000005</c:v>
                </c:pt>
                <c:pt idx="19">
                  <c:v>688.59146324000005</c:v>
                </c:pt>
                <c:pt idx="20">
                  <c:v>688.59146324000005</c:v>
                </c:pt>
                <c:pt idx="21">
                  <c:v>688.59146324000005</c:v>
                </c:pt>
                <c:pt idx="22">
                  <c:v>688.59146324000005</c:v>
                </c:pt>
                <c:pt idx="23">
                  <c:v>688.59146324000005</c:v>
                </c:pt>
                <c:pt idx="24">
                  <c:v>688.59146324000005</c:v>
                </c:pt>
                <c:pt idx="25">
                  <c:v>688.59146324000005</c:v>
                </c:pt>
                <c:pt idx="26">
                  <c:v>688.59146324000005</c:v>
                </c:pt>
                <c:pt idx="27">
                  <c:v>688.59146324000005</c:v>
                </c:pt>
                <c:pt idx="28">
                  <c:v>688.59146324000005</c:v>
                </c:pt>
                <c:pt idx="29">
                  <c:v>688.59146324000005</c:v>
                </c:pt>
                <c:pt idx="30">
                  <c:v>688.59146324000005</c:v>
                </c:pt>
                <c:pt idx="31">
                  <c:v>688.59146324000005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64E-4543-A4CC-C706415D20A5}"/>
            </c:ext>
          </c:extLst>
        </c:ser>
        <c:ser>
          <c:idx val="10"/>
          <c:order val="10"/>
          <c:tx>
            <c:v>Geotherm</c:v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'Scenario 2'!$C$122:$AH$122</c:f>
              <c:numCache>
                <c:formatCode>General</c:formatCode>
                <c:ptCount val="32"/>
                <c:pt idx="0">
                  <c:v>20.249188</c:v>
                </c:pt>
                <c:pt idx="1">
                  <c:v>20.247727999999999</c:v>
                </c:pt>
                <c:pt idx="2">
                  <c:v>20.246559999999999</c:v>
                </c:pt>
                <c:pt idx="3">
                  <c:v>20.217506</c:v>
                </c:pt>
                <c:pt idx="4">
                  <c:v>20.208016000000001</c:v>
                </c:pt>
                <c:pt idx="5">
                  <c:v>20.184656</c:v>
                </c:pt>
                <c:pt idx="6">
                  <c:v>20.181006000000004</c:v>
                </c:pt>
                <c:pt idx="7">
                  <c:v>20.178086</c:v>
                </c:pt>
                <c:pt idx="8">
                  <c:v>20.178086</c:v>
                </c:pt>
                <c:pt idx="9">
                  <c:v>20.178086</c:v>
                </c:pt>
                <c:pt idx="10">
                  <c:v>20.068586000000003</c:v>
                </c:pt>
                <c:pt idx="11">
                  <c:v>20.068586000000003</c:v>
                </c:pt>
                <c:pt idx="12">
                  <c:v>20.068586000000003</c:v>
                </c:pt>
                <c:pt idx="13">
                  <c:v>20.068586000000003</c:v>
                </c:pt>
                <c:pt idx="14">
                  <c:v>20.068586000000003</c:v>
                </c:pt>
                <c:pt idx="15">
                  <c:v>20.068586000000003</c:v>
                </c:pt>
                <c:pt idx="16">
                  <c:v>20.068586000000003</c:v>
                </c:pt>
                <c:pt idx="17">
                  <c:v>20.068586000000003</c:v>
                </c:pt>
                <c:pt idx="18">
                  <c:v>20.068586000000003</c:v>
                </c:pt>
                <c:pt idx="19">
                  <c:v>20.068586000000003</c:v>
                </c:pt>
                <c:pt idx="20">
                  <c:v>20.068586000000003</c:v>
                </c:pt>
                <c:pt idx="21">
                  <c:v>20.068586000000003</c:v>
                </c:pt>
                <c:pt idx="22">
                  <c:v>20.068586000000003</c:v>
                </c:pt>
                <c:pt idx="23">
                  <c:v>20.068586000000003</c:v>
                </c:pt>
                <c:pt idx="24">
                  <c:v>20.068586000000003</c:v>
                </c:pt>
                <c:pt idx="25">
                  <c:v>20.068586000000003</c:v>
                </c:pt>
                <c:pt idx="26">
                  <c:v>20.068586000000003</c:v>
                </c:pt>
                <c:pt idx="27">
                  <c:v>20.068586000000003</c:v>
                </c:pt>
                <c:pt idx="28">
                  <c:v>20.005806000000003</c:v>
                </c:pt>
                <c:pt idx="29">
                  <c:v>20.005806000000003</c:v>
                </c:pt>
                <c:pt idx="30">
                  <c:v>20.005806000000003</c:v>
                </c:pt>
                <c:pt idx="31">
                  <c:v>20.005806000000003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64E-4543-A4CC-C706415D20A5}"/>
            </c:ext>
          </c:extLst>
        </c:ser>
        <c:ser>
          <c:idx val="11"/>
          <c:order val="11"/>
          <c:tx>
            <c:v>Biomass</c:v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'Scenario 2'!$C$123:$AH$123</c:f>
              <c:numCache>
                <c:formatCode>General</c:formatCode>
                <c:ptCount val="32"/>
                <c:pt idx="0">
                  <c:v>61.883188000000004</c:v>
                </c:pt>
                <c:pt idx="1">
                  <c:v>61.881728000000003</c:v>
                </c:pt>
                <c:pt idx="2">
                  <c:v>61.880560000000003</c:v>
                </c:pt>
                <c:pt idx="3">
                  <c:v>61.851506000000001</c:v>
                </c:pt>
                <c:pt idx="4">
                  <c:v>61.842016000000001</c:v>
                </c:pt>
                <c:pt idx="5">
                  <c:v>61.818656000000004</c:v>
                </c:pt>
                <c:pt idx="6">
                  <c:v>61.815006000000004</c:v>
                </c:pt>
                <c:pt idx="7">
                  <c:v>61.812086000000001</c:v>
                </c:pt>
                <c:pt idx="8">
                  <c:v>61.812086000000001</c:v>
                </c:pt>
                <c:pt idx="9">
                  <c:v>61.812086000000001</c:v>
                </c:pt>
                <c:pt idx="10">
                  <c:v>61.702586000000004</c:v>
                </c:pt>
                <c:pt idx="11">
                  <c:v>61.702586000000004</c:v>
                </c:pt>
                <c:pt idx="12">
                  <c:v>61.702586000000004</c:v>
                </c:pt>
                <c:pt idx="13">
                  <c:v>61.702586000000004</c:v>
                </c:pt>
                <c:pt idx="14">
                  <c:v>61.702586000000004</c:v>
                </c:pt>
                <c:pt idx="15">
                  <c:v>61.702586000000004</c:v>
                </c:pt>
                <c:pt idx="16">
                  <c:v>61.702586000000004</c:v>
                </c:pt>
                <c:pt idx="17">
                  <c:v>61.702586000000004</c:v>
                </c:pt>
                <c:pt idx="18">
                  <c:v>61.702586000000004</c:v>
                </c:pt>
                <c:pt idx="19">
                  <c:v>61.702586000000004</c:v>
                </c:pt>
                <c:pt idx="20">
                  <c:v>61.702586000000004</c:v>
                </c:pt>
                <c:pt idx="21">
                  <c:v>61.702586000000004</c:v>
                </c:pt>
                <c:pt idx="22">
                  <c:v>61.702586000000004</c:v>
                </c:pt>
                <c:pt idx="23">
                  <c:v>61.702586000000004</c:v>
                </c:pt>
                <c:pt idx="24">
                  <c:v>61.702586000000004</c:v>
                </c:pt>
                <c:pt idx="25">
                  <c:v>61.702586000000004</c:v>
                </c:pt>
                <c:pt idx="26">
                  <c:v>61.702586000000004</c:v>
                </c:pt>
                <c:pt idx="27">
                  <c:v>61.702586000000004</c:v>
                </c:pt>
                <c:pt idx="28">
                  <c:v>61.639806</c:v>
                </c:pt>
                <c:pt idx="29">
                  <c:v>61.639806</c:v>
                </c:pt>
                <c:pt idx="30">
                  <c:v>61.639806</c:v>
                </c:pt>
                <c:pt idx="31">
                  <c:v>61.639806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64E-4543-A4CC-C706415D20A5}"/>
            </c:ext>
          </c:extLst>
        </c:ser>
        <c:ser>
          <c:idx val="12"/>
          <c:order val="12"/>
          <c:tx>
            <c:v>Hydro</c:v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val>
            <c:numRef>
              <c:f>'Scenario 2'!$C$124:$AH$124</c:f>
              <c:numCache>
                <c:formatCode>General</c:formatCode>
                <c:ptCount val="32"/>
                <c:pt idx="0">
                  <c:v>352.40618799999999</c:v>
                </c:pt>
                <c:pt idx="1">
                  <c:v>384.76227000000023</c:v>
                </c:pt>
                <c:pt idx="2">
                  <c:v>444.6611020000002</c:v>
                </c:pt>
                <c:pt idx="3">
                  <c:v>504.5320480000002</c:v>
                </c:pt>
                <c:pt idx="4">
                  <c:v>564.42255800000021</c:v>
                </c:pt>
                <c:pt idx="5">
                  <c:v>580.33793800000069</c:v>
                </c:pt>
                <c:pt idx="6">
                  <c:v>640.23428800000067</c:v>
                </c:pt>
                <c:pt idx="7">
                  <c:v>700.13136800000063</c:v>
                </c:pt>
                <c:pt idx="8">
                  <c:v>760.03136800000061</c:v>
                </c:pt>
                <c:pt idx="9">
                  <c:v>819.93136800000059</c:v>
                </c:pt>
                <c:pt idx="10">
                  <c:v>877.51867800000048</c:v>
                </c:pt>
                <c:pt idx="11">
                  <c:v>934.90837060000069</c:v>
                </c:pt>
                <c:pt idx="12">
                  <c:v>992.55608564000124</c:v>
                </c:pt>
                <c:pt idx="13">
                  <c:v>1052.4560856400012</c:v>
                </c:pt>
                <c:pt idx="14">
                  <c:v>1082.0095690400008</c:v>
                </c:pt>
                <c:pt idx="15">
                  <c:v>1138.1164563200005</c:v>
                </c:pt>
                <c:pt idx="16">
                  <c:v>1176.1806163200008</c:v>
                </c:pt>
                <c:pt idx="17">
                  <c:v>1206.5803995600008</c:v>
                </c:pt>
                <c:pt idx="18">
                  <c:v>1241.5665606400007</c:v>
                </c:pt>
                <c:pt idx="19">
                  <c:v>1280.156443320001</c:v>
                </c:pt>
                <c:pt idx="20">
                  <c:v>1305.8753858400009</c:v>
                </c:pt>
                <c:pt idx="21">
                  <c:v>1329.7554093600011</c:v>
                </c:pt>
                <c:pt idx="22">
                  <c:v>1375.7765252000008</c:v>
                </c:pt>
                <c:pt idx="23">
                  <c:v>1405.7796108000011</c:v>
                </c:pt>
                <c:pt idx="24">
                  <c:v>1448.0751757600005</c:v>
                </c:pt>
                <c:pt idx="25">
                  <c:v>1468.8554497600003</c:v>
                </c:pt>
                <c:pt idx="26">
                  <c:v>1493.788574440001</c:v>
                </c:pt>
                <c:pt idx="27">
                  <c:v>1518.6019274400005</c:v>
                </c:pt>
                <c:pt idx="28">
                  <c:v>1544.2041780000006</c:v>
                </c:pt>
                <c:pt idx="29">
                  <c:v>1563.0230260000005</c:v>
                </c:pt>
                <c:pt idx="30">
                  <c:v>1581.3843540000005</c:v>
                </c:pt>
                <c:pt idx="31">
                  <c:v>1599.3299010400008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64E-4543-A4CC-C706415D20A5}"/>
            </c:ext>
          </c:extLst>
        </c:ser>
        <c:ser>
          <c:idx val="13"/>
          <c:order val="13"/>
          <c:tx>
            <c:v>Others</c:v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val>
            <c:numRef>
              <c:f>'Scenario 2'!$C$125:$AH$125</c:f>
              <c:numCache>
                <c:formatCode>General</c:formatCode>
                <c:ptCount val="32"/>
                <c:pt idx="0">
                  <c:v>47.147851080000692</c:v>
                </c:pt>
                <c:pt idx="1">
                  <c:v>47.13823260000072</c:v>
                </c:pt>
                <c:pt idx="2">
                  <c:v>47.138337719999981</c:v>
                </c:pt>
                <c:pt idx="3">
                  <c:v>47.138486639999883</c:v>
                </c:pt>
                <c:pt idx="4">
                  <c:v>47.138215080000464</c:v>
                </c:pt>
                <c:pt idx="5">
                  <c:v>47.129455080000298</c:v>
                </c:pt>
                <c:pt idx="6">
                  <c:v>47.129481360000227</c:v>
                </c:pt>
                <c:pt idx="7">
                  <c:v>47.129472600000099</c:v>
                </c:pt>
                <c:pt idx="8">
                  <c:v>47.129674080000314</c:v>
                </c:pt>
                <c:pt idx="9">
                  <c:v>47.129525159999957</c:v>
                </c:pt>
                <c:pt idx="10">
                  <c:v>47.129516400000284</c:v>
                </c:pt>
                <c:pt idx="11">
                  <c:v>47.129455080000753</c:v>
                </c:pt>
                <c:pt idx="12">
                  <c:v>47.129481360000227</c:v>
                </c:pt>
                <c:pt idx="13">
                  <c:v>47.129726639999717</c:v>
                </c:pt>
                <c:pt idx="14">
                  <c:v>47.12977920000003</c:v>
                </c:pt>
                <c:pt idx="15">
                  <c:v>47.129516400000284</c:v>
                </c:pt>
                <c:pt idx="16">
                  <c:v>47.129507639999701</c:v>
                </c:pt>
                <c:pt idx="17">
                  <c:v>47.129752920000101</c:v>
                </c:pt>
                <c:pt idx="18">
                  <c:v>47.129691600000115</c:v>
                </c:pt>
                <c:pt idx="19">
                  <c:v>47.129770439999902</c:v>
                </c:pt>
                <c:pt idx="20">
                  <c:v>47.129752920000101</c:v>
                </c:pt>
                <c:pt idx="21">
                  <c:v>47.129735399999845</c:v>
                </c:pt>
                <c:pt idx="22">
                  <c:v>47.129840520000016</c:v>
                </c:pt>
                <c:pt idx="23">
                  <c:v>47.12995439999986</c:v>
                </c:pt>
                <c:pt idx="24">
                  <c:v>47.130024479999975</c:v>
                </c:pt>
                <c:pt idx="25">
                  <c:v>47.130024479999975</c:v>
                </c:pt>
                <c:pt idx="26">
                  <c:v>47.129875560000073</c:v>
                </c:pt>
                <c:pt idx="27">
                  <c:v>47.129884320000201</c:v>
                </c:pt>
                <c:pt idx="28">
                  <c:v>47.12982299999976</c:v>
                </c:pt>
                <c:pt idx="29">
                  <c:v>47.12982299999976</c:v>
                </c:pt>
                <c:pt idx="30">
                  <c:v>47.12982299999976</c:v>
                </c:pt>
                <c:pt idx="31">
                  <c:v>47.129787959999703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64E-4543-A4CC-C706415D2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15616"/>
        <c:axId val="810215944"/>
      </c:areaChart>
      <c:catAx>
        <c:axId val="81021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5944"/>
        <c:crosses val="autoZero"/>
        <c:auto val="1"/>
        <c:lblAlgn val="ctr"/>
        <c:lblOffset val="100"/>
        <c:noMultiLvlLbl val="1"/>
      </c:catAx>
      <c:valAx>
        <c:axId val="81021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364073</xdr:colOff>
      <xdr:row>1</xdr:row>
      <xdr:rowOff>63498</xdr:rowOff>
    </xdr:from>
    <xdr:to>
      <xdr:col>45</xdr:col>
      <xdr:colOff>516466</xdr:colOff>
      <xdr:row>17</xdr:row>
      <xdr:rowOff>93132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CCE6D-FFAB-4961-ABFF-2365288B0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364067</xdr:colOff>
      <xdr:row>19</xdr:row>
      <xdr:rowOff>50796</xdr:rowOff>
    </xdr:from>
    <xdr:to>
      <xdr:col>45</xdr:col>
      <xdr:colOff>516460</xdr:colOff>
      <xdr:row>35</xdr:row>
      <xdr:rowOff>80430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4C97A-708A-4712-AF3C-EB23CFE09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364067</xdr:colOff>
      <xdr:row>37</xdr:row>
      <xdr:rowOff>76195</xdr:rowOff>
    </xdr:from>
    <xdr:to>
      <xdr:col>45</xdr:col>
      <xdr:colOff>516460</xdr:colOff>
      <xdr:row>53</xdr:row>
      <xdr:rowOff>105829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764ED3E-CADB-44B3-A798-8FE2B955D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364067</xdr:colOff>
      <xdr:row>55</xdr:row>
      <xdr:rowOff>68575</xdr:rowOff>
    </xdr:from>
    <xdr:to>
      <xdr:col>45</xdr:col>
      <xdr:colOff>516460</xdr:colOff>
      <xdr:row>71</xdr:row>
      <xdr:rowOff>105829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00782A2-01C6-4467-BD1B-92A11FB53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339082</xdr:colOff>
      <xdr:row>165</xdr:row>
      <xdr:rowOff>173990</xdr:rowOff>
    </xdr:from>
    <xdr:to>
      <xdr:col>18</xdr:col>
      <xdr:colOff>544649</xdr:colOff>
      <xdr:row>205</xdr:row>
      <xdr:rowOff>140970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A94D5576-92D6-4A2F-AFE5-F6D1D461F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228599</xdr:colOff>
      <xdr:row>165</xdr:row>
      <xdr:rowOff>158749</xdr:rowOff>
    </xdr:from>
    <xdr:to>
      <xdr:col>37</xdr:col>
      <xdr:colOff>120650</xdr:colOff>
      <xdr:row>205</xdr:row>
      <xdr:rowOff>174625</xdr:rowOff>
    </xdr:to>
    <xdr:graphicFrame macro="">
      <xdr:nvGraphicFramePr>
        <xdr:cNvPr id="37" name="Chart 3">
          <a:extLst>
            <a:ext uri="{FF2B5EF4-FFF2-40B4-BE49-F238E27FC236}">
              <a16:creationId xmlns:a16="http://schemas.microsoft.com/office/drawing/2014/main" id="{F2E865FF-B7CE-4A42-BAA6-845A2818B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234041</xdr:colOff>
      <xdr:row>166</xdr:row>
      <xdr:rowOff>44902</xdr:rowOff>
    </xdr:from>
    <xdr:to>
      <xdr:col>37</xdr:col>
      <xdr:colOff>129267</xdr:colOff>
      <xdr:row>206</xdr:row>
      <xdr:rowOff>57602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818DA9BC-F3CA-4415-B5DB-9C20E357A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175795</xdr:colOff>
      <xdr:row>165</xdr:row>
      <xdr:rowOff>184876</xdr:rowOff>
    </xdr:from>
    <xdr:to>
      <xdr:col>18</xdr:col>
      <xdr:colOff>381362</xdr:colOff>
      <xdr:row>205</xdr:row>
      <xdr:rowOff>151856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DF23CE89-9587-43A4-858A-8DEB442B5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Wongwaisayawan, Thanat" id="{D0E21188-4944-4B4C-BE80-B1CB055A00EF}" userId="Wongwaisayawan, Thanat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0-01-18T16:35:04.12" personId="{D0E21188-4944-4B4C-BE80-B1CB055A00EF}" id="{29A80BDA-149E-46BF-A872-B84DDDAEBA1E}">
    <text>Reference data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ciencedirect.com/science/article/pii/S0360128517300680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tb.nrel.gov/electricity/2018/summary.html?fbclid=IwAR0sYAQiA48weV79Nsqx5V5j7jPD7iI24vE5aoxcD0rscDdI5zuLhUzQIy8" TargetMode="External"/><Relationship Id="rId2" Type="http://schemas.openxmlformats.org/officeDocument/2006/relationships/hyperlink" Target="https://atb.nrel.gov/electricity/2018/summary.html?fbclid=IwAR0sYAQiA48weV79Nsqx5V5j7jPD7iI24vE5aoxcD0rscDdI5zuLhUzQIy8" TargetMode="External"/><Relationship Id="rId1" Type="http://schemas.openxmlformats.org/officeDocument/2006/relationships/hyperlink" Target="https://atb.nrel.gov/electricity/2018/summary.html?fbclid=IwAR0sYAQiA48weV79Nsqx5V5j7jPD7iI24vE5aoxcD0rscDdI5zuLhUzQIy8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atb.nrel.gov/electricity/2018/summary.html?fbclid=IwAR0sYAQiA48weV79Nsqx5V5j7jPD7iI24vE5aoxcD0rscDdI5zuLhUzQIy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7407C-A9FE-48AD-B02C-7D67DDB01B7D}">
  <dimension ref="A1:ED982"/>
  <sheetViews>
    <sheetView zoomScale="80" zoomScaleNormal="80" workbookViewId="0">
      <pane xSplit="2" topLeftCell="C1" activePane="topRight" state="frozen"/>
      <selection pane="topRight" activeCell="D11" sqref="D11:P11"/>
    </sheetView>
  </sheetViews>
  <sheetFormatPr defaultRowHeight="14.5"/>
  <cols>
    <col min="2" max="2" width="19.81640625" customWidth="1"/>
    <col min="3" max="7" width="16.81640625" customWidth="1"/>
    <col min="8" max="8" width="19.1796875" bestFit="1" customWidth="1"/>
    <col min="9" max="17" width="16.81640625" customWidth="1"/>
  </cols>
  <sheetData>
    <row r="1" spans="1:13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</row>
    <row r="2" spans="1:134">
      <c r="A2" s="1"/>
      <c r="B2" s="151" t="s">
        <v>0</v>
      </c>
      <c r="C2" s="151" t="s">
        <v>1</v>
      </c>
      <c r="D2" s="151" t="s">
        <v>2</v>
      </c>
      <c r="E2" s="151"/>
      <c r="F2" s="151"/>
      <c r="G2" s="151"/>
      <c r="H2" s="151"/>
      <c r="I2" s="150" t="s">
        <v>3</v>
      </c>
      <c r="J2" s="150"/>
      <c r="K2" s="150" t="s">
        <v>4</v>
      </c>
      <c r="L2" s="150"/>
      <c r="M2" s="150" t="s">
        <v>5</v>
      </c>
      <c r="N2" s="150" t="s">
        <v>6</v>
      </c>
      <c r="O2" s="150" t="s">
        <v>7</v>
      </c>
      <c r="P2" s="7" t="s">
        <v>8</v>
      </c>
      <c r="Q2" s="3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</row>
    <row r="3" spans="1:134">
      <c r="A3" s="1"/>
      <c r="B3" s="151"/>
      <c r="C3" s="151"/>
      <c r="D3" s="10" t="s">
        <v>9</v>
      </c>
      <c r="E3" s="10" t="s">
        <v>10</v>
      </c>
      <c r="F3" s="10" t="s">
        <v>89</v>
      </c>
      <c r="G3" s="16" t="s">
        <v>88</v>
      </c>
      <c r="H3" s="10" t="s">
        <v>90</v>
      </c>
      <c r="I3" s="7" t="s">
        <v>13</v>
      </c>
      <c r="J3" s="7" t="s">
        <v>14</v>
      </c>
      <c r="K3" s="7" t="s">
        <v>15</v>
      </c>
      <c r="L3" s="7" t="s">
        <v>16</v>
      </c>
      <c r="M3" s="150"/>
      <c r="N3" s="150"/>
      <c r="O3" s="150"/>
      <c r="P3" s="7" t="s">
        <v>17</v>
      </c>
      <c r="Q3" s="2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</row>
    <row r="4" spans="1:134">
      <c r="A4" s="1"/>
      <c r="B4" s="10" t="s">
        <v>18</v>
      </c>
      <c r="C4" s="11" t="s">
        <v>19</v>
      </c>
      <c r="D4" s="26">
        <v>4241</v>
      </c>
      <c r="E4" s="26">
        <v>6049</v>
      </c>
      <c r="F4" s="26">
        <v>902</v>
      </c>
      <c r="G4" s="26">
        <v>1054</v>
      </c>
      <c r="H4" s="26">
        <v>2201</v>
      </c>
      <c r="I4" s="27">
        <v>1778</v>
      </c>
      <c r="J4" s="27">
        <v>7872</v>
      </c>
      <c r="K4" s="27">
        <v>1640</v>
      </c>
      <c r="L4" s="27">
        <v>6002</v>
      </c>
      <c r="M4" s="27">
        <v>6158</v>
      </c>
      <c r="N4" s="27">
        <v>9400</v>
      </c>
      <c r="O4" s="27">
        <v>4035</v>
      </c>
      <c r="P4" s="27">
        <v>5691.5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</row>
    <row r="5" spans="1:134">
      <c r="A5" s="1"/>
      <c r="B5" s="10" t="s">
        <v>20</v>
      </c>
      <c r="C5" s="12" t="s">
        <v>21</v>
      </c>
      <c r="D5" s="14">
        <v>1.15E-2</v>
      </c>
      <c r="E5" s="14">
        <v>1.9099999999999999E-2</v>
      </c>
      <c r="F5" s="14">
        <v>8.3999999999999995E-3</v>
      </c>
      <c r="G5" s="14">
        <v>4.1399999999999996E-3</v>
      </c>
      <c r="H5" s="14">
        <v>1.04E-2</v>
      </c>
      <c r="I5" s="28">
        <v>1.6000000000000001E-3</v>
      </c>
      <c r="J5" s="5">
        <v>1.1599999999999999E-2</v>
      </c>
      <c r="K5" s="28">
        <v>5.7999999999999996E-3</v>
      </c>
      <c r="L5" s="28">
        <v>1.4999999999999999E-2</v>
      </c>
      <c r="M5" s="29">
        <v>1.3299999999999999E-2</v>
      </c>
      <c r="N5" s="5">
        <v>0.33360000000000001</v>
      </c>
      <c r="O5" s="29">
        <v>1.0999999999999999E-2</v>
      </c>
      <c r="P5" s="29">
        <v>4.7000000000000002E-3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</row>
    <row r="6" spans="1:134">
      <c r="A6" s="1"/>
      <c r="B6" s="16" t="s">
        <v>91</v>
      </c>
      <c r="C6" s="12" t="s">
        <v>21</v>
      </c>
      <c r="D6" s="14">
        <v>1.9E-2</v>
      </c>
      <c r="E6" s="14">
        <v>2.5000000000000001E-2</v>
      </c>
      <c r="F6" s="14">
        <v>2.8000000000000001E-2</v>
      </c>
      <c r="G6" s="14">
        <v>1.9E-2</v>
      </c>
      <c r="H6" s="14">
        <v>2.1999999999999999E-2</v>
      </c>
      <c r="I6" s="30">
        <v>0</v>
      </c>
      <c r="J6" s="30">
        <v>0</v>
      </c>
      <c r="K6" s="30">
        <v>0</v>
      </c>
      <c r="L6" s="30">
        <v>0</v>
      </c>
      <c r="M6" s="29">
        <v>7.0000000000000001E-3</v>
      </c>
      <c r="N6" s="5">
        <v>0</v>
      </c>
      <c r="O6" s="29">
        <v>3.9E-2</v>
      </c>
      <c r="P6" s="30">
        <v>0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</row>
    <row r="7" spans="1:134" ht="16">
      <c r="A7" s="1"/>
      <c r="B7" s="10" t="s">
        <v>22</v>
      </c>
      <c r="C7" s="12" t="s">
        <v>23</v>
      </c>
      <c r="D7" s="14">
        <v>1000</v>
      </c>
      <c r="E7" s="13">
        <f>144*453.592/293.07107</f>
        <v>222.87170139311257</v>
      </c>
      <c r="F7" s="14">
        <v>652</v>
      </c>
      <c r="G7" s="14">
        <v>441</v>
      </c>
      <c r="H7" s="13">
        <f>0.223*G7</f>
        <v>98.343000000000004</v>
      </c>
      <c r="I7" s="5">
        <v>45</v>
      </c>
      <c r="J7" s="5">
        <v>22</v>
      </c>
      <c r="K7" s="5">
        <v>11</v>
      </c>
      <c r="L7" s="5">
        <v>11</v>
      </c>
      <c r="M7" s="5">
        <v>65</v>
      </c>
      <c r="N7" s="5">
        <v>47</v>
      </c>
      <c r="O7" s="5">
        <v>291</v>
      </c>
      <c r="P7" s="30">
        <v>14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</row>
    <row r="8" spans="1:134">
      <c r="A8" s="1"/>
      <c r="B8" s="10" t="s">
        <v>24</v>
      </c>
      <c r="C8" s="12" t="s">
        <v>25</v>
      </c>
      <c r="D8" s="14">
        <v>46</v>
      </c>
      <c r="E8" s="14">
        <v>46</v>
      </c>
      <c r="F8" s="14">
        <v>22</v>
      </c>
      <c r="G8" s="14">
        <v>22</v>
      </c>
      <c r="H8" s="14">
        <v>22</v>
      </c>
      <c r="I8" s="5">
        <v>30</v>
      </c>
      <c r="J8" s="5">
        <v>30</v>
      </c>
      <c r="K8" s="5">
        <v>25</v>
      </c>
      <c r="L8" s="5">
        <v>20</v>
      </c>
      <c r="M8" s="5">
        <v>60</v>
      </c>
      <c r="N8" s="5">
        <v>25</v>
      </c>
      <c r="O8" s="5">
        <v>25</v>
      </c>
      <c r="P8" s="5">
        <v>50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</row>
    <row r="9" spans="1:134">
      <c r="A9" s="1"/>
      <c r="B9" s="10" t="s">
        <v>26</v>
      </c>
      <c r="C9" s="12" t="s">
        <v>25</v>
      </c>
      <c r="D9" s="13">
        <v>6</v>
      </c>
      <c r="E9" s="14">
        <v>6</v>
      </c>
      <c r="F9" s="14">
        <v>6</v>
      </c>
      <c r="G9" s="14">
        <v>6</v>
      </c>
      <c r="H9" s="14">
        <v>6</v>
      </c>
      <c r="I9" s="5">
        <v>6</v>
      </c>
      <c r="J9" s="5">
        <v>6</v>
      </c>
      <c r="K9" s="5">
        <v>3</v>
      </c>
      <c r="L9" s="5">
        <v>3</v>
      </c>
      <c r="M9" s="5">
        <v>5</v>
      </c>
      <c r="N9" s="5">
        <v>6</v>
      </c>
      <c r="O9" s="5">
        <v>3</v>
      </c>
      <c r="P9" s="5">
        <v>3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</row>
    <row r="10" spans="1:134" ht="16">
      <c r="A10" s="1"/>
      <c r="B10" s="10" t="s">
        <v>27</v>
      </c>
      <c r="C10" s="12" t="s">
        <v>28</v>
      </c>
      <c r="D10" s="14" t="s">
        <v>29</v>
      </c>
      <c r="E10" s="14">
        <f>50/1000000</f>
        <v>5.0000000000000002E-5</v>
      </c>
      <c r="F10" s="14" t="s">
        <v>29</v>
      </c>
      <c r="G10" s="14" t="s">
        <v>29</v>
      </c>
      <c r="H10" s="14">
        <f>50/1000000</f>
        <v>5.0000000000000002E-5</v>
      </c>
      <c r="I10" s="31">
        <v>0.04</v>
      </c>
      <c r="J10" s="5" t="s">
        <v>29</v>
      </c>
      <c r="K10" s="5" t="s">
        <v>29</v>
      </c>
      <c r="L10" s="5" t="s">
        <v>29</v>
      </c>
      <c r="M10" s="31">
        <v>1.7999999999999999E-2</v>
      </c>
      <c r="N10" s="5" t="s">
        <v>29</v>
      </c>
      <c r="O10" s="31">
        <v>2.5000000000000001E-2</v>
      </c>
      <c r="P10" s="31">
        <v>1.4500000000000001E-2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</row>
    <row r="11" spans="1:134">
      <c r="A11" s="1"/>
      <c r="B11" s="23" t="s">
        <v>30</v>
      </c>
      <c r="C11" s="24" t="s">
        <v>31</v>
      </c>
      <c r="D11" s="25">
        <v>1146</v>
      </c>
      <c r="E11" s="25">
        <v>0</v>
      </c>
      <c r="F11" s="25">
        <v>1469</v>
      </c>
      <c r="G11" s="25"/>
      <c r="H11" s="25">
        <v>0</v>
      </c>
      <c r="I11" s="32">
        <v>60</v>
      </c>
      <c r="J11" s="32">
        <v>4</v>
      </c>
      <c r="K11" s="32">
        <v>286.60000000000002</v>
      </c>
      <c r="L11" s="32">
        <v>0</v>
      </c>
      <c r="M11" s="32">
        <v>807</v>
      </c>
      <c r="N11" s="32">
        <v>16</v>
      </c>
      <c r="O11" s="32">
        <v>58</v>
      </c>
      <c r="P11" s="32">
        <v>293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</row>
    <row r="12" spans="1:134">
      <c r="A12" s="1"/>
      <c r="B12" s="15" t="s">
        <v>79</v>
      </c>
      <c r="C12" s="17" t="s">
        <v>80</v>
      </c>
      <c r="D12" s="5">
        <v>69</v>
      </c>
      <c r="E12" s="5">
        <v>69</v>
      </c>
      <c r="F12" s="5">
        <v>19</v>
      </c>
      <c r="G12" s="5">
        <v>71.5</v>
      </c>
      <c r="H12" s="5">
        <v>71.5</v>
      </c>
      <c r="I12" s="5">
        <v>21</v>
      </c>
      <c r="J12" s="5">
        <v>52</v>
      </c>
      <c r="K12" s="5">
        <v>29.5</v>
      </c>
      <c r="L12" s="5">
        <v>41</v>
      </c>
      <c r="M12" s="5">
        <v>92</v>
      </c>
      <c r="N12" s="5">
        <v>85</v>
      </c>
      <c r="O12" s="5">
        <v>56</v>
      </c>
      <c r="P12" s="5">
        <v>63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</row>
    <row r="13" spans="1:13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</row>
    <row r="14" spans="1:134">
      <c r="A14" s="1"/>
      <c r="B14" s="3" t="s">
        <v>32</v>
      </c>
      <c r="C14" s="55" t="s">
        <v>108</v>
      </c>
      <c r="D14" s="54"/>
      <c r="E14" s="54"/>
      <c r="F14" s="5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</row>
    <row r="15" spans="1:134" ht="15" thickBo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</row>
    <row r="16" spans="1:134">
      <c r="A16" s="1"/>
      <c r="B16" s="152" t="s">
        <v>9</v>
      </c>
      <c r="C16" s="161" t="s">
        <v>33</v>
      </c>
      <c r="D16" s="162"/>
      <c r="E16" s="162"/>
      <c r="F16" s="162"/>
      <c r="G16" s="162"/>
      <c r="H16" s="162"/>
      <c r="I16" s="163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</row>
    <row r="17" spans="1:132">
      <c r="A17" s="1"/>
      <c r="B17" s="153"/>
      <c r="C17" s="158" t="s">
        <v>34</v>
      </c>
      <c r="D17" s="159"/>
      <c r="E17" s="159"/>
      <c r="F17" s="159"/>
      <c r="G17" s="159"/>
      <c r="H17" s="159"/>
      <c r="I17" s="160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</row>
    <row r="18" spans="1:132" ht="15" thickBot="1">
      <c r="A18" s="1"/>
      <c r="B18" s="154"/>
      <c r="C18" s="164" t="s">
        <v>35</v>
      </c>
      <c r="D18" s="165"/>
      <c r="E18" s="165"/>
      <c r="F18" s="165"/>
      <c r="G18" s="165"/>
      <c r="H18" s="165"/>
      <c r="I18" s="166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</row>
    <row r="19" spans="1:132">
      <c r="A19" s="1"/>
      <c r="B19" s="155" t="s">
        <v>36</v>
      </c>
      <c r="C19" s="167" t="s">
        <v>37</v>
      </c>
      <c r="D19" s="168"/>
      <c r="E19" s="168"/>
      <c r="F19" s="168"/>
      <c r="G19" s="168"/>
      <c r="H19" s="168"/>
      <c r="I19" s="16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</row>
    <row r="20" spans="1:132">
      <c r="A20" s="1"/>
      <c r="B20" s="156"/>
      <c r="C20" s="170" t="s">
        <v>38</v>
      </c>
      <c r="D20" s="171"/>
      <c r="E20" s="171"/>
      <c r="F20" s="171"/>
      <c r="G20" s="171"/>
      <c r="H20" s="171"/>
      <c r="I20" s="172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</row>
    <row r="21" spans="1:132" ht="17">
      <c r="A21" s="1"/>
      <c r="B21" s="156"/>
      <c r="C21" s="170" t="s">
        <v>39</v>
      </c>
      <c r="D21" s="171"/>
      <c r="E21" s="171"/>
      <c r="F21" s="171"/>
      <c r="G21" s="171"/>
      <c r="H21" s="171"/>
      <c r="I21" s="172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</row>
    <row r="22" spans="1:132">
      <c r="A22" s="1"/>
      <c r="B22" s="156"/>
      <c r="C22" s="170" t="s">
        <v>40</v>
      </c>
      <c r="D22" s="171"/>
      <c r="E22" s="171"/>
      <c r="F22" s="171"/>
      <c r="G22" s="171"/>
      <c r="H22" s="171"/>
      <c r="I22" s="172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</row>
    <row r="23" spans="1:132" ht="17">
      <c r="A23" s="1"/>
      <c r="B23" s="156"/>
      <c r="C23" s="170" t="s">
        <v>41</v>
      </c>
      <c r="D23" s="171"/>
      <c r="E23" s="171"/>
      <c r="F23" s="171"/>
      <c r="G23" s="171"/>
      <c r="H23" s="171"/>
      <c r="I23" s="172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</row>
    <row r="24" spans="1:132" ht="15" thickBot="1">
      <c r="A24" s="1"/>
      <c r="B24" s="157"/>
      <c r="C24" s="176" t="s">
        <v>42</v>
      </c>
      <c r="D24" s="177"/>
      <c r="E24" s="177"/>
      <c r="F24" s="177"/>
      <c r="G24" s="177"/>
      <c r="H24" s="177"/>
      <c r="I24" s="178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</row>
    <row r="25" spans="1:132">
      <c r="A25" s="1"/>
      <c r="B25" s="191" t="s">
        <v>11</v>
      </c>
      <c r="C25" s="179" t="s">
        <v>37</v>
      </c>
      <c r="D25" s="180"/>
      <c r="E25" s="180"/>
      <c r="F25" s="180"/>
      <c r="G25" s="180"/>
      <c r="H25" s="180"/>
      <c r="I25" s="18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</row>
    <row r="26" spans="1:132">
      <c r="A26" s="1"/>
      <c r="B26" s="192"/>
      <c r="C26" s="182" t="s">
        <v>43</v>
      </c>
      <c r="D26" s="183"/>
      <c r="E26" s="183"/>
      <c r="F26" s="183"/>
      <c r="G26" s="183"/>
      <c r="H26" s="183"/>
      <c r="I26" s="184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</row>
    <row r="27" spans="1:132" ht="15" thickBot="1">
      <c r="A27" s="1"/>
      <c r="B27" s="193"/>
      <c r="C27" s="218" t="s">
        <v>35</v>
      </c>
      <c r="D27" s="219"/>
      <c r="E27" s="219"/>
      <c r="F27" s="219"/>
      <c r="G27" s="219"/>
      <c r="H27" s="219"/>
      <c r="I27" s="220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</row>
    <row r="28" spans="1:132">
      <c r="A28" s="1"/>
      <c r="B28" s="194" t="s">
        <v>12</v>
      </c>
      <c r="C28" s="221" t="s">
        <v>37</v>
      </c>
      <c r="D28" s="222"/>
      <c r="E28" s="222"/>
      <c r="F28" s="222"/>
      <c r="G28" s="222"/>
      <c r="H28" s="222"/>
      <c r="I28" s="223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</row>
    <row r="29" spans="1:132" ht="17">
      <c r="A29" s="1"/>
      <c r="B29" s="195"/>
      <c r="C29" s="173" t="s">
        <v>44</v>
      </c>
      <c r="D29" s="174"/>
      <c r="E29" s="174"/>
      <c r="F29" s="174"/>
      <c r="G29" s="174"/>
      <c r="H29" s="174"/>
      <c r="I29" s="175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</row>
    <row r="30" spans="1:132">
      <c r="A30" s="1"/>
      <c r="B30" s="195"/>
      <c r="C30" s="173" t="s">
        <v>45</v>
      </c>
      <c r="D30" s="174"/>
      <c r="E30" s="174"/>
      <c r="F30" s="174"/>
      <c r="G30" s="174"/>
      <c r="H30" s="174"/>
      <c r="I30" s="175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</row>
    <row r="31" spans="1:132">
      <c r="A31" s="1"/>
      <c r="B31" s="195"/>
      <c r="C31" s="173" t="s">
        <v>46</v>
      </c>
      <c r="D31" s="174"/>
      <c r="E31" s="174"/>
      <c r="F31" s="174"/>
      <c r="G31" s="174"/>
      <c r="H31" s="174"/>
      <c r="I31" s="175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</row>
    <row r="32" spans="1:132" ht="15" thickBot="1">
      <c r="A32" s="1"/>
      <c r="B32" s="196"/>
      <c r="C32" s="203" t="s">
        <v>47</v>
      </c>
      <c r="D32" s="204"/>
      <c r="E32" s="204"/>
      <c r="F32" s="204"/>
      <c r="G32" s="204"/>
      <c r="H32" s="204"/>
      <c r="I32" s="205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</row>
    <row r="33" spans="1:132">
      <c r="A33" s="1"/>
      <c r="B33" s="197" t="s">
        <v>48</v>
      </c>
      <c r="C33" s="206" t="s">
        <v>37</v>
      </c>
      <c r="D33" s="207"/>
      <c r="E33" s="207"/>
      <c r="F33" s="207"/>
      <c r="G33" s="207"/>
      <c r="H33" s="207"/>
      <c r="I33" s="208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</row>
    <row r="34" spans="1:132">
      <c r="A34" s="1"/>
      <c r="B34" s="198"/>
      <c r="C34" s="209" t="s">
        <v>49</v>
      </c>
      <c r="D34" s="210"/>
      <c r="E34" s="210"/>
      <c r="F34" s="210"/>
      <c r="G34" s="210"/>
      <c r="H34" s="210"/>
      <c r="I34" s="21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</row>
    <row r="35" spans="1:132" ht="15" thickBot="1">
      <c r="A35" s="1"/>
      <c r="B35" s="199"/>
      <c r="C35" s="212" t="s">
        <v>50</v>
      </c>
      <c r="D35" s="213"/>
      <c r="E35" s="213"/>
      <c r="F35" s="213"/>
      <c r="G35" s="213"/>
      <c r="H35" s="213"/>
      <c r="I35" s="214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</row>
    <row r="36" spans="1:132">
      <c r="A36" s="1"/>
      <c r="B36" s="200" t="s">
        <v>51</v>
      </c>
      <c r="C36" s="215" t="s">
        <v>52</v>
      </c>
      <c r="D36" s="216"/>
      <c r="E36" s="216"/>
      <c r="F36" s="216"/>
      <c r="G36" s="216"/>
      <c r="H36" s="216"/>
      <c r="I36" s="21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</row>
    <row r="37" spans="1:132">
      <c r="A37" s="1"/>
      <c r="B37" s="201"/>
      <c r="C37" s="185" t="s">
        <v>53</v>
      </c>
      <c r="D37" s="186"/>
      <c r="E37" s="186"/>
      <c r="F37" s="186"/>
      <c r="G37" s="186"/>
      <c r="H37" s="186"/>
      <c r="I37" s="187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</row>
    <row r="38" spans="1:132">
      <c r="A38" s="1"/>
      <c r="B38" s="201"/>
      <c r="C38" s="185" t="s">
        <v>54</v>
      </c>
      <c r="D38" s="186"/>
      <c r="E38" s="186"/>
      <c r="F38" s="186"/>
      <c r="G38" s="186"/>
      <c r="H38" s="186"/>
      <c r="I38" s="18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</row>
    <row r="39" spans="1:132" ht="15" thickBot="1">
      <c r="A39" s="1"/>
      <c r="B39" s="202"/>
      <c r="C39" s="188" t="s">
        <v>55</v>
      </c>
      <c r="D39" s="189"/>
      <c r="E39" s="189"/>
      <c r="F39" s="189"/>
      <c r="G39" s="189"/>
      <c r="H39" s="189"/>
      <c r="I39" s="190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</row>
    <row r="40" spans="1:132">
      <c r="A40" s="1"/>
      <c r="B40" s="230" t="s">
        <v>56</v>
      </c>
      <c r="C40" s="248" t="s">
        <v>33</v>
      </c>
      <c r="D40" s="249"/>
      <c r="E40" s="249"/>
      <c r="F40" s="249"/>
      <c r="G40" s="249"/>
      <c r="H40" s="249"/>
      <c r="I40" s="250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</row>
    <row r="41" spans="1:132">
      <c r="A41" s="1"/>
      <c r="B41" s="231"/>
      <c r="C41" s="251" t="s">
        <v>49</v>
      </c>
      <c r="D41" s="252"/>
      <c r="E41" s="252"/>
      <c r="F41" s="252"/>
      <c r="G41" s="252"/>
      <c r="H41" s="252"/>
      <c r="I41" s="253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</row>
    <row r="42" spans="1:132">
      <c r="A42" s="1"/>
      <c r="B42" s="231"/>
      <c r="C42" s="251" t="s">
        <v>57</v>
      </c>
      <c r="D42" s="252"/>
      <c r="E42" s="252"/>
      <c r="F42" s="252"/>
      <c r="G42" s="252"/>
      <c r="H42" s="252"/>
      <c r="I42" s="253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</row>
    <row r="43" spans="1:132" ht="15" thickBot="1">
      <c r="A43" s="1"/>
      <c r="B43" s="232"/>
      <c r="C43" s="254" t="s">
        <v>58</v>
      </c>
      <c r="D43" s="255"/>
      <c r="E43" s="255"/>
      <c r="F43" s="255"/>
      <c r="G43" s="255"/>
      <c r="H43" s="255"/>
      <c r="I43" s="256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</row>
    <row r="44" spans="1:132">
      <c r="A44" s="1"/>
      <c r="B44" s="233" t="s">
        <v>59</v>
      </c>
      <c r="C44" s="257" t="s">
        <v>33</v>
      </c>
      <c r="D44" s="258"/>
      <c r="E44" s="258"/>
      <c r="F44" s="258"/>
      <c r="G44" s="258"/>
      <c r="H44" s="258"/>
      <c r="I44" s="259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</row>
    <row r="45" spans="1:132">
      <c r="A45" s="1"/>
      <c r="B45" s="234"/>
      <c r="C45" s="239" t="s">
        <v>60</v>
      </c>
      <c r="D45" s="240"/>
      <c r="E45" s="240"/>
      <c r="F45" s="240"/>
      <c r="G45" s="240"/>
      <c r="H45" s="240"/>
      <c r="I45" s="24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</row>
    <row r="46" spans="1:132">
      <c r="A46" s="1"/>
      <c r="B46" s="234"/>
      <c r="C46" s="239" t="s">
        <v>61</v>
      </c>
      <c r="D46" s="240"/>
      <c r="E46" s="240"/>
      <c r="F46" s="240"/>
      <c r="G46" s="240"/>
      <c r="H46" s="240"/>
      <c r="I46" s="24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</row>
    <row r="47" spans="1:132" ht="15" thickBot="1">
      <c r="A47" s="1"/>
      <c r="B47" s="235"/>
      <c r="C47" s="242" t="s">
        <v>62</v>
      </c>
      <c r="D47" s="243"/>
      <c r="E47" s="243"/>
      <c r="F47" s="243"/>
      <c r="G47" s="243"/>
      <c r="H47" s="243"/>
      <c r="I47" s="24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</row>
    <row r="48" spans="1:132">
      <c r="A48" s="1"/>
      <c r="B48" s="236" t="s">
        <v>5</v>
      </c>
      <c r="C48" s="245" t="s">
        <v>33</v>
      </c>
      <c r="D48" s="246"/>
      <c r="E48" s="246"/>
      <c r="F48" s="246"/>
      <c r="G48" s="246"/>
      <c r="H48" s="246"/>
      <c r="I48" s="247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</row>
    <row r="49" spans="1:132">
      <c r="A49" s="1"/>
      <c r="B49" s="237"/>
      <c r="C49" s="224" t="s">
        <v>49</v>
      </c>
      <c r="D49" s="225"/>
      <c r="E49" s="225"/>
      <c r="F49" s="225"/>
      <c r="G49" s="225"/>
      <c r="H49" s="225"/>
      <c r="I49" s="226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</row>
    <row r="50" spans="1:132" ht="17">
      <c r="A50" s="1"/>
      <c r="B50" s="237"/>
      <c r="C50" s="224" t="s">
        <v>63</v>
      </c>
      <c r="D50" s="225"/>
      <c r="E50" s="225"/>
      <c r="F50" s="225"/>
      <c r="G50" s="225"/>
      <c r="H50" s="225"/>
      <c r="I50" s="226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</row>
    <row r="51" spans="1:132">
      <c r="A51" s="1"/>
      <c r="B51" s="237"/>
      <c r="C51" s="224" t="s">
        <v>64</v>
      </c>
      <c r="D51" s="225"/>
      <c r="E51" s="225"/>
      <c r="F51" s="225"/>
      <c r="G51" s="225"/>
      <c r="H51" s="225"/>
      <c r="I51" s="226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</row>
    <row r="52" spans="1:132" ht="15" thickBot="1">
      <c r="A52" s="1"/>
      <c r="B52" s="238"/>
      <c r="C52" s="227" t="s">
        <v>65</v>
      </c>
      <c r="D52" s="228"/>
      <c r="E52" s="228"/>
      <c r="F52" s="228"/>
      <c r="G52" s="228"/>
      <c r="H52" s="228"/>
      <c r="I52" s="229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</row>
    <row r="53" spans="1:132">
      <c r="A53" s="1"/>
      <c r="B53" s="191" t="s">
        <v>6</v>
      </c>
      <c r="C53" s="179" t="s">
        <v>33</v>
      </c>
      <c r="D53" s="180"/>
      <c r="E53" s="180"/>
      <c r="F53" s="180"/>
      <c r="G53" s="180"/>
      <c r="H53" s="180"/>
      <c r="I53" s="18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</row>
    <row r="54" spans="1:132">
      <c r="A54" s="1"/>
      <c r="B54" s="192"/>
      <c r="C54" s="182" t="s">
        <v>66</v>
      </c>
      <c r="D54" s="183"/>
      <c r="E54" s="183"/>
      <c r="F54" s="183"/>
      <c r="G54" s="183"/>
      <c r="H54" s="183"/>
      <c r="I54" s="184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</row>
    <row r="55" spans="1:132">
      <c r="A55" s="1"/>
      <c r="B55" s="192"/>
      <c r="C55" s="182" t="s">
        <v>67</v>
      </c>
      <c r="D55" s="183"/>
      <c r="E55" s="183"/>
      <c r="F55" s="183"/>
      <c r="G55" s="183"/>
      <c r="H55" s="183"/>
      <c r="I55" s="184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</row>
    <row r="56" spans="1:132" ht="15" thickBot="1">
      <c r="A56" s="1"/>
      <c r="B56" s="193"/>
      <c r="C56" s="218" t="s">
        <v>68</v>
      </c>
      <c r="D56" s="219"/>
      <c r="E56" s="219"/>
      <c r="F56" s="219"/>
      <c r="G56" s="219"/>
      <c r="H56" s="219"/>
      <c r="I56" s="220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</row>
    <row r="57" spans="1:132">
      <c r="A57" s="1"/>
      <c r="B57" s="194" t="s">
        <v>7</v>
      </c>
      <c r="C57" s="221" t="s">
        <v>69</v>
      </c>
      <c r="D57" s="222"/>
      <c r="E57" s="222"/>
      <c r="F57" s="222"/>
      <c r="G57" s="222"/>
      <c r="H57" s="222"/>
      <c r="I57" s="223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</row>
    <row r="58" spans="1:132">
      <c r="A58" s="1"/>
      <c r="B58" s="195"/>
      <c r="C58" s="173" t="s">
        <v>70</v>
      </c>
      <c r="D58" s="174"/>
      <c r="E58" s="174"/>
      <c r="F58" s="174"/>
      <c r="G58" s="174"/>
      <c r="H58" s="174"/>
      <c r="I58" s="175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</row>
    <row r="59" spans="1:132" ht="17.5" thickBot="1">
      <c r="A59" s="1"/>
      <c r="B59" s="196"/>
      <c r="C59" s="203" t="s">
        <v>71</v>
      </c>
      <c r="D59" s="204"/>
      <c r="E59" s="204"/>
      <c r="F59" s="204"/>
      <c r="G59" s="204"/>
      <c r="H59" s="204"/>
      <c r="I59" s="205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</row>
    <row r="60" spans="1:132">
      <c r="A60" s="1"/>
      <c r="B60" s="197" t="s">
        <v>72</v>
      </c>
      <c r="C60" s="206" t="s">
        <v>69</v>
      </c>
      <c r="D60" s="207"/>
      <c r="E60" s="207"/>
      <c r="F60" s="207"/>
      <c r="G60" s="207"/>
      <c r="H60" s="207"/>
      <c r="I60" s="208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</row>
    <row r="61" spans="1:132">
      <c r="A61" s="1"/>
      <c r="B61" s="198"/>
      <c r="C61" s="209" t="s">
        <v>73</v>
      </c>
      <c r="D61" s="210"/>
      <c r="E61" s="210"/>
      <c r="F61" s="210"/>
      <c r="G61" s="210"/>
      <c r="H61" s="210"/>
      <c r="I61" s="21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</row>
    <row r="62" spans="1:132" ht="17">
      <c r="A62" s="1"/>
      <c r="B62" s="198"/>
      <c r="C62" s="209" t="s">
        <v>74</v>
      </c>
      <c r="D62" s="210"/>
      <c r="E62" s="210"/>
      <c r="F62" s="210"/>
      <c r="G62" s="210"/>
      <c r="H62" s="210"/>
      <c r="I62" s="21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</row>
    <row r="63" spans="1:132">
      <c r="A63" s="1"/>
      <c r="B63" s="198"/>
      <c r="C63" s="209" t="s">
        <v>75</v>
      </c>
      <c r="D63" s="210"/>
      <c r="E63" s="210"/>
      <c r="F63" s="210"/>
      <c r="G63" s="210"/>
      <c r="H63" s="210"/>
      <c r="I63" s="21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</row>
    <row r="64" spans="1:132" ht="15" thickBot="1">
      <c r="A64" s="1"/>
      <c r="B64" s="199"/>
      <c r="C64" s="212" t="s">
        <v>76</v>
      </c>
      <c r="D64" s="213"/>
      <c r="E64" s="213"/>
      <c r="F64" s="213"/>
      <c r="G64" s="213"/>
      <c r="H64" s="213"/>
      <c r="I64" s="214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</row>
    <row r="65" spans="1:13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</row>
    <row r="66" spans="1:13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</row>
    <row r="67" spans="1:13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</row>
    <row r="68" spans="1:13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</row>
    <row r="69" spans="1:13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</row>
    <row r="70" spans="1:13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</row>
    <row r="71" spans="1:13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</row>
    <row r="72" spans="1:13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</row>
    <row r="73" spans="1:13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</row>
    <row r="74" spans="1:13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</row>
    <row r="75" spans="1:13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</row>
    <row r="76" spans="1:13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</row>
    <row r="77" spans="1:13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</row>
    <row r="78" spans="1:13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</row>
    <row r="79" spans="1:13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</row>
    <row r="80" spans="1:13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</row>
    <row r="81" spans="1:13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</row>
    <row r="82" spans="1:13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</row>
    <row r="83" spans="1:13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</row>
    <row r="84" spans="1:13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</row>
    <row r="85" spans="1:13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</row>
    <row r="86" spans="1:13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</row>
    <row r="87" spans="1:13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</row>
    <row r="88" spans="1:13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</row>
    <row r="89" spans="1:13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</row>
    <row r="90" spans="1:13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</row>
    <row r="91" spans="1:13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</row>
    <row r="92" spans="1:13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</row>
    <row r="93" spans="1:13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</row>
    <row r="94" spans="1:13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</row>
    <row r="95" spans="1:13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</row>
    <row r="96" spans="1:13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</row>
    <row r="97" spans="1:13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</row>
    <row r="98" spans="1:13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</row>
    <row r="99" spans="1:13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</row>
    <row r="100" spans="1:13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</row>
    <row r="101" spans="1:13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</row>
    <row r="102" spans="1:13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</row>
    <row r="103" spans="1:13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</row>
    <row r="104" spans="1:13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</row>
    <row r="105" spans="1:13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</row>
    <row r="106" spans="1:13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</row>
    <row r="107" spans="1:13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</row>
    <row r="108" spans="1:13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</row>
    <row r="109" spans="1:13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</row>
    <row r="110" spans="1:13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</row>
    <row r="111" spans="1:13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</row>
    <row r="112" spans="1:13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</row>
    <row r="113" spans="1:13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</row>
    <row r="114" spans="1:13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</row>
    <row r="115" spans="1:13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</row>
    <row r="116" spans="1:13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</row>
    <row r="117" spans="1:13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</row>
    <row r="118" spans="1:13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</row>
    <row r="119" spans="1:13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</row>
    <row r="120" spans="1:13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</row>
    <row r="121" spans="1:13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</row>
    <row r="122" spans="1:13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</row>
    <row r="123" spans="1:13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</row>
    <row r="124" spans="1:13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</row>
    <row r="125" spans="1:13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</row>
    <row r="126" spans="1:13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</row>
    <row r="127" spans="1:13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</row>
    <row r="128" spans="1:13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</row>
    <row r="129" spans="1:13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</row>
    <row r="130" spans="1:13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</row>
    <row r="131" spans="1:13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</row>
    <row r="132" spans="1: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</row>
    <row r="133" spans="1:13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</row>
    <row r="134" spans="1:13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</row>
    <row r="135" spans="1:13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</row>
    <row r="136" spans="1:13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</row>
    <row r="137" spans="1:13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</row>
    <row r="138" spans="1:13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</row>
    <row r="139" spans="1:13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</row>
    <row r="140" spans="1:13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</row>
    <row r="141" spans="1:13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</row>
    <row r="142" spans="1:13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</row>
    <row r="143" spans="1:13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</row>
    <row r="144" spans="1:13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</row>
    <row r="145" spans="1:13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</row>
    <row r="146" spans="1:13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</row>
    <row r="147" spans="1:13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</row>
    <row r="148" spans="1:13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</row>
    <row r="149" spans="1:13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</row>
    <row r="150" spans="1:13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</row>
    <row r="151" spans="1:13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</row>
    <row r="152" spans="1:13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</row>
    <row r="153" spans="1:13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</row>
    <row r="154" spans="1:13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</row>
    <row r="155" spans="1:13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</row>
    <row r="156" spans="1:13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</row>
    <row r="157" spans="1:13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</row>
    <row r="158" spans="1:13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</row>
    <row r="159" spans="1:13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</row>
    <row r="160" spans="1:13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</row>
    <row r="161" spans="1:13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</row>
    <row r="162" spans="1:13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</row>
    <row r="163" spans="1:13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</row>
    <row r="164" spans="1:13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</row>
    <row r="165" spans="1:13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</row>
    <row r="166" spans="1:13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</row>
    <row r="167" spans="1:13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</row>
    <row r="168" spans="1:13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</row>
    <row r="169" spans="1:13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</row>
    <row r="170" spans="1:13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</row>
    <row r="171" spans="1:13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</row>
    <row r="172" spans="1:13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</row>
    <row r="173" spans="1:13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</row>
    <row r="174" spans="1:13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</row>
    <row r="175" spans="1:13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</row>
    <row r="176" spans="1:13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</row>
    <row r="177" spans="1:13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</row>
    <row r="178" spans="1:13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</row>
    <row r="179" spans="1:13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</row>
    <row r="180" spans="1:13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</row>
    <row r="181" spans="1:13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</row>
    <row r="182" spans="1:13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</row>
    <row r="183" spans="1:13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</row>
    <row r="184" spans="1:13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</row>
    <row r="185" spans="1:13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</row>
    <row r="186" spans="1:13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</row>
    <row r="187" spans="1:13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</row>
    <row r="188" spans="1:13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</row>
    <row r="189" spans="1:13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</row>
    <row r="190" spans="1:13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</row>
    <row r="191" spans="1:13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</row>
    <row r="192" spans="1:13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</row>
    <row r="193" spans="1:13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</row>
    <row r="194" spans="1:13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</row>
    <row r="195" spans="1:13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</row>
    <row r="196" spans="1:13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</row>
    <row r="197" spans="1:13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</row>
    <row r="198" spans="1:13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</row>
    <row r="199" spans="1:13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</row>
    <row r="200" spans="1:13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</row>
    <row r="201" spans="1:13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</row>
    <row r="202" spans="1:13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</row>
    <row r="203" spans="1:13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</row>
    <row r="204" spans="1:13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</row>
    <row r="205" spans="1:13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</row>
    <row r="206" spans="1:13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</row>
    <row r="207" spans="1:13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</row>
    <row r="208" spans="1:13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</row>
    <row r="209" spans="1:13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</row>
    <row r="210" spans="1:13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</row>
    <row r="211" spans="1:13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</row>
    <row r="212" spans="1:13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</row>
    <row r="213" spans="1:13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</row>
    <row r="214" spans="1:13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</row>
    <row r="215" spans="1:13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</row>
    <row r="216" spans="1:13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</row>
    <row r="217" spans="1:13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</row>
    <row r="218" spans="1:13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</row>
    <row r="219" spans="1:13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</row>
    <row r="220" spans="1:13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</row>
    <row r="221" spans="1:13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</row>
    <row r="222" spans="1:13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</row>
    <row r="223" spans="1:13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</row>
    <row r="224" spans="1:13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</row>
    <row r="225" spans="1:13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</row>
    <row r="226" spans="1:13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</row>
    <row r="227" spans="1:13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</row>
    <row r="228" spans="1:13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</row>
    <row r="229" spans="1:13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</row>
    <row r="230" spans="1:13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</row>
    <row r="231" spans="1:13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</row>
    <row r="232" spans="1:1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</row>
    <row r="233" spans="1:13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</row>
    <row r="234" spans="1:13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</row>
    <row r="235" spans="1:13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</row>
    <row r="236" spans="1:13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</row>
    <row r="237" spans="1:13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</row>
    <row r="238" spans="1:13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</row>
    <row r="239" spans="1:13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</row>
    <row r="240" spans="1:13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</row>
    <row r="241" spans="1:13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</row>
    <row r="242" spans="1:13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</row>
    <row r="243" spans="1:13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</row>
    <row r="244" spans="1:13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</row>
    <row r="245" spans="1:13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</row>
    <row r="246" spans="1:13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</row>
    <row r="247" spans="1:13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</row>
    <row r="248" spans="1:13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</row>
    <row r="249" spans="1:13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</row>
    <row r="250" spans="1:13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</row>
    <row r="251" spans="1:13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</row>
    <row r="252" spans="1:13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</row>
    <row r="253" spans="1:13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</row>
    <row r="254" spans="1:13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</row>
    <row r="255" spans="1:13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</row>
    <row r="256" spans="1:13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</row>
    <row r="257" spans="1:13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</row>
    <row r="258" spans="1:13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</row>
    <row r="259" spans="1:13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</row>
    <row r="260" spans="1:13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</row>
    <row r="261" spans="1:13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</row>
    <row r="262" spans="1:13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</row>
    <row r="263" spans="1:13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</row>
    <row r="264" spans="1:13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</row>
    <row r="265" spans="1:13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</row>
    <row r="266" spans="1:13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</row>
    <row r="267" spans="1:13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</row>
    <row r="268" spans="1:13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</row>
    <row r="269" spans="1:13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</row>
    <row r="270" spans="1:13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</row>
    <row r="271" spans="1:13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</row>
    <row r="272" spans="1:13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</row>
    <row r="273" spans="1:13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</row>
    <row r="274" spans="1:13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</row>
    <row r="275" spans="1:13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</row>
    <row r="276" spans="1:13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</row>
    <row r="277" spans="1:13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</row>
    <row r="278" spans="1:13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</row>
    <row r="279" spans="1:13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</row>
    <row r="280" spans="1:13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</row>
    <row r="281" spans="1:13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</row>
    <row r="282" spans="1:13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</row>
    <row r="283" spans="1:13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</row>
    <row r="284" spans="1:13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</row>
    <row r="285" spans="1:13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</row>
    <row r="286" spans="1:13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</row>
    <row r="287" spans="1:13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</row>
    <row r="288" spans="1:13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</row>
    <row r="289" spans="1:13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</row>
    <row r="290" spans="1:13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</row>
    <row r="291" spans="1:13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</row>
    <row r="292" spans="1:13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</row>
    <row r="293" spans="1:13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</row>
    <row r="294" spans="1:13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</row>
    <row r="295" spans="1:13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</row>
    <row r="296" spans="1:13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</row>
    <row r="297" spans="1:13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</row>
    <row r="298" spans="1:13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</row>
    <row r="299" spans="1:13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</row>
    <row r="300" spans="1:13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</row>
    <row r="301" spans="1:13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</row>
    <row r="302" spans="1:13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</row>
    <row r="303" spans="1:13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</row>
    <row r="304" spans="1:13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</row>
    <row r="305" spans="1:13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</row>
    <row r="306" spans="1:13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</row>
    <row r="307" spans="1:13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</row>
    <row r="308" spans="1:13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</row>
    <row r="309" spans="1:13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</row>
    <row r="310" spans="1:13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</row>
    <row r="311" spans="1:13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</row>
    <row r="312" spans="1:13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</row>
    <row r="313" spans="1:13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</row>
    <row r="314" spans="1:13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</row>
    <row r="315" spans="1:13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</row>
    <row r="316" spans="1:13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</row>
    <row r="317" spans="1:13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</row>
    <row r="318" spans="1:13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</row>
    <row r="319" spans="1:13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</row>
    <row r="320" spans="1:13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</row>
    <row r="321" spans="1:13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</row>
    <row r="322" spans="1:13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</row>
    <row r="323" spans="1:13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</row>
    <row r="324" spans="1:13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</row>
    <row r="325" spans="1:13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</row>
    <row r="326" spans="1:13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</row>
    <row r="327" spans="1:13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</row>
    <row r="328" spans="1:13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</row>
    <row r="329" spans="1:13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</row>
    <row r="330" spans="1:13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</row>
    <row r="331" spans="1:13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</row>
    <row r="332" spans="1:1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</row>
    <row r="333" spans="1:13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</row>
    <row r="334" spans="1:13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</row>
    <row r="335" spans="1:13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</row>
    <row r="336" spans="1:13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</row>
    <row r="337" spans="1:13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</row>
    <row r="338" spans="1:13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</row>
    <row r="339" spans="1:13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</row>
    <row r="340" spans="1:13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</row>
    <row r="341" spans="1:13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</row>
    <row r="342" spans="1:13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</row>
    <row r="343" spans="1:13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</row>
    <row r="344" spans="1:13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</row>
    <row r="345" spans="1:13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</row>
    <row r="346" spans="1:13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</row>
    <row r="347" spans="1:13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</row>
    <row r="348" spans="1:13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</row>
    <row r="349" spans="1:13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</row>
    <row r="350" spans="1:13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</row>
    <row r="351" spans="1:13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</row>
    <row r="352" spans="1:13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</row>
    <row r="353" spans="1:13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</row>
    <row r="354" spans="1:13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</row>
    <row r="355" spans="1:13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</row>
    <row r="356" spans="1:13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</row>
    <row r="357" spans="1:13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</row>
    <row r="358" spans="1:13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</row>
    <row r="359" spans="1:13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</row>
    <row r="360" spans="1:13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</row>
    <row r="361" spans="1:13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</row>
    <row r="362" spans="1:13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</row>
    <row r="363" spans="1:13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</row>
    <row r="364" spans="1:13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</row>
    <row r="365" spans="1:13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</row>
    <row r="366" spans="1:13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</row>
    <row r="367" spans="1:13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</row>
    <row r="368" spans="1:13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</row>
    <row r="369" spans="1:13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</row>
    <row r="370" spans="1:13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</row>
    <row r="371" spans="1:13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</row>
    <row r="372" spans="1:13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</row>
    <row r="373" spans="1:13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</row>
    <row r="374" spans="1:13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</row>
    <row r="375" spans="1:13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</row>
    <row r="376" spans="1:13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</row>
    <row r="377" spans="1:13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</row>
    <row r="378" spans="1:13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</row>
    <row r="379" spans="1:13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</row>
    <row r="380" spans="1:13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</row>
    <row r="381" spans="1:13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</row>
    <row r="382" spans="1:13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</row>
    <row r="383" spans="1:13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</row>
    <row r="384" spans="1:13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</row>
    <row r="385" spans="1:13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</row>
    <row r="386" spans="1:13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</row>
    <row r="387" spans="1:13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</row>
    <row r="388" spans="1:13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</row>
    <row r="389" spans="1:13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</row>
    <row r="390" spans="1:13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</row>
    <row r="391" spans="1:13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</row>
    <row r="392" spans="1:13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</row>
    <row r="393" spans="1:13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</row>
    <row r="394" spans="1:13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</row>
    <row r="395" spans="1:13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</row>
    <row r="396" spans="1:13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</row>
    <row r="397" spans="1:13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</row>
    <row r="398" spans="1:13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</row>
    <row r="399" spans="1:13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</row>
    <row r="400" spans="1:13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</row>
    <row r="401" spans="1:13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</row>
    <row r="402" spans="1:13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</row>
    <row r="403" spans="1:13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</row>
    <row r="404" spans="1:13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</row>
    <row r="405" spans="1:13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</row>
    <row r="406" spans="1:13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</row>
    <row r="407" spans="1:13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</row>
    <row r="408" spans="1:13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</row>
    <row r="409" spans="1:13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</row>
    <row r="410" spans="1:13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</row>
    <row r="411" spans="1:13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</row>
    <row r="412" spans="1:13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</row>
    <row r="413" spans="1:13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</row>
    <row r="414" spans="1:13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</row>
    <row r="415" spans="1:13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</row>
    <row r="416" spans="1:13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</row>
    <row r="417" spans="1:13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</row>
    <row r="418" spans="1:13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</row>
    <row r="419" spans="1:13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</row>
    <row r="420" spans="1:13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</row>
    <row r="421" spans="1:13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</row>
    <row r="422" spans="1:13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</row>
    <row r="423" spans="1:13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</row>
    <row r="424" spans="1:13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</row>
    <row r="425" spans="1:13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</row>
    <row r="426" spans="1:13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</row>
    <row r="427" spans="1:13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</row>
    <row r="428" spans="1:13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</row>
    <row r="429" spans="1:13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</row>
    <row r="430" spans="1:13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</row>
    <row r="431" spans="1:13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</row>
    <row r="432" spans="1:1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</row>
    <row r="433" spans="1:13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</row>
    <row r="434" spans="1:13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</row>
    <row r="435" spans="1:13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</row>
    <row r="436" spans="1:13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</row>
    <row r="437" spans="1:13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</row>
    <row r="438" spans="1:13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</row>
    <row r="439" spans="1:13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</row>
    <row r="440" spans="1:13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</row>
    <row r="441" spans="1:13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</row>
    <row r="442" spans="1:13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</row>
    <row r="443" spans="1:13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</row>
    <row r="444" spans="1:13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</row>
    <row r="445" spans="1:13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</row>
    <row r="446" spans="1:13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</row>
    <row r="447" spans="1:13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</row>
    <row r="448" spans="1:13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</row>
    <row r="449" spans="1:13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</row>
    <row r="450" spans="1:13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</row>
    <row r="451" spans="1:13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</row>
    <row r="452" spans="1:13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</row>
    <row r="453" spans="1:13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</row>
    <row r="454" spans="1:13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</row>
    <row r="455" spans="1:13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</row>
    <row r="456" spans="1:13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</row>
    <row r="457" spans="1:13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</row>
    <row r="458" spans="1:13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</row>
    <row r="459" spans="1:13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</row>
    <row r="460" spans="1:13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</row>
    <row r="461" spans="1:13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</row>
    <row r="462" spans="1:13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</row>
    <row r="463" spans="1:13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</row>
    <row r="464" spans="1:13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</row>
    <row r="465" spans="1:13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</row>
    <row r="466" spans="1:13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</row>
    <row r="467" spans="1:13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</row>
    <row r="468" spans="1:13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</row>
    <row r="469" spans="1:13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</row>
    <row r="470" spans="1:13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</row>
    <row r="471" spans="1:13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</row>
    <row r="472" spans="1:13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</row>
    <row r="473" spans="1:13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</row>
    <row r="474" spans="1:13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</row>
    <row r="475" spans="1:13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</row>
    <row r="476" spans="1:13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</row>
    <row r="477" spans="1:13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</row>
    <row r="478" spans="1:13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</row>
    <row r="479" spans="1:13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</row>
    <row r="480" spans="1:13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</row>
    <row r="481" spans="1:13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</row>
    <row r="482" spans="1:13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</row>
    <row r="483" spans="1:13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</row>
    <row r="484" spans="1:13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</row>
    <row r="485" spans="1:13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</row>
    <row r="486" spans="1:13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</row>
    <row r="487" spans="1:13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</row>
    <row r="488" spans="1:13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</row>
    <row r="489" spans="1:13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</row>
    <row r="490" spans="1:13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</row>
    <row r="491" spans="1:13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</row>
    <row r="492" spans="1:13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</row>
    <row r="493" spans="1:13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</row>
    <row r="494" spans="1:13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</row>
    <row r="495" spans="1:13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</row>
    <row r="496" spans="1:13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</row>
    <row r="497" spans="1:13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</row>
    <row r="498" spans="1:13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</row>
    <row r="499" spans="1:13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</row>
    <row r="500" spans="1:13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</row>
    <row r="501" spans="1:13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</row>
    <row r="502" spans="1:13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</row>
    <row r="503" spans="1:13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</row>
    <row r="504" spans="1:13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</row>
    <row r="505" spans="1:13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</row>
    <row r="506" spans="1:13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</row>
    <row r="507" spans="1:13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</row>
    <row r="508" spans="1:13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</row>
    <row r="509" spans="1:13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</row>
    <row r="510" spans="1:13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</row>
    <row r="511" spans="1:13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</row>
    <row r="512" spans="1:13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</row>
    <row r="513" spans="1:13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</row>
    <row r="514" spans="1:13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</row>
    <row r="515" spans="1:13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</row>
    <row r="516" spans="1:13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</row>
    <row r="517" spans="1:13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</row>
    <row r="518" spans="1:13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</row>
    <row r="519" spans="1:13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</row>
    <row r="520" spans="1:13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</row>
    <row r="521" spans="1:13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</row>
    <row r="522" spans="1:13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</row>
    <row r="523" spans="1:13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</row>
    <row r="524" spans="1:13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</row>
    <row r="525" spans="1:13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</row>
    <row r="526" spans="1:13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</row>
    <row r="527" spans="1:13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</row>
    <row r="528" spans="1:13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</row>
    <row r="529" spans="1:13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</row>
    <row r="530" spans="1:13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</row>
    <row r="531" spans="1:13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</row>
    <row r="532" spans="1:1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</row>
    <row r="533" spans="1:13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</row>
    <row r="534" spans="1:13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</row>
    <row r="535" spans="1:13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</row>
    <row r="536" spans="1:13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</row>
    <row r="537" spans="1:13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</row>
    <row r="538" spans="1:13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</row>
    <row r="539" spans="1:13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</row>
    <row r="540" spans="1:13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</row>
    <row r="541" spans="1:13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</row>
    <row r="542" spans="1:13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</row>
    <row r="543" spans="1:13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</row>
    <row r="544" spans="1:13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</row>
    <row r="545" spans="1:13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</row>
    <row r="546" spans="1:13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</row>
    <row r="547" spans="1:13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</row>
    <row r="548" spans="1:13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</row>
    <row r="549" spans="1:13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</row>
    <row r="550" spans="1:13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</row>
    <row r="551" spans="1:13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</row>
    <row r="552" spans="1:13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</row>
    <row r="553" spans="1:13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</row>
    <row r="554" spans="1:13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</row>
    <row r="555" spans="1:13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</row>
    <row r="556" spans="1:13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</row>
    <row r="557" spans="1:13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</row>
    <row r="558" spans="1:13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</row>
    <row r="559" spans="1:13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</row>
    <row r="560" spans="1:13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</row>
    <row r="561" spans="1:13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</row>
    <row r="562" spans="1:13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</row>
    <row r="563" spans="1:13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</row>
    <row r="564" spans="1:13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</row>
    <row r="565" spans="1:13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</row>
    <row r="566" spans="1:13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</row>
    <row r="567" spans="1:13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</row>
    <row r="568" spans="1:13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</row>
    <row r="569" spans="1:13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</row>
    <row r="570" spans="1:13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</row>
    <row r="571" spans="1:13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</row>
    <row r="572" spans="1:13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</row>
    <row r="573" spans="1:13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</row>
    <row r="574" spans="1:13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</row>
    <row r="575" spans="1:13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</row>
    <row r="576" spans="1:13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</row>
    <row r="577" spans="1:13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</row>
    <row r="578" spans="1:13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</row>
    <row r="579" spans="1:13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</row>
    <row r="580" spans="1:13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</row>
    <row r="581" spans="1:13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</row>
    <row r="582" spans="1:13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</row>
    <row r="583" spans="1:13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</row>
    <row r="584" spans="1:13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</row>
    <row r="585" spans="1:13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</row>
    <row r="586" spans="1:13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</row>
    <row r="587" spans="1:13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</row>
    <row r="588" spans="1:13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</row>
    <row r="589" spans="1:13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</row>
    <row r="590" spans="1:13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</row>
    <row r="591" spans="1:13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</row>
    <row r="592" spans="1:13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</row>
    <row r="593" spans="1:13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</row>
    <row r="594" spans="1:13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</row>
    <row r="595" spans="1:13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</row>
    <row r="596" spans="1:13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</row>
    <row r="597" spans="1:13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</row>
    <row r="598" spans="1:13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</row>
    <row r="599" spans="1:13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</row>
    <row r="600" spans="1:13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</row>
    <row r="601" spans="1:13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</row>
    <row r="602" spans="1:13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</row>
    <row r="603" spans="1:13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</row>
    <row r="604" spans="1:13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</row>
    <row r="605" spans="1:13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</row>
    <row r="606" spans="1:13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</row>
    <row r="607" spans="1:13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</row>
    <row r="608" spans="1:13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</row>
    <row r="609" spans="1:13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</row>
    <row r="610" spans="1:13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</row>
    <row r="611" spans="1:13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</row>
    <row r="612" spans="1:13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</row>
    <row r="613" spans="1:13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</row>
    <row r="614" spans="1:13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</row>
    <row r="615" spans="1:13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</row>
    <row r="616" spans="1:13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</row>
    <row r="617" spans="1:13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</row>
    <row r="618" spans="1:13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</row>
    <row r="619" spans="1:13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</row>
    <row r="620" spans="1:13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</row>
    <row r="621" spans="1:13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</row>
    <row r="622" spans="1:13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</row>
    <row r="623" spans="1:13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</row>
    <row r="624" spans="1:13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</row>
    <row r="625" spans="1:13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</row>
    <row r="626" spans="1:13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</row>
    <row r="627" spans="1:13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</row>
    <row r="628" spans="1:13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</row>
    <row r="629" spans="1:13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</row>
    <row r="630" spans="1:13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</row>
    <row r="631" spans="1:13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</row>
    <row r="632" spans="1:1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</row>
    <row r="633" spans="1:13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</row>
    <row r="634" spans="1:13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</row>
    <row r="635" spans="1:13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</row>
    <row r="636" spans="1:13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</row>
    <row r="637" spans="1:13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</row>
    <row r="638" spans="1:13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</row>
    <row r="639" spans="1:13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</row>
    <row r="640" spans="1:13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</row>
    <row r="641" spans="1:13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</row>
    <row r="642" spans="1:13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</row>
    <row r="643" spans="1:13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</row>
    <row r="644" spans="1:13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</row>
    <row r="645" spans="1:13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</row>
    <row r="646" spans="1:13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</row>
    <row r="647" spans="1:13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</row>
    <row r="648" spans="1:13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</row>
    <row r="649" spans="1:13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</row>
    <row r="650" spans="1:13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</row>
    <row r="651" spans="1:13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</row>
    <row r="652" spans="1:13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</row>
    <row r="653" spans="1:13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</row>
    <row r="654" spans="1:13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</row>
    <row r="655" spans="1:13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</row>
    <row r="656" spans="1:13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</row>
    <row r="657" spans="1:13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</row>
    <row r="658" spans="1:13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</row>
    <row r="659" spans="1:13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</row>
    <row r="660" spans="1:13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</row>
    <row r="661" spans="1:13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</row>
    <row r="662" spans="1:13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</row>
    <row r="663" spans="1:13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</row>
    <row r="664" spans="1:13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</row>
    <row r="665" spans="1:13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</row>
    <row r="666" spans="1:13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</row>
    <row r="667" spans="1:13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</row>
    <row r="668" spans="1:13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</row>
    <row r="669" spans="1:13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</row>
    <row r="670" spans="1:13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</row>
    <row r="671" spans="1:13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</row>
    <row r="672" spans="1:13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</row>
    <row r="673" spans="1:13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</row>
    <row r="674" spans="1:13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</row>
    <row r="675" spans="1:13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</row>
    <row r="676" spans="1:13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</row>
    <row r="677" spans="1:13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</row>
    <row r="678" spans="1:13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</row>
    <row r="679" spans="1:13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</row>
    <row r="680" spans="1:13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</row>
    <row r="681" spans="1:13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</row>
    <row r="682" spans="1:13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</row>
    <row r="683" spans="1:13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</row>
    <row r="684" spans="1:13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</row>
    <row r="685" spans="1:13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</row>
    <row r="686" spans="1:13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</row>
    <row r="687" spans="1:13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</row>
    <row r="688" spans="1:13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</row>
    <row r="689" spans="1:13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</row>
    <row r="690" spans="1:13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</row>
    <row r="691" spans="1:13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</row>
    <row r="692" spans="1:13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</row>
    <row r="693" spans="1:13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</row>
    <row r="694" spans="1:13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</row>
    <row r="695" spans="1:13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</row>
    <row r="696" spans="1:13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</row>
    <row r="697" spans="1:13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</row>
    <row r="698" spans="1:13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</row>
    <row r="699" spans="1:13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</row>
    <row r="700" spans="1:13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</row>
    <row r="701" spans="1:13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</row>
    <row r="702" spans="1:13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</row>
    <row r="703" spans="1:13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</row>
    <row r="704" spans="1:13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</row>
    <row r="705" spans="1:13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</row>
    <row r="706" spans="1:13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</row>
    <row r="707" spans="1:13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</row>
    <row r="708" spans="1:13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</row>
    <row r="709" spans="1:13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</row>
    <row r="710" spans="1:13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</row>
    <row r="711" spans="1:13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</row>
    <row r="712" spans="1:13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</row>
    <row r="713" spans="1:13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</row>
    <row r="714" spans="1:13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</row>
    <row r="715" spans="1:13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</row>
    <row r="716" spans="1:13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</row>
    <row r="717" spans="1:13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</row>
    <row r="718" spans="1:13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</row>
    <row r="719" spans="1:13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</row>
    <row r="720" spans="1:13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</row>
    <row r="721" spans="1:13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</row>
    <row r="722" spans="1:13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</row>
    <row r="723" spans="1:13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</row>
    <row r="724" spans="1:13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</row>
    <row r="725" spans="1:13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</row>
    <row r="726" spans="1:13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</row>
    <row r="727" spans="1:13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</row>
    <row r="728" spans="1:13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</row>
    <row r="729" spans="1:13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</row>
    <row r="730" spans="1:13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</row>
    <row r="731" spans="1:13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</row>
    <row r="732" spans="1:1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</row>
    <row r="733" spans="1:13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</row>
    <row r="734" spans="1:13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</row>
    <row r="735" spans="1:13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</row>
    <row r="736" spans="1:13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</row>
    <row r="737" spans="1:13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</row>
    <row r="738" spans="1:13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</row>
    <row r="739" spans="1:13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</row>
    <row r="740" spans="1:13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</row>
    <row r="741" spans="1:13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</row>
    <row r="742" spans="1:13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</row>
    <row r="743" spans="1:13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</row>
    <row r="744" spans="1:13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</row>
    <row r="745" spans="1:13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</row>
    <row r="746" spans="1:13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</row>
    <row r="747" spans="1:13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</row>
    <row r="748" spans="1:13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</row>
    <row r="749" spans="1:13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</row>
    <row r="750" spans="1:13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</row>
    <row r="751" spans="1:13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</row>
    <row r="752" spans="1:13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</row>
    <row r="753" spans="1:13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</row>
    <row r="754" spans="1:13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</row>
    <row r="755" spans="1:13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</row>
    <row r="756" spans="1:13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</row>
    <row r="757" spans="1:13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</row>
    <row r="758" spans="1:13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</row>
    <row r="759" spans="1:13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</row>
    <row r="760" spans="1:13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</row>
    <row r="761" spans="1:13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</row>
    <row r="762" spans="1:13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</row>
    <row r="763" spans="1:13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</row>
    <row r="764" spans="1:13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</row>
    <row r="765" spans="1:13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</row>
    <row r="766" spans="1:13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</row>
    <row r="767" spans="1:13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</row>
    <row r="768" spans="1:13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</row>
    <row r="769" spans="1:13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</row>
    <row r="770" spans="1:13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</row>
    <row r="771" spans="1:13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</row>
    <row r="772" spans="1:13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</row>
    <row r="773" spans="1:13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</row>
    <row r="774" spans="1:13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</row>
    <row r="775" spans="1:13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</row>
    <row r="776" spans="1:13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</row>
    <row r="777" spans="1:13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</row>
    <row r="778" spans="1:13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</row>
    <row r="779" spans="1:13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</row>
    <row r="780" spans="1:13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</row>
    <row r="781" spans="1:13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</row>
    <row r="782" spans="1:13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</row>
    <row r="783" spans="1:13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</row>
    <row r="784" spans="1:13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</row>
    <row r="785" spans="1:13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</row>
    <row r="786" spans="1:13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</row>
    <row r="787" spans="1:13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</row>
    <row r="788" spans="1:13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</row>
    <row r="789" spans="1:13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</row>
    <row r="790" spans="1:13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</row>
    <row r="791" spans="1:13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</row>
    <row r="792" spans="1:13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</row>
    <row r="793" spans="1:13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</row>
    <row r="794" spans="1:13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</row>
    <row r="795" spans="1:13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</row>
    <row r="796" spans="1:13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</row>
    <row r="797" spans="1:13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</row>
    <row r="798" spans="1:13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</row>
    <row r="799" spans="1:13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</row>
    <row r="800" spans="1:13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</row>
    <row r="801" spans="1:13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</row>
    <row r="802" spans="1:13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</row>
    <row r="803" spans="1:13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</row>
    <row r="804" spans="1:13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</row>
    <row r="805" spans="1:13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</row>
    <row r="806" spans="1:13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</row>
    <row r="807" spans="1:13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</row>
    <row r="808" spans="1:13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</row>
    <row r="809" spans="1:13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</row>
    <row r="810" spans="1:13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</row>
    <row r="811" spans="1:13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</row>
    <row r="812" spans="1:13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</row>
    <row r="813" spans="1:13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</row>
    <row r="814" spans="1:13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</row>
    <row r="815" spans="1:13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</row>
    <row r="816" spans="1:13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</row>
    <row r="817" spans="1:13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</row>
    <row r="818" spans="1:13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</row>
    <row r="819" spans="1:13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</row>
    <row r="820" spans="1:13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</row>
    <row r="821" spans="1:13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</row>
    <row r="822" spans="1:13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</row>
    <row r="823" spans="1:13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</row>
    <row r="824" spans="1:13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</row>
    <row r="825" spans="1:13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</row>
    <row r="826" spans="1:13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</row>
    <row r="827" spans="1:13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</row>
    <row r="828" spans="1:13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</row>
    <row r="829" spans="1:13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</row>
    <row r="830" spans="1:13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</row>
    <row r="831" spans="1:13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</row>
    <row r="832" spans="1:1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</row>
    <row r="833" spans="1:13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</row>
    <row r="834" spans="1:13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</row>
    <row r="835" spans="1:13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</row>
    <row r="836" spans="1:13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</row>
    <row r="837" spans="1:13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</row>
    <row r="838" spans="1:13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</row>
    <row r="839" spans="1:13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</row>
    <row r="840" spans="1:13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</row>
    <row r="841" spans="1:13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</row>
    <row r="842" spans="1:13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</row>
    <row r="843" spans="1:13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</row>
    <row r="844" spans="1:13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</row>
    <row r="845" spans="1:13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</row>
    <row r="846" spans="1:13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</row>
    <row r="847" spans="1:13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</row>
    <row r="848" spans="1:13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</row>
    <row r="849" spans="1:13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</row>
    <row r="850" spans="1:13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</row>
    <row r="851" spans="1:13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</row>
    <row r="852" spans="1:13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</row>
    <row r="853" spans="1:13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</row>
    <row r="854" spans="1:13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</row>
    <row r="855" spans="1:13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</row>
    <row r="856" spans="1:13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</row>
    <row r="857" spans="1:13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</row>
    <row r="858" spans="1:13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</row>
    <row r="859" spans="1:13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</row>
    <row r="860" spans="1:13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</row>
    <row r="861" spans="1:13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</row>
    <row r="862" spans="1:13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</row>
    <row r="863" spans="1:13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</row>
    <row r="864" spans="1:13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</row>
    <row r="865" spans="1:13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</row>
    <row r="866" spans="1:13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</row>
    <row r="867" spans="1:13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</row>
    <row r="868" spans="1:13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</row>
    <row r="869" spans="1:13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</row>
    <row r="870" spans="1:13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</row>
    <row r="871" spans="1:13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</row>
    <row r="872" spans="1:13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</row>
    <row r="873" spans="1:13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</row>
    <row r="874" spans="1:13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</row>
    <row r="875" spans="1:13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</row>
    <row r="876" spans="1:13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</row>
    <row r="877" spans="1:13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</row>
    <row r="878" spans="1:13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</row>
    <row r="879" spans="1:13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</row>
    <row r="880" spans="1:13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</row>
    <row r="881" spans="1:13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</row>
    <row r="882" spans="1:13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</row>
    <row r="883" spans="1:13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</row>
    <row r="884" spans="1:13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</row>
    <row r="885" spans="1:13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</row>
    <row r="886" spans="1:13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</row>
    <row r="887" spans="1:13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</row>
    <row r="888" spans="1:13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</row>
    <row r="889" spans="1:13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</row>
    <row r="890" spans="1:13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</row>
    <row r="891" spans="1:13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</row>
    <row r="892" spans="1:13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</row>
    <row r="893" spans="1:13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</row>
    <row r="894" spans="1:13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</row>
    <row r="895" spans="1:13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</row>
    <row r="896" spans="1:13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</row>
    <row r="897" spans="1:13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</row>
    <row r="898" spans="1:13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</row>
    <row r="899" spans="1:13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</row>
    <row r="900" spans="1:13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</row>
    <row r="901" spans="1:13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</row>
    <row r="902" spans="1:13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</row>
    <row r="903" spans="1:13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</row>
    <row r="904" spans="1:13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</row>
    <row r="905" spans="1:13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</row>
    <row r="906" spans="1:13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</row>
    <row r="907" spans="1:13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</row>
    <row r="908" spans="1:13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</row>
    <row r="909" spans="1:13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</row>
    <row r="910" spans="1:13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</row>
    <row r="911" spans="1:13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</row>
    <row r="912" spans="1:13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</row>
    <row r="913" spans="1:13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</row>
    <row r="914" spans="1:13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</row>
    <row r="915" spans="1:13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</row>
    <row r="916" spans="1:13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</row>
    <row r="917" spans="1:13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</row>
    <row r="918" spans="1:13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</row>
    <row r="919" spans="1:13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</row>
    <row r="920" spans="1:13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</row>
    <row r="921" spans="1:13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</row>
    <row r="922" spans="1:13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</row>
    <row r="923" spans="1:13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</row>
    <row r="924" spans="1:13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</row>
    <row r="925" spans="1:13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</row>
    <row r="926" spans="1:13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</row>
    <row r="927" spans="1:13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</row>
    <row r="928" spans="1:13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</row>
    <row r="929" spans="1:13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</row>
    <row r="930" spans="1:13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</row>
    <row r="931" spans="1:13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</row>
    <row r="932" spans="1:1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</row>
    <row r="933" spans="1:13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</row>
    <row r="934" spans="1:13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</row>
    <row r="935" spans="1:13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</row>
    <row r="936" spans="1:13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</row>
    <row r="937" spans="1:13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</row>
    <row r="938" spans="1:13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</row>
    <row r="939" spans="1:13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</row>
    <row r="940" spans="1:13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</row>
    <row r="941" spans="1:13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</row>
    <row r="942" spans="1:13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</row>
    <row r="943" spans="1:13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</row>
    <row r="944" spans="1:13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</row>
    <row r="945" spans="1:13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</row>
    <row r="946" spans="1:13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</row>
    <row r="947" spans="1:13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</row>
    <row r="948" spans="1:13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</row>
    <row r="949" spans="1:13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</row>
    <row r="950" spans="1:13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</row>
    <row r="951" spans="1:13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</row>
    <row r="952" spans="1:13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</row>
    <row r="953" spans="1:13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</row>
    <row r="954" spans="1:13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</row>
    <row r="955" spans="1:13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</row>
    <row r="956" spans="1:13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</row>
    <row r="957" spans="1:13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</row>
    <row r="958" spans="1:13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</row>
    <row r="959" spans="1:13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</row>
    <row r="960" spans="1:13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</row>
    <row r="961" spans="1:13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</row>
    <row r="962" spans="1:13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</row>
    <row r="963" spans="1:13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</row>
    <row r="964" spans="1:13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</row>
    <row r="965" spans="1:13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</row>
    <row r="966" spans="1:13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</row>
    <row r="967" spans="1:13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</row>
    <row r="968" spans="1:13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</row>
    <row r="969" spans="1:13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</row>
    <row r="970" spans="1:13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</row>
    <row r="971" spans="1:13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</row>
    <row r="972" spans="1:13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</row>
    <row r="973" spans="1:13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</row>
    <row r="974" spans="1:13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</row>
    <row r="975" spans="1:13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</row>
    <row r="976" spans="1:13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</row>
    <row r="977" spans="1:13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</row>
    <row r="978" spans="1:13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</row>
    <row r="979" spans="1:13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</row>
    <row r="980" spans="1:13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</row>
    <row r="981" spans="1:13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</row>
    <row r="982" spans="1:13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</row>
  </sheetData>
  <mergeCells count="69">
    <mergeCell ref="C61:I61"/>
    <mergeCell ref="C62:I62"/>
    <mergeCell ref="C63:I63"/>
    <mergeCell ref="C64:I64"/>
    <mergeCell ref="B60:B64"/>
    <mergeCell ref="C58:I58"/>
    <mergeCell ref="C59:I59"/>
    <mergeCell ref="C60:I60"/>
    <mergeCell ref="B53:B56"/>
    <mergeCell ref="B57:B59"/>
    <mergeCell ref="C53:I53"/>
    <mergeCell ref="C54:I54"/>
    <mergeCell ref="C55:I55"/>
    <mergeCell ref="C56:I56"/>
    <mergeCell ref="C57:I57"/>
    <mergeCell ref="C50:I50"/>
    <mergeCell ref="C51:I51"/>
    <mergeCell ref="C52:I52"/>
    <mergeCell ref="B40:B43"/>
    <mergeCell ref="B44:B47"/>
    <mergeCell ref="B48:B52"/>
    <mergeCell ref="C45:I45"/>
    <mergeCell ref="C46:I46"/>
    <mergeCell ref="C47:I47"/>
    <mergeCell ref="C48:I48"/>
    <mergeCell ref="C49:I49"/>
    <mergeCell ref="C40:I40"/>
    <mergeCell ref="C41:I41"/>
    <mergeCell ref="C42:I42"/>
    <mergeCell ref="C43:I43"/>
    <mergeCell ref="C44:I44"/>
    <mergeCell ref="C37:I37"/>
    <mergeCell ref="C38:I38"/>
    <mergeCell ref="C39:I39"/>
    <mergeCell ref="B25:B27"/>
    <mergeCell ref="B28:B32"/>
    <mergeCell ref="B33:B35"/>
    <mergeCell ref="B36:B39"/>
    <mergeCell ref="C32:I32"/>
    <mergeCell ref="C33:I33"/>
    <mergeCell ref="C34:I34"/>
    <mergeCell ref="C35:I35"/>
    <mergeCell ref="C36:I36"/>
    <mergeCell ref="C27:I27"/>
    <mergeCell ref="C28:I28"/>
    <mergeCell ref="C29:I29"/>
    <mergeCell ref="C30:I30"/>
    <mergeCell ref="C31:I31"/>
    <mergeCell ref="C22:I22"/>
    <mergeCell ref="C23:I23"/>
    <mergeCell ref="C24:I24"/>
    <mergeCell ref="C25:I25"/>
    <mergeCell ref="C26:I26"/>
    <mergeCell ref="B16:B18"/>
    <mergeCell ref="B19:B24"/>
    <mergeCell ref="C17:I17"/>
    <mergeCell ref="C16:I16"/>
    <mergeCell ref="C18:I18"/>
    <mergeCell ref="C19:I19"/>
    <mergeCell ref="C20:I20"/>
    <mergeCell ref="C21:I21"/>
    <mergeCell ref="M2:M3"/>
    <mergeCell ref="N2:N3"/>
    <mergeCell ref="O2:O3"/>
    <mergeCell ref="B2:B3"/>
    <mergeCell ref="D2:H2"/>
    <mergeCell ref="C2:C3"/>
    <mergeCell ref="I2:J2"/>
    <mergeCell ref="K2:L2"/>
  </mergeCells>
  <hyperlinks>
    <hyperlink ref="C14" r:id="rId1" xr:uid="{89DBEBF0-12F2-45FE-9791-086A2382D38F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B82AC-7A3E-479E-ABFE-2FAE36096A31}">
  <dimension ref="A1:CY676"/>
  <sheetViews>
    <sheetView zoomScale="80" zoomScaleNormal="80" workbookViewId="0">
      <pane xSplit="2" topLeftCell="C1" activePane="topRight" state="frozen"/>
      <selection pane="topRight" activeCell="C2" sqref="C2"/>
    </sheetView>
  </sheetViews>
  <sheetFormatPr defaultRowHeight="14.5"/>
  <cols>
    <col min="2" max="2" width="27.453125" customWidth="1"/>
    <col min="3" max="3" width="10.54296875" customWidth="1"/>
    <col min="4" max="34" width="10.54296875" bestFit="1" customWidth="1"/>
  </cols>
  <sheetData>
    <row r="1" spans="1:103" ht="15" thickBo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</row>
    <row r="2" spans="1:103" ht="15" thickBot="1">
      <c r="A2" s="18"/>
      <c r="B2" s="34" t="s">
        <v>82</v>
      </c>
      <c r="C2" s="20"/>
      <c r="D2" s="20"/>
      <c r="E2" s="20"/>
      <c r="F2" s="20"/>
      <c r="G2" s="20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</row>
    <row r="3" spans="1:103">
      <c r="A3" s="18"/>
      <c r="B3" s="19" t="s">
        <v>77</v>
      </c>
      <c r="C3" s="15">
        <v>2019</v>
      </c>
      <c r="D3" s="15">
        <v>2020</v>
      </c>
      <c r="E3" s="15">
        <v>2021</v>
      </c>
      <c r="F3" s="9">
        <v>2022</v>
      </c>
      <c r="G3" s="9">
        <v>2023</v>
      </c>
      <c r="H3" s="9">
        <v>2024</v>
      </c>
      <c r="I3" s="9">
        <v>2025</v>
      </c>
      <c r="J3" s="9">
        <v>2026</v>
      </c>
      <c r="K3" s="9">
        <v>2027</v>
      </c>
      <c r="L3" s="9">
        <v>2028</v>
      </c>
      <c r="M3" s="9">
        <v>2029</v>
      </c>
      <c r="N3" s="9">
        <v>2030</v>
      </c>
      <c r="O3" s="9">
        <v>2031</v>
      </c>
      <c r="P3" s="9">
        <v>2032</v>
      </c>
      <c r="Q3" s="9">
        <v>2033</v>
      </c>
      <c r="R3" s="9">
        <v>2034</v>
      </c>
      <c r="S3" s="9">
        <v>2035</v>
      </c>
      <c r="T3" s="9">
        <v>2036</v>
      </c>
      <c r="U3" s="9">
        <v>2037</v>
      </c>
      <c r="V3" s="9">
        <v>2038</v>
      </c>
      <c r="W3" s="9">
        <v>2039</v>
      </c>
      <c r="X3" s="9">
        <v>2040</v>
      </c>
      <c r="Y3" s="9">
        <v>2041</v>
      </c>
      <c r="Z3" s="9">
        <v>2042</v>
      </c>
      <c r="AA3" s="9">
        <v>2043</v>
      </c>
      <c r="AB3" s="9">
        <v>2044</v>
      </c>
      <c r="AC3" s="9">
        <v>2045</v>
      </c>
      <c r="AD3" s="9">
        <v>2046</v>
      </c>
      <c r="AE3" s="9">
        <v>2047</v>
      </c>
      <c r="AF3" s="9">
        <v>2048</v>
      </c>
      <c r="AG3" s="9">
        <v>2049</v>
      </c>
      <c r="AH3" s="9">
        <v>2050</v>
      </c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</row>
    <row r="4" spans="1:103">
      <c r="A4" s="18"/>
      <c r="B4" s="9" t="s">
        <v>81</v>
      </c>
      <c r="C4" s="37">
        <v>4241</v>
      </c>
      <c r="D4" s="22">
        <f>((D3-$C$3)*($N$4-$C$4)/(2030-2019))+$C$4</f>
        <v>4214.909090909091</v>
      </c>
      <c r="E4" s="22">
        <f>((E3-$C$3)*($N$4-$C$4)/(2030-2019))+$C$4</f>
        <v>4188.818181818182</v>
      </c>
      <c r="F4" s="22">
        <f t="shared" ref="F4:M4" si="0">((F3-$C$3)*($N$4-$C$4)/(2030-2019))+$C$4</f>
        <v>4162.727272727273</v>
      </c>
      <c r="G4" s="22">
        <f t="shared" si="0"/>
        <v>4136.636363636364</v>
      </c>
      <c r="H4" s="22">
        <f t="shared" si="0"/>
        <v>4110.545454545455</v>
      </c>
      <c r="I4" s="22">
        <f t="shared" si="0"/>
        <v>4084.4545454545455</v>
      </c>
      <c r="J4" s="22">
        <f t="shared" si="0"/>
        <v>4058.3636363636365</v>
      </c>
      <c r="K4" s="22">
        <f t="shared" si="0"/>
        <v>4032.2727272727275</v>
      </c>
      <c r="L4" s="22">
        <f t="shared" si="0"/>
        <v>4006.181818181818</v>
      </c>
      <c r="M4" s="22">
        <f t="shared" si="0"/>
        <v>3980.090909090909</v>
      </c>
      <c r="N4" s="37">
        <v>3954</v>
      </c>
      <c r="O4" s="22">
        <f>((O3-$N$3)*($AH$4-$N$4)/(2050-2030))+$N$4</f>
        <v>3951.7</v>
      </c>
      <c r="P4" s="22">
        <f t="shared" ref="P4:AG4" si="1">((P3-$N$3)*($AH$4-$N$4)/(2050-2030))+$N$4</f>
        <v>3949.4</v>
      </c>
      <c r="Q4" s="22">
        <f t="shared" si="1"/>
        <v>3947.1</v>
      </c>
      <c r="R4" s="22">
        <f t="shared" si="1"/>
        <v>3944.8</v>
      </c>
      <c r="S4" s="22">
        <f t="shared" si="1"/>
        <v>3942.5</v>
      </c>
      <c r="T4" s="22">
        <f t="shared" si="1"/>
        <v>3940.2</v>
      </c>
      <c r="U4" s="22">
        <f t="shared" si="1"/>
        <v>3937.9</v>
      </c>
      <c r="V4" s="22">
        <f t="shared" si="1"/>
        <v>3935.6</v>
      </c>
      <c r="W4" s="22">
        <f t="shared" si="1"/>
        <v>3933.3</v>
      </c>
      <c r="X4" s="22">
        <f t="shared" si="1"/>
        <v>3931</v>
      </c>
      <c r="Y4" s="22">
        <f t="shared" si="1"/>
        <v>3928.7</v>
      </c>
      <c r="Z4" s="22">
        <f t="shared" si="1"/>
        <v>3926.4</v>
      </c>
      <c r="AA4" s="22">
        <f t="shared" si="1"/>
        <v>3924.1</v>
      </c>
      <c r="AB4" s="22">
        <f t="shared" si="1"/>
        <v>3921.8</v>
      </c>
      <c r="AC4" s="22">
        <f t="shared" si="1"/>
        <v>3919.5</v>
      </c>
      <c r="AD4" s="22">
        <f t="shared" si="1"/>
        <v>3917.2</v>
      </c>
      <c r="AE4" s="22">
        <f t="shared" si="1"/>
        <v>3914.9</v>
      </c>
      <c r="AF4" s="22">
        <f t="shared" si="1"/>
        <v>3912.6</v>
      </c>
      <c r="AG4" s="22">
        <f t="shared" si="1"/>
        <v>3910.3</v>
      </c>
      <c r="AH4" s="37">
        <v>3908</v>
      </c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</row>
    <row r="5" spans="1:103">
      <c r="A5" s="18"/>
      <c r="B5" s="9" t="s">
        <v>36</v>
      </c>
      <c r="C5" s="37">
        <v>6049</v>
      </c>
      <c r="D5" s="22">
        <f>((D3-$C$3)*($N$5-$C$5)/(2030-2019))+$C$5</f>
        <v>6019.090909090909</v>
      </c>
      <c r="E5" s="22">
        <f t="shared" ref="E5:M5" si="2">((E3-$C$3)*($N$5-$C$5)/(2030-2019))+$C$5</f>
        <v>5989.181818181818</v>
      </c>
      <c r="F5" s="22">
        <f t="shared" si="2"/>
        <v>5959.272727272727</v>
      </c>
      <c r="G5" s="22">
        <f t="shared" si="2"/>
        <v>5929.363636363636</v>
      </c>
      <c r="H5" s="22">
        <f t="shared" si="2"/>
        <v>5899.454545454545</v>
      </c>
      <c r="I5" s="22">
        <f t="shared" si="2"/>
        <v>5869.545454545455</v>
      </c>
      <c r="J5" s="22">
        <f t="shared" si="2"/>
        <v>5839.636363636364</v>
      </c>
      <c r="K5" s="22">
        <f t="shared" si="2"/>
        <v>5809.727272727273</v>
      </c>
      <c r="L5" s="22">
        <f t="shared" si="2"/>
        <v>5779.818181818182</v>
      </c>
      <c r="M5" s="22">
        <f t="shared" si="2"/>
        <v>5749.909090909091</v>
      </c>
      <c r="N5" s="37">
        <v>5720</v>
      </c>
      <c r="O5" s="22">
        <f>((O3-$N$3)*($AH$5-$N$5)/(2050-2030))+$N$5</f>
        <v>5713.9250000000002</v>
      </c>
      <c r="P5" s="22">
        <f t="shared" ref="P5:AG5" si="3">((P3-$N$3)*($AH$5-$N$5)/(2050-2030))+$N$5</f>
        <v>5707.85</v>
      </c>
      <c r="Q5" s="22">
        <f t="shared" si="3"/>
        <v>5701.7749999999996</v>
      </c>
      <c r="R5" s="22">
        <f t="shared" si="3"/>
        <v>5695.7</v>
      </c>
      <c r="S5" s="22">
        <f t="shared" si="3"/>
        <v>5689.625</v>
      </c>
      <c r="T5" s="22">
        <f t="shared" si="3"/>
        <v>5683.55</v>
      </c>
      <c r="U5" s="22">
        <f t="shared" si="3"/>
        <v>5677.4750000000004</v>
      </c>
      <c r="V5" s="22">
        <f t="shared" si="3"/>
        <v>5671.4</v>
      </c>
      <c r="W5" s="22">
        <f t="shared" si="3"/>
        <v>5665.3249999999998</v>
      </c>
      <c r="X5" s="22">
        <f t="shared" si="3"/>
        <v>5659.25</v>
      </c>
      <c r="Y5" s="22">
        <f t="shared" si="3"/>
        <v>5653.1750000000002</v>
      </c>
      <c r="Z5" s="22">
        <f t="shared" si="3"/>
        <v>5647.1</v>
      </c>
      <c r="AA5" s="22">
        <f t="shared" si="3"/>
        <v>5641.0249999999996</v>
      </c>
      <c r="AB5" s="22">
        <f t="shared" si="3"/>
        <v>5634.95</v>
      </c>
      <c r="AC5" s="22">
        <f t="shared" si="3"/>
        <v>5628.875</v>
      </c>
      <c r="AD5" s="22">
        <f t="shared" si="3"/>
        <v>5622.8</v>
      </c>
      <c r="AE5" s="22">
        <f t="shared" si="3"/>
        <v>5616.7250000000004</v>
      </c>
      <c r="AF5" s="22">
        <f t="shared" si="3"/>
        <v>5610.65</v>
      </c>
      <c r="AG5" s="22">
        <f t="shared" si="3"/>
        <v>5604.5749999999998</v>
      </c>
      <c r="AH5" s="37">
        <v>5598.5</v>
      </c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</row>
    <row r="6" spans="1:103">
      <c r="A6" s="18"/>
      <c r="B6" s="9" t="s">
        <v>89</v>
      </c>
      <c r="C6" s="37">
        <v>902</v>
      </c>
      <c r="D6" s="22">
        <f>((D3-$C$3)*($N$6-$C$6)/(2030-2019))+$C$6</f>
        <v>897.4545454545455</v>
      </c>
      <c r="E6" s="22">
        <f t="shared" ref="E6:M6" si="4">((E3-$C$3)*($N$6-$C$6)/(2030-2019))+$C$6</f>
        <v>892.90909090909088</v>
      </c>
      <c r="F6" s="22">
        <f t="shared" si="4"/>
        <v>888.36363636363637</v>
      </c>
      <c r="G6" s="22">
        <f t="shared" si="4"/>
        <v>883.81818181818187</v>
      </c>
      <c r="H6" s="22">
        <f t="shared" si="4"/>
        <v>879.27272727272725</v>
      </c>
      <c r="I6" s="22">
        <f t="shared" si="4"/>
        <v>874.72727272727275</v>
      </c>
      <c r="J6" s="22">
        <f t="shared" si="4"/>
        <v>870.18181818181813</v>
      </c>
      <c r="K6" s="22">
        <f t="shared" si="4"/>
        <v>865.63636363636363</v>
      </c>
      <c r="L6" s="22">
        <f t="shared" si="4"/>
        <v>861.09090909090912</v>
      </c>
      <c r="M6" s="22">
        <f t="shared" si="4"/>
        <v>856.5454545454545</v>
      </c>
      <c r="N6" s="37">
        <v>852</v>
      </c>
      <c r="O6" s="22">
        <f>((O3-$N$3)*($AH$6-$N$6)/(2050-2030))+$N$6</f>
        <v>848.7</v>
      </c>
      <c r="P6" s="22">
        <f t="shared" ref="P6:AG6" si="5">((P3-$N$3)*($AH$6-$N$6)/(2050-2030))+$N$6</f>
        <v>845.4</v>
      </c>
      <c r="Q6" s="22">
        <f t="shared" si="5"/>
        <v>842.1</v>
      </c>
      <c r="R6" s="22">
        <f t="shared" si="5"/>
        <v>838.8</v>
      </c>
      <c r="S6" s="22">
        <f t="shared" si="5"/>
        <v>835.5</v>
      </c>
      <c r="T6" s="22">
        <f t="shared" si="5"/>
        <v>832.2</v>
      </c>
      <c r="U6" s="22">
        <f t="shared" si="5"/>
        <v>828.9</v>
      </c>
      <c r="V6" s="22">
        <f t="shared" si="5"/>
        <v>825.6</v>
      </c>
      <c r="W6" s="22">
        <f t="shared" si="5"/>
        <v>822.3</v>
      </c>
      <c r="X6" s="22">
        <f t="shared" si="5"/>
        <v>819</v>
      </c>
      <c r="Y6" s="22">
        <f t="shared" si="5"/>
        <v>815.7</v>
      </c>
      <c r="Z6" s="22">
        <f t="shared" si="5"/>
        <v>812.4</v>
      </c>
      <c r="AA6" s="22">
        <f t="shared" si="5"/>
        <v>809.1</v>
      </c>
      <c r="AB6" s="22">
        <f t="shared" si="5"/>
        <v>805.8</v>
      </c>
      <c r="AC6" s="22">
        <f t="shared" si="5"/>
        <v>802.5</v>
      </c>
      <c r="AD6" s="22">
        <f t="shared" si="5"/>
        <v>799.2</v>
      </c>
      <c r="AE6" s="22">
        <f t="shared" si="5"/>
        <v>795.9</v>
      </c>
      <c r="AF6" s="22">
        <f t="shared" si="5"/>
        <v>792.6</v>
      </c>
      <c r="AG6" s="22">
        <f t="shared" si="5"/>
        <v>789.3</v>
      </c>
      <c r="AH6" s="37">
        <v>786</v>
      </c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</row>
    <row r="7" spans="1:103">
      <c r="A7" s="18"/>
      <c r="B7" s="15" t="s">
        <v>88</v>
      </c>
      <c r="C7" s="37">
        <v>1054</v>
      </c>
      <c r="D7" s="22">
        <f>((D3-$C$3)*($N$7-$C$7)/(2030-2019))+$C$7</f>
        <v>1049.1818181818182</v>
      </c>
      <c r="E7" s="22">
        <f t="shared" ref="E7:L7" si="6">((E3-$C$3)*($N$7-$C$7)/(2030-2019))+$C$7</f>
        <v>1044.3636363636363</v>
      </c>
      <c r="F7" s="22">
        <f t="shared" si="6"/>
        <v>1039.5454545454545</v>
      </c>
      <c r="G7" s="22">
        <f t="shared" si="6"/>
        <v>1034.7272727272727</v>
      </c>
      <c r="H7" s="22">
        <f t="shared" si="6"/>
        <v>1029.909090909091</v>
      </c>
      <c r="I7" s="22">
        <f t="shared" si="6"/>
        <v>1025.090909090909</v>
      </c>
      <c r="J7" s="22">
        <f t="shared" si="6"/>
        <v>1020.2727272727273</v>
      </c>
      <c r="K7" s="22">
        <f t="shared" si="6"/>
        <v>1015.4545454545455</v>
      </c>
      <c r="L7" s="22">
        <f t="shared" si="6"/>
        <v>1010.6363636363636</v>
      </c>
      <c r="M7" s="22">
        <f>((M3-$C$3)*($N$7-$C$7)/(2030-2019))+$C$7</f>
        <v>1005.8181818181819</v>
      </c>
      <c r="N7" s="37">
        <v>1001</v>
      </c>
      <c r="O7" s="22">
        <f>((O3-$N$3)*($AH$7-$N$7)/(2050-2030))+$N$7</f>
        <v>997.3</v>
      </c>
      <c r="P7" s="22">
        <f t="shared" ref="P7:AG7" si="7">((P3-$N$3)*($AH$7-$N$7)/(2050-2030))+$N$7</f>
        <v>993.6</v>
      </c>
      <c r="Q7" s="22">
        <f t="shared" si="7"/>
        <v>989.9</v>
      </c>
      <c r="R7" s="22">
        <f t="shared" si="7"/>
        <v>986.2</v>
      </c>
      <c r="S7" s="22">
        <f t="shared" si="7"/>
        <v>982.5</v>
      </c>
      <c r="T7" s="22">
        <f t="shared" si="7"/>
        <v>978.8</v>
      </c>
      <c r="U7" s="22">
        <f t="shared" si="7"/>
        <v>975.1</v>
      </c>
      <c r="V7" s="22">
        <f t="shared" si="7"/>
        <v>971.4</v>
      </c>
      <c r="W7" s="22">
        <f t="shared" si="7"/>
        <v>967.7</v>
      </c>
      <c r="X7" s="22">
        <f t="shared" si="7"/>
        <v>964</v>
      </c>
      <c r="Y7" s="22">
        <f t="shared" si="7"/>
        <v>960.3</v>
      </c>
      <c r="Z7" s="22">
        <f t="shared" si="7"/>
        <v>956.6</v>
      </c>
      <c r="AA7" s="22">
        <f t="shared" si="7"/>
        <v>952.9</v>
      </c>
      <c r="AB7" s="22">
        <f t="shared" si="7"/>
        <v>949.2</v>
      </c>
      <c r="AC7" s="22">
        <f t="shared" si="7"/>
        <v>945.5</v>
      </c>
      <c r="AD7" s="22">
        <f t="shared" si="7"/>
        <v>941.8</v>
      </c>
      <c r="AE7" s="22">
        <f t="shared" si="7"/>
        <v>938.1</v>
      </c>
      <c r="AF7" s="22">
        <f t="shared" si="7"/>
        <v>934.4</v>
      </c>
      <c r="AG7" s="22">
        <f t="shared" si="7"/>
        <v>930.7</v>
      </c>
      <c r="AH7" s="37">
        <v>927</v>
      </c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</row>
    <row r="8" spans="1:103">
      <c r="A8" s="18"/>
      <c r="B8" s="9" t="s">
        <v>90</v>
      </c>
      <c r="C8" s="37">
        <v>2201</v>
      </c>
      <c r="D8" s="22">
        <f>((D3-$C$3)*($N$8-$C$8)/(2030-2019))+$C$8</f>
        <v>2181.909090909091</v>
      </c>
      <c r="E8" s="22">
        <f t="shared" ref="E8:M8" si="8">((E3-$C$3)*($N$8-$C$8)/(2030-2019))+$C$8</f>
        <v>2162.818181818182</v>
      </c>
      <c r="F8" s="22">
        <f>((F3-$C$3)*($N$8-$C$8)/(2030-2019))+$C$8</f>
        <v>2143.7272727272725</v>
      </c>
      <c r="G8" s="22">
        <f t="shared" si="8"/>
        <v>2124.6363636363635</v>
      </c>
      <c r="H8" s="22">
        <f t="shared" si="8"/>
        <v>2105.5454545454545</v>
      </c>
      <c r="I8" s="22">
        <f t="shared" si="8"/>
        <v>2086.4545454545455</v>
      </c>
      <c r="J8" s="22">
        <f t="shared" si="8"/>
        <v>2067.3636363636365</v>
      </c>
      <c r="K8" s="22">
        <f t="shared" si="8"/>
        <v>2048.2727272727275</v>
      </c>
      <c r="L8" s="22">
        <f t="shared" si="8"/>
        <v>2029.1818181818182</v>
      </c>
      <c r="M8" s="22">
        <f t="shared" si="8"/>
        <v>2010.090909090909</v>
      </c>
      <c r="N8" s="37">
        <v>1991</v>
      </c>
      <c r="O8" s="22">
        <f>((O3-$N$3)*($AH$8-$N$8)/(2050-2030))+$N$8</f>
        <v>1976.3</v>
      </c>
      <c r="P8" s="22">
        <f t="shared" ref="P8:AG8" si="9">((P3-$N$3)*($AH$8-$N$8)/(2050-2030))+$N$8</f>
        <v>1961.6</v>
      </c>
      <c r="Q8" s="22">
        <f t="shared" si="9"/>
        <v>1946.9</v>
      </c>
      <c r="R8" s="22">
        <f t="shared" si="9"/>
        <v>1932.2</v>
      </c>
      <c r="S8" s="22">
        <f t="shared" si="9"/>
        <v>1917.5</v>
      </c>
      <c r="T8" s="22">
        <f t="shared" si="9"/>
        <v>1902.8</v>
      </c>
      <c r="U8" s="22">
        <f t="shared" si="9"/>
        <v>1888.1</v>
      </c>
      <c r="V8" s="22">
        <f t="shared" si="9"/>
        <v>1873.4</v>
      </c>
      <c r="W8" s="22">
        <f t="shared" si="9"/>
        <v>1858.7</v>
      </c>
      <c r="X8" s="22">
        <f t="shared" si="9"/>
        <v>1844</v>
      </c>
      <c r="Y8" s="22">
        <f t="shared" si="9"/>
        <v>1829.3</v>
      </c>
      <c r="Z8" s="22">
        <f t="shared" si="9"/>
        <v>1814.6</v>
      </c>
      <c r="AA8" s="22">
        <f t="shared" si="9"/>
        <v>1799.9</v>
      </c>
      <c r="AB8" s="22">
        <f t="shared" si="9"/>
        <v>1785.2</v>
      </c>
      <c r="AC8" s="22">
        <f t="shared" si="9"/>
        <v>1770.5</v>
      </c>
      <c r="AD8" s="22">
        <f t="shared" si="9"/>
        <v>1755.8</v>
      </c>
      <c r="AE8" s="22">
        <f t="shared" si="9"/>
        <v>1741.1</v>
      </c>
      <c r="AF8" s="22">
        <f t="shared" si="9"/>
        <v>1726.4</v>
      </c>
      <c r="AG8" s="22">
        <f t="shared" si="9"/>
        <v>1711.7</v>
      </c>
      <c r="AH8" s="37">
        <v>1697</v>
      </c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</row>
    <row r="9" spans="1:103">
      <c r="A9" s="18"/>
      <c r="B9" s="15" t="s">
        <v>48</v>
      </c>
      <c r="C9" s="37">
        <v>1778</v>
      </c>
      <c r="D9" s="22">
        <f>((D3-$C$3)*($N$9-$C$9)/(2030-2019))+$C$9</f>
        <v>1691</v>
      </c>
      <c r="E9" s="22">
        <f t="shared" ref="E9:M9" si="10">((E3-$C$3)*($N$9-$C$9)/(2030-2019))+$C$9</f>
        <v>1604</v>
      </c>
      <c r="F9" s="22">
        <f t="shared" si="10"/>
        <v>1517</v>
      </c>
      <c r="G9" s="22">
        <f t="shared" si="10"/>
        <v>1430</v>
      </c>
      <c r="H9" s="22">
        <f t="shared" si="10"/>
        <v>1343</v>
      </c>
      <c r="I9" s="22">
        <f t="shared" si="10"/>
        <v>1256</v>
      </c>
      <c r="J9" s="22">
        <f t="shared" si="10"/>
        <v>1169</v>
      </c>
      <c r="K9" s="22">
        <f t="shared" si="10"/>
        <v>1082</v>
      </c>
      <c r="L9" s="22">
        <f t="shared" si="10"/>
        <v>995</v>
      </c>
      <c r="M9" s="22">
        <f t="shared" si="10"/>
        <v>908</v>
      </c>
      <c r="N9" s="37">
        <v>821</v>
      </c>
      <c r="O9" s="22">
        <f>((O3-$N$3)*($AH$9-$N$9)/(2050-2030))+$N$9</f>
        <v>813.4</v>
      </c>
      <c r="P9" s="22">
        <f t="shared" ref="P9:AG9" si="11">((P3-$N$3)*($AH$9-$N$9)/(2050-2030))+$N$9</f>
        <v>805.8</v>
      </c>
      <c r="Q9" s="22">
        <f t="shared" si="11"/>
        <v>798.2</v>
      </c>
      <c r="R9" s="22">
        <f t="shared" si="11"/>
        <v>790.6</v>
      </c>
      <c r="S9" s="22">
        <f t="shared" si="11"/>
        <v>783</v>
      </c>
      <c r="T9" s="22">
        <f t="shared" si="11"/>
        <v>775.4</v>
      </c>
      <c r="U9" s="22">
        <f t="shared" si="11"/>
        <v>767.8</v>
      </c>
      <c r="V9" s="22">
        <f t="shared" si="11"/>
        <v>760.2</v>
      </c>
      <c r="W9" s="22">
        <f t="shared" si="11"/>
        <v>752.6</v>
      </c>
      <c r="X9" s="22">
        <f t="shared" si="11"/>
        <v>745</v>
      </c>
      <c r="Y9" s="22">
        <f t="shared" si="11"/>
        <v>737.4</v>
      </c>
      <c r="Z9" s="22">
        <f t="shared" si="11"/>
        <v>729.8</v>
      </c>
      <c r="AA9" s="22">
        <f t="shared" si="11"/>
        <v>722.2</v>
      </c>
      <c r="AB9" s="22">
        <f t="shared" si="11"/>
        <v>714.6</v>
      </c>
      <c r="AC9" s="22">
        <f t="shared" si="11"/>
        <v>707</v>
      </c>
      <c r="AD9" s="22">
        <f t="shared" si="11"/>
        <v>699.4</v>
      </c>
      <c r="AE9" s="22">
        <f t="shared" si="11"/>
        <v>691.8</v>
      </c>
      <c r="AF9" s="22">
        <f t="shared" si="11"/>
        <v>684.2</v>
      </c>
      <c r="AG9" s="22">
        <f t="shared" si="11"/>
        <v>676.6</v>
      </c>
      <c r="AH9" s="37">
        <v>669</v>
      </c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</row>
    <row r="10" spans="1:103">
      <c r="A10" s="18"/>
      <c r="B10" s="15" t="s">
        <v>51</v>
      </c>
      <c r="C10" s="37">
        <v>7872</v>
      </c>
      <c r="D10" s="22">
        <f>((D3-$C$3)*($N$10-$C$10)/(2030-2019))+$C$10</f>
        <v>7684.181818181818</v>
      </c>
      <c r="E10" s="22">
        <f>((E3-$C$3)*($N$10-$C$10)/(2030-2019))+$C$10</f>
        <v>7496.363636363636</v>
      </c>
      <c r="F10" s="22">
        <f t="shared" ref="F10:M10" si="12">((F3-$C$3)*($N$10-$C$10)/(2030-2019))+$C$10</f>
        <v>7308.545454545454</v>
      </c>
      <c r="G10" s="22">
        <f t="shared" si="12"/>
        <v>7120.727272727273</v>
      </c>
      <c r="H10" s="22">
        <f t="shared" si="12"/>
        <v>6932.909090909091</v>
      </c>
      <c r="I10" s="22">
        <f t="shared" si="12"/>
        <v>6745.090909090909</v>
      </c>
      <c r="J10" s="22">
        <f t="shared" si="12"/>
        <v>6557.272727272727</v>
      </c>
      <c r="K10" s="22">
        <f t="shared" si="12"/>
        <v>6369.454545454546</v>
      </c>
      <c r="L10" s="22">
        <f t="shared" si="12"/>
        <v>6181.636363636364</v>
      </c>
      <c r="M10" s="22">
        <f t="shared" si="12"/>
        <v>5993.818181818182</v>
      </c>
      <c r="N10" s="37">
        <v>5806</v>
      </c>
      <c r="O10" s="22">
        <f>((O3-$N$3)*($AH$10-$N$10)/(2050-2030))+$N$10</f>
        <v>5747.95</v>
      </c>
      <c r="P10" s="22">
        <f t="shared" ref="P10:AG10" si="13">((P3-$N$3)*($AH$10-$N$10)/(2050-2030))+$N$10</f>
        <v>5689.9</v>
      </c>
      <c r="Q10" s="22">
        <f t="shared" si="13"/>
        <v>5631.85</v>
      </c>
      <c r="R10" s="22">
        <f t="shared" si="13"/>
        <v>5573.8</v>
      </c>
      <c r="S10" s="22">
        <f t="shared" si="13"/>
        <v>5515.75</v>
      </c>
      <c r="T10" s="22">
        <f t="shared" si="13"/>
        <v>5457.7</v>
      </c>
      <c r="U10" s="22">
        <f t="shared" si="13"/>
        <v>5399.65</v>
      </c>
      <c r="V10" s="22">
        <f t="shared" si="13"/>
        <v>5341.6</v>
      </c>
      <c r="W10" s="22">
        <f t="shared" si="13"/>
        <v>5283.55</v>
      </c>
      <c r="X10" s="22">
        <f t="shared" si="13"/>
        <v>5225.5</v>
      </c>
      <c r="Y10" s="22">
        <f t="shared" si="13"/>
        <v>5167.45</v>
      </c>
      <c r="Z10" s="22">
        <f t="shared" si="13"/>
        <v>5109.3999999999996</v>
      </c>
      <c r="AA10" s="22">
        <f t="shared" si="13"/>
        <v>5051.3500000000004</v>
      </c>
      <c r="AB10" s="22">
        <f t="shared" si="13"/>
        <v>4993.3</v>
      </c>
      <c r="AC10" s="22">
        <f t="shared" si="13"/>
        <v>4935.25</v>
      </c>
      <c r="AD10" s="22">
        <f t="shared" si="13"/>
        <v>4877.2</v>
      </c>
      <c r="AE10" s="22">
        <f t="shared" si="13"/>
        <v>4819.1499999999996</v>
      </c>
      <c r="AF10" s="22">
        <f t="shared" si="13"/>
        <v>4761.1000000000004</v>
      </c>
      <c r="AG10" s="22">
        <f t="shared" si="13"/>
        <v>4703.05</v>
      </c>
      <c r="AH10" s="37">
        <v>4645</v>
      </c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</row>
    <row r="11" spans="1:103">
      <c r="A11" s="18"/>
      <c r="B11" s="15" t="s">
        <v>56</v>
      </c>
      <c r="C11" s="37">
        <v>1640</v>
      </c>
      <c r="D11" s="22">
        <f>((D3-$C$3)*($N$11-$C$11)/(2030-2019))+$C$11</f>
        <v>1643.5454545454545</v>
      </c>
      <c r="E11" s="22">
        <f t="shared" ref="E11:M11" si="14">((E3-$C$3)*($N$11-$C$11)/(2030-2019))+$C$11</f>
        <v>1647.090909090909</v>
      </c>
      <c r="F11" s="22">
        <f t="shared" si="14"/>
        <v>1650.6363636363637</v>
      </c>
      <c r="G11" s="22">
        <f t="shared" si="14"/>
        <v>1654.1818181818182</v>
      </c>
      <c r="H11" s="22">
        <f t="shared" si="14"/>
        <v>1657.7272727272727</v>
      </c>
      <c r="I11" s="22">
        <f t="shared" si="14"/>
        <v>1661.2727272727273</v>
      </c>
      <c r="J11" s="22">
        <f t="shared" si="14"/>
        <v>1664.8181818181818</v>
      </c>
      <c r="K11" s="22">
        <f t="shared" si="14"/>
        <v>1668.3636363636363</v>
      </c>
      <c r="L11" s="22">
        <f t="shared" si="14"/>
        <v>1671.909090909091</v>
      </c>
      <c r="M11" s="22">
        <f t="shared" si="14"/>
        <v>1675.4545454545455</v>
      </c>
      <c r="N11" s="37">
        <v>1679</v>
      </c>
      <c r="O11" s="22">
        <f>((O3-$N$3)*($AH$11-$N$11)/(2050-2030))+$N$11</f>
        <v>1682.7750000000001</v>
      </c>
      <c r="P11" s="22">
        <f>((P3-$N$3)*($AH$11-$N$11)/(2050-2030))+$N$11</f>
        <v>1686.55</v>
      </c>
      <c r="Q11" s="22">
        <f t="shared" ref="Q11:AG11" si="15">((Q3-$N$3)*($AH$11-$N$11)/(2050-2030))+$N$11</f>
        <v>1690.325</v>
      </c>
      <c r="R11" s="22">
        <f t="shared" si="15"/>
        <v>1694.1</v>
      </c>
      <c r="S11" s="22">
        <f t="shared" si="15"/>
        <v>1697.875</v>
      </c>
      <c r="T11" s="22">
        <f t="shared" si="15"/>
        <v>1701.65</v>
      </c>
      <c r="U11" s="22">
        <f t="shared" si="15"/>
        <v>1705.425</v>
      </c>
      <c r="V11" s="22">
        <f t="shared" si="15"/>
        <v>1709.2</v>
      </c>
      <c r="W11" s="22">
        <f t="shared" si="15"/>
        <v>1712.9749999999999</v>
      </c>
      <c r="X11" s="22">
        <f t="shared" si="15"/>
        <v>1716.75</v>
      </c>
      <c r="Y11" s="22">
        <f t="shared" si="15"/>
        <v>1720.5250000000001</v>
      </c>
      <c r="Z11" s="22">
        <f t="shared" si="15"/>
        <v>1724.3</v>
      </c>
      <c r="AA11" s="22">
        <f t="shared" si="15"/>
        <v>1728.075</v>
      </c>
      <c r="AB11" s="22">
        <f t="shared" si="15"/>
        <v>1731.85</v>
      </c>
      <c r="AC11" s="22">
        <f t="shared" si="15"/>
        <v>1735.625</v>
      </c>
      <c r="AD11" s="22">
        <f t="shared" si="15"/>
        <v>1739.4</v>
      </c>
      <c r="AE11" s="22">
        <f t="shared" si="15"/>
        <v>1743.175</v>
      </c>
      <c r="AF11" s="22">
        <f t="shared" si="15"/>
        <v>1746.95</v>
      </c>
      <c r="AG11" s="22">
        <f t="shared" si="15"/>
        <v>1750.7249999999999</v>
      </c>
      <c r="AH11" s="37">
        <v>1754.5</v>
      </c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</row>
    <row r="12" spans="1:103">
      <c r="A12" s="18"/>
      <c r="B12" s="15" t="s">
        <v>59</v>
      </c>
      <c r="C12" s="37">
        <v>6002</v>
      </c>
      <c r="D12" s="22">
        <f>((D3-$C$3)*($N$12-$C$12)/(2030-2019))+$C$12</f>
        <v>5841.636363636364</v>
      </c>
      <c r="E12" s="22">
        <f t="shared" ref="E12:M12" si="16">((E3-$C$3)*($N$12-$C$12)/(2030-2019))+$C$12</f>
        <v>5681.272727272727</v>
      </c>
      <c r="F12" s="22">
        <f t="shared" si="16"/>
        <v>5520.909090909091</v>
      </c>
      <c r="G12" s="22">
        <f t="shared" si="16"/>
        <v>5360.545454545454</v>
      </c>
      <c r="H12" s="22">
        <f t="shared" si="16"/>
        <v>5200.181818181818</v>
      </c>
      <c r="I12" s="22">
        <f t="shared" si="16"/>
        <v>5039.818181818182</v>
      </c>
      <c r="J12" s="22">
        <f t="shared" si="16"/>
        <v>4879.454545454546</v>
      </c>
      <c r="K12" s="22">
        <f t="shared" si="16"/>
        <v>4719.090909090909</v>
      </c>
      <c r="L12" s="22">
        <f t="shared" si="16"/>
        <v>4558.727272727273</v>
      </c>
      <c r="M12" s="22">
        <f t="shared" si="16"/>
        <v>4398.363636363636</v>
      </c>
      <c r="N12" s="37">
        <v>4238</v>
      </c>
      <c r="O12" s="22">
        <f>((O3-$N$3)*($AH$12-$N$12)/(2050-2030))+$N$12</f>
        <v>4206.05</v>
      </c>
      <c r="P12" s="22">
        <f t="shared" ref="P12:AG12" si="17">((P3-$N$3)*($AH$12-$N$12)/(2050-2030))+$N$12</f>
        <v>4174.1000000000004</v>
      </c>
      <c r="Q12" s="22">
        <f t="shared" si="17"/>
        <v>4142.1499999999996</v>
      </c>
      <c r="R12" s="22">
        <f t="shared" si="17"/>
        <v>4110.2</v>
      </c>
      <c r="S12" s="22">
        <f t="shared" si="17"/>
        <v>4078.25</v>
      </c>
      <c r="T12" s="22">
        <f t="shared" si="17"/>
        <v>4046.3</v>
      </c>
      <c r="U12" s="22">
        <f t="shared" si="17"/>
        <v>4014.35</v>
      </c>
      <c r="V12" s="22">
        <f t="shared" si="17"/>
        <v>3982.4</v>
      </c>
      <c r="W12" s="22">
        <f t="shared" si="17"/>
        <v>3950.45</v>
      </c>
      <c r="X12" s="22">
        <f t="shared" si="17"/>
        <v>3918.5</v>
      </c>
      <c r="Y12" s="22">
        <f t="shared" si="17"/>
        <v>3886.55</v>
      </c>
      <c r="Z12" s="22">
        <f t="shared" si="17"/>
        <v>3854.6</v>
      </c>
      <c r="AA12" s="22">
        <f t="shared" si="17"/>
        <v>3822.65</v>
      </c>
      <c r="AB12" s="22">
        <f t="shared" si="17"/>
        <v>3790.7</v>
      </c>
      <c r="AC12" s="22">
        <f t="shared" si="17"/>
        <v>3758.75</v>
      </c>
      <c r="AD12" s="22">
        <f t="shared" si="17"/>
        <v>3726.8</v>
      </c>
      <c r="AE12" s="22">
        <f t="shared" si="17"/>
        <v>3694.85</v>
      </c>
      <c r="AF12" s="22">
        <f t="shared" si="17"/>
        <v>3662.9</v>
      </c>
      <c r="AG12" s="22">
        <f t="shared" si="17"/>
        <v>3630.95</v>
      </c>
      <c r="AH12" s="37">
        <v>3599</v>
      </c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</row>
    <row r="13" spans="1:103">
      <c r="A13" s="18"/>
      <c r="B13" s="15" t="s">
        <v>5</v>
      </c>
      <c r="C13" s="37">
        <v>6158</v>
      </c>
      <c r="D13" s="22">
        <f>((D3-$C$3)*($N$13-$C$13)/(2030-2019))+$C$13</f>
        <v>6133.363636363636</v>
      </c>
      <c r="E13" s="22">
        <f t="shared" ref="E13:M13" si="18">((E3-$C$3)*($N$13-$C$13)/(2030-2019))+$C$13</f>
        <v>6108.727272727273</v>
      </c>
      <c r="F13" s="22">
        <f t="shared" si="18"/>
        <v>6084.090909090909</v>
      </c>
      <c r="G13" s="22">
        <f t="shared" si="18"/>
        <v>6059.454545454545</v>
      </c>
      <c r="H13" s="22">
        <f t="shared" si="18"/>
        <v>6034.818181818182</v>
      </c>
      <c r="I13" s="22">
        <f t="shared" si="18"/>
        <v>6010.181818181818</v>
      </c>
      <c r="J13" s="22">
        <f t="shared" si="18"/>
        <v>5985.545454545455</v>
      </c>
      <c r="K13" s="22">
        <f t="shared" si="18"/>
        <v>5960.909090909091</v>
      </c>
      <c r="L13" s="22">
        <f t="shared" si="18"/>
        <v>5936.272727272727</v>
      </c>
      <c r="M13" s="22">
        <f t="shared" si="18"/>
        <v>5911.636363636364</v>
      </c>
      <c r="N13" s="37">
        <v>5887</v>
      </c>
      <c r="O13" s="22">
        <f>((O3-$N$3)*($AH$13-$N$13)/(2050-2030))+$N$13</f>
        <v>5853.2</v>
      </c>
      <c r="P13" s="22">
        <f t="shared" ref="P13:AG13" si="19">((P3-$N$3)*($AH$13-$N$13)/(2050-2030))+$N$13</f>
        <v>5819.4</v>
      </c>
      <c r="Q13" s="22">
        <f t="shared" si="19"/>
        <v>5785.6</v>
      </c>
      <c r="R13" s="22">
        <f t="shared" si="19"/>
        <v>5751.8</v>
      </c>
      <c r="S13" s="22">
        <f t="shared" si="19"/>
        <v>5718</v>
      </c>
      <c r="T13" s="22">
        <f t="shared" si="19"/>
        <v>5684.2</v>
      </c>
      <c r="U13" s="22">
        <f t="shared" si="19"/>
        <v>5650.4</v>
      </c>
      <c r="V13" s="22">
        <f t="shared" si="19"/>
        <v>5616.6</v>
      </c>
      <c r="W13" s="22">
        <f t="shared" si="19"/>
        <v>5582.8</v>
      </c>
      <c r="X13" s="22">
        <f t="shared" si="19"/>
        <v>5549</v>
      </c>
      <c r="Y13" s="22">
        <f t="shared" si="19"/>
        <v>5515.2</v>
      </c>
      <c r="Z13" s="22">
        <f t="shared" si="19"/>
        <v>5481.4</v>
      </c>
      <c r="AA13" s="22">
        <f t="shared" si="19"/>
        <v>5447.6</v>
      </c>
      <c r="AB13" s="22">
        <f t="shared" si="19"/>
        <v>5413.8</v>
      </c>
      <c r="AC13" s="22">
        <f t="shared" si="19"/>
        <v>5380</v>
      </c>
      <c r="AD13" s="22">
        <f t="shared" si="19"/>
        <v>5346.2</v>
      </c>
      <c r="AE13" s="22">
        <f t="shared" si="19"/>
        <v>5312.4</v>
      </c>
      <c r="AF13" s="22">
        <f t="shared" si="19"/>
        <v>5278.6</v>
      </c>
      <c r="AG13" s="22">
        <f t="shared" si="19"/>
        <v>5244.8</v>
      </c>
      <c r="AH13" s="37">
        <v>5211</v>
      </c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</row>
    <row r="14" spans="1:103">
      <c r="A14" s="18"/>
      <c r="B14" s="15" t="s">
        <v>6</v>
      </c>
      <c r="C14" s="37">
        <v>9400</v>
      </c>
      <c r="D14" s="22">
        <f>((D3-$C$3)*($N$14-$C$14)/(2030-2019))+$C$14</f>
        <v>9370.136363636364</v>
      </c>
      <c r="E14" s="22">
        <f t="shared" ref="E14:M14" si="20">((E3-$C$3)*($N$14-$C$14)/(2030-2019))+$C$14</f>
        <v>9340.2727272727279</v>
      </c>
      <c r="F14" s="22">
        <f t="shared" si="20"/>
        <v>9310.4090909090901</v>
      </c>
      <c r="G14" s="22">
        <f t="shared" si="20"/>
        <v>9280.545454545454</v>
      </c>
      <c r="H14" s="22">
        <f t="shared" si="20"/>
        <v>9250.681818181818</v>
      </c>
      <c r="I14" s="22">
        <f t="shared" si="20"/>
        <v>9220.818181818182</v>
      </c>
      <c r="J14" s="22">
        <f t="shared" si="20"/>
        <v>9190.954545454546</v>
      </c>
      <c r="K14" s="22">
        <f t="shared" si="20"/>
        <v>9161.0909090909099</v>
      </c>
      <c r="L14" s="22">
        <f t="shared" si="20"/>
        <v>9131.2272727272721</v>
      </c>
      <c r="M14" s="22">
        <f t="shared" si="20"/>
        <v>9101.363636363636</v>
      </c>
      <c r="N14" s="37">
        <v>9071.5</v>
      </c>
      <c r="O14" s="22">
        <f>((O3-$N$3)*($AH$14-$N$14)/(2050-2030))+$N$14</f>
        <v>9048</v>
      </c>
      <c r="P14" s="22">
        <f t="shared" ref="P14:AG14" si="21">((P3-$N$3)*($AH$14-$N$14)/(2050-2030))+$N$14</f>
        <v>9024.5</v>
      </c>
      <c r="Q14" s="22">
        <f t="shared" si="21"/>
        <v>9001</v>
      </c>
      <c r="R14" s="22">
        <f t="shared" si="21"/>
        <v>8977.5</v>
      </c>
      <c r="S14" s="22">
        <f t="shared" si="21"/>
        <v>8954</v>
      </c>
      <c r="T14" s="22">
        <f t="shared" si="21"/>
        <v>8930.5</v>
      </c>
      <c r="U14" s="22">
        <f t="shared" si="21"/>
        <v>8907</v>
      </c>
      <c r="V14" s="22">
        <f t="shared" si="21"/>
        <v>8883.5</v>
      </c>
      <c r="W14" s="22">
        <f t="shared" si="21"/>
        <v>8860</v>
      </c>
      <c r="X14" s="22">
        <f t="shared" si="21"/>
        <v>8836.5</v>
      </c>
      <c r="Y14" s="22">
        <f t="shared" si="21"/>
        <v>8813</v>
      </c>
      <c r="Z14" s="22">
        <f t="shared" si="21"/>
        <v>8789.5</v>
      </c>
      <c r="AA14" s="22">
        <f t="shared" si="21"/>
        <v>8766</v>
      </c>
      <c r="AB14" s="22">
        <f t="shared" si="21"/>
        <v>8742.5</v>
      </c>
      <c r="AC14" s="22">
        <f t="shared" si="21"/>
        <v>8719</v>
      </c>
      <c r="AD14" s="22">
        <f t="shared" si="21"/>
        <v>8695.5</v>
      </c>
      <c r="AE14" s="22">
        <f t="shared" si="21"/>
        <v>8672</v>
      </c>
      <c r="AF14" s="22">
        <f t="shared" si="21"/>
        <v>8648.5</v>
      </c>
      <c r="AG14" s="22">
        <f t="shared" si="21"/>
        <v>8625</v>
      </c>
      <c r="AH14" s="37">
        <v>8601.5</v>
      </c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</row>
    <row r="15" spans="1:103">
      <c r="A15" s="18"/>
      <c r="B15" s="15" t="s">
        <v>7</v>
      </c>
      <c r="C15" s="37">
        <v>4035</v>
      </c>
      <c r="D15" s="22">
        <f>((D3-$C$3)*($N$15-$C$15)/(2030-2019))+$C$15</f>
        <v>4017.681818181818</v>
      </c>
      <c r="E15" s="22">
        <f t="shared" ref="E15:M15" si="22">((E3-$C$3)*($N$15-$C$15)/(2030-2019))+$C$15</f>
        <v>4000.3636363636365</v>
      </c>
      <c r="F15" s="22">
        <f t="shared" si="22"/>
        <v>3983.0454545454545</v>
      </c>
      <c r="G15" s="22">
        <f t="shared" si="22"/>
        <v>3965.7272727272725</v>
      </c>
      <c r="H15" s="22">
        <f t="shared" si="22"/>
        <v>3948.409090909091</v>
      </c>
      <c r="I15" s="22">
        <f t="shared" si="22"/>
        <v>3931.090909090909</v>
      </c>
      <c r="J15" s="22">
        <f t="shared" si="22"/>
        <v>3913.7727272727275</v>
      </c>
      <c r="K15" s="22">
        <f t="shared" si="22"/>
        <v>3896.4545454545455</v>
      </c>
      <c r="L15" s="22">
        <f t="shared" si="22"/>
        <v>3879.1363636363635</v>
      </c>
      <c r="M15" s="22">
        <f t="shared" si="22"/>
        <v>3861.818181818182</v>
      </c>
      <c r="N15" s="37">
        <v>3844.5</v>
      </c>
      <c r="O15" s="22">
        <f>((O3-$N$3)*($AH$15-$N$15)/(2050-2030))+$N$15</f>
        <v>3831.05</v>
      </c>
      <c r="P15" s="22">
        <f t="shared" ref="P15:AG15" si="23">((P3-$N$3)*($AH$15-$N$15)/(2050-2030))+$N$15</f>
        <v>3817.6</v>
      </c>
      <c r="Q15" s="22">
        <f t="shared" si="23"/>
        <v>3804.15</v>
      </c>
      <c r="R15" s="22">
        <f t="shared" si="23"/>
        <v>3790.7</v>
      </c>
      <c r="S15" s="22">
        <f t="shared" si="23"/>
        <v>3777.25</v>
      </c>
      <c r="T15" s="22">
        <f t="shared" si="23"/>
        <v>3763.8</v>
      </c>
      <c r="U15" s="22">
        <f t="shared" si="23"/>
        <v>3750.35</v>
      </c>
      <c r="V15" s="22">
        <f t="shared" si="23"/>
        <v>3736.9</v>
      </c>
      <c r="W15" s="22">
        <f t="shared" si="23"/>
        <v>3723.45</v>
      </c>
      <c r="X15" s="22">
        <f t="shared" si="23"/>
        <v>3710</v>
      </c>
      <c r="Y15" s="22">
        <f t="shared" si="23"/>
        <v>3696.55</v>
      </c>
      <c r="Z15" s="22">
        <f t="shared" si="23"/>
        <v>3683.1</v>
      </c>
      <c r="AA15" s="22">
        <f t="shared" si="23"/>
        <v>3669.65</v>
      </c>
      <c r="AB15" s="22">
        <f t="shared" si="23"/>
        <v>3656.2</v>
      </c>
      <c r="AC15" s="22">
        <f t="shared" si="23"/>
        <v>3642.75</v>
      </c>
      <c r="AD15" s="22">
        <f t="shared" si="23"/>
        <v>3629.3</v>
      </c>
      <c r="AE15" s="22">
        <f t="shared" si="23"/>
        <v>3615.85</v>
      </c>
      <c r="AF15" s="22">
        <f t="shared" si="23"/>
        <v>3602.4</v>
      </c>
      <c r="AG15" s="22">
        <f t="shared" si="23"/>
        <v>3588.95</v>
      </c>
      <c r="AH15" s="37">
        <v>3575.5</v>
      </c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</row>
    <row r="16" spans="1:103">
      <c r="A16" s="18"/>
      <c r="B16" s="15" t="s">
        <v>72</v>
      </c>
      <c r="C16" s="37">
        <v>5691.5</v>
      </c>
      <c r="D16" s="22">
        <f>((D3-$C$3)*($N$16-$C$16)/(2030-2019))+$C$16</f>
        <v>5678.772727272727</v>
      </c>
      <c r="E16" s="22">
        <f t="shared" ref="E16:M16" si="24">((E3-$C$3)*($N$16-$C$16)/(2030-2019))+$C$16</f>
        <v>5666.045454545455</v>
      </c>
      <c r="F16" s="22">
        <f t="shared" si="24"/>
        <v>5653.318181818182</v>
      </c>
      <c r="G16" s="22">
        <f t="shared" si="24"/>
        <v>5640.590909090909</v>
      </c>
      <c r="H16" s="22">
        <f t="shared" si="24"/>
        <v>5627.863636363636</v>
      </c>
      <c r="I16" s="22">
        <f t="shared" si="24"/>
        <v>5615.136363636364</v>
      </c>
      <c r="J16" s="22">
        <f t="shared" si="24"/>
        <v>5602.409090909091</v>
      </c>
      <c r="K16" s="22">
        <f t="shared" si="24"/>
        <v>5589.681818181818</v>
      </c>
      <c r="L16" s="22">
        <f t="shared" si="24"/>
        <v>5576.954545454545</v>
      </c>
      <c r="M16" s="22">
        <f t="shared" si="24"/>
        <v>5564.227272727273</v>
      </c>
      <c r="N16" s="37">
        <v>5551.5</v>
      </c>
      <c r="O16" s="22">
        <f>((O3-$N$3)*($AH$16-$N$16)/(2050-2030))+$N$16</f>
        <v>5542.6</v>
      </c>
      <c r="P16" s="22">
        <f t="shared" ref="P16:AG16" si="25">((P3-$N$3)*($AH$16-$N$16)/(2050-2030))+$N$16</f>
        <v>5533.7</v>
      </c>
      <c r="Q16" s="22">
        <f t="shared" si="25"/>
        <v>5524.8</v>
      </c>
      <c r="R16" s="22">
        <f t="shared" si="25"/>
        <v>5515.9</v>
      </c>
      <c r="S16" s="22">
        <f t="shared" si="25"/>
        <v>5507</v>
      </c>
      <c r="T16" s="22">
        <f t="shared" si="25"/>
        <v>5498.1</v>
      </c>
      <c r="U16" s="22">
        <f t="shared" si="25"/>
        <v>5489.2</v>
      </c>
      <c r="V16" s="22">
        <f t="shared" si="25"/>
        <v>5480.3</v>
      </c>
      <c r="W16" s="22">
        <f t="shared" si="25"/>
        <v>5471.4</v>
      </c>
      <c r="X16" s="22">
        <f t="shared" si="25"/>
        <v>5462.5</v>
      </c>
      <c r="Y16" s="22">
        <f t="shared" si="25"/>
        <v>5453.6</v>
      </c>
      <c r="Z16" s="22">
        <f t="shared" si="25"/>
        <v>5444.7</v>
      </c>
      <c r="AA16" s="22">
        <f t="shared" si="25"/>
        <v>5435.8</v>
      </c>
      <c r="AB16" s="22">
        <f t="shared" si="25"/>
        <v>5426.9</v>
      </c>
      <c r="AC16" s="22">
        <f t="shared" si="25"/>
        <v>5418</v>
      </c>
      <c r="AD16" s="22">
        <f t="shared" si="25"/>
        <v>5409.1</v>
      </c>
      <c r="AE16" s="22">
        <f t="shared" si="25"/>
        <v>5400.2</v>
      </c>
      <c r="AF16" s="22">
        <f t="shared" si="25"/>
        <v>5391.3</v>
      </c>
      <c r="AG16" s="22">
        <f t="shared" si="25"/>
        <v>5382.4</v>
      </c>
      <c r="AH16" s="37">
        <v>5373.5</v>
      </c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</row>
    <row r="17" spans="1:103" ht="15" thickBot="1">
      <c r="A17" s="18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</row>
    <row r="18" spans="1:103" ht="15" thickBot="1">
      <c r="A18" s="18"/>
      <c r="B18" s="35" t="s">
        <v>84</v>
      </c>
      <c r="C18" s="33"/>
      <c r="D18" s="260" t="s">
        <v>93</v>
      </c>
      <c r="E18" s="260"/>
      <c r="F18" s="260"/>
      <c r="G18" s="260"/>
      <c r="H18" s="260"/>
      <c r="I18" s="260"/>
      <c r="J18" s="260"/>
      <c r="K18" s="260"/>
      <c r="L18" s="260"/>
      <c r="M18" s="260"/>
      <c r="N18" s="260"/>
      <c r="O18" s="260"/>
      <c r="P18" s="260"/>
      <c r="Q18" s="260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</row>
    <row r="19" spans="1:103" ht="15" thickBot="1">
      <c r="A19" s="18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</row>
    <row r="20" spans="1:103" ht="15" thickBot="1">
      <c r="A20" s="18"/>
      <c r="B20" s="34" t="s">
        <v>83</v>
      </c>
      <c r="C20" s="20"/>
      <c r="D20" s="20"/>
      <c r="E20" s="20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4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</row>
    <row r="21" spans="1:103">
      <c r="A21" s="18"/>
      <c r="B21" s="19" t="s">
        <v>77</v>
      </c>
      <c r="C21" s="15">
        <v>2019</v>
      </c>
      <c r="D21" s="15">
        <v>2020</v>
      </c>
      <c r="E21" s="15">
        <v>2021</v>
      </c>
      <c r="F21" s="15">
        <v>2022</v>
      </c>
      <c r="G21" s="15">
        <v>2023</v>
      </c>
      <c r="H21" s="15">
        <v>2024</v>
      </c>
      <c r="I21" s="15">
        <v>2025</v>
      </c>
      <c r="J21" s="15">
        <v>2026</v>
      </c>
      <c r="K21" s="15">
        <v>2027</v>
      </c>
      <c r="L21" s="15">
        <v>2028</v>
      </c>
      <c r="M21" s="15">
        <v>2029</v>
      </c>
      <c r="N21" s="15">
        <v>2030</v>
      </c>
      <c r="O21" s="15">
        <v>2031</v>
      </c>
      <c r="P21" s="15">
        <v>2032</v>
      </c>
      <c r="Q21" s="15">
        <v>2033</v>
      </c>
      <c r="R21" s="15">
        <v>2034</v>
      </c>
      <c r="S21" s="15">
        <v>2035</v>
      </c>
      <c r="T21" s="15">
        <v>2036</v>
      </c>
      <c r="U21" s="15">
        <v>2037</v>
      </c>
      <c r="V21" s="15">
        <v>2038</v>
      </c>
      <c r="W21" s="15">
        <v>2039</v>
      </c>
      <c r="X21" s="15">
        <v>2040</v>
      </c>
      <c r="Y21" s="15">
        <v>2041</v>
      </c>
      <c r="Z21" s="15">
        <v>2042</v>
      </c>
      <c r="AA21" s="15">
        <v>2043</v>
      </c>
      <c r="AB21" s="15">
        <v>2044</v>
      </c>
      <c r="AC21" s="15">
        <v>2045</v>
      </c>
      <c r="AD21" s="15">
        <v>2046</v>
      </c>
      <c r="AE21" s="15">
        <v>2047</v>
      </c>
      <c r="AF21" s="15">
        <v>2048</v>
      </c>
      <c r="AG21" s="15">
        <v>2049</v>
      </c>
      <c r="AH21" s="15">
        <v>2050</v>
      </c>
      <c r="AI21" s="4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</row>
    <row r="22" spans="1:103">
      <c r="A22" s="18"/>
      <c r="B22" s="15" t="s">
        <v>81</v>
      </c>
      <c r="C22" s="38">
        <v>1.1465753424657533E-2</v>
      </c>
      <c r="D22" s="39">
        <v>1.1465753424657501E-2</v>
      </c>
      <c r="E22" s="39">
        <v>1.1465753424657533E-2</v>
      </c>
      <c r="F22" s="39">
        <v>1.1465753424657533E-2</v>
      </c>
      <c r="G22" s="39">
        <v>1.1465753424657533E-2</v>
      </c>
      <c r="H22" s="39">
        <v>1.1465753424657533E-2</v>
      </c>
      <c r="I22" s="39">
        <v>1.1465753424657533E-2</v>
      </c>
      <c r="J22" s="39">
        <v>1.1465753424657533E-2</v>
      </c>
      <c r="K22" s="39">
        <v>1.1465753424657533E-2</v>
      </c>
      <c r="L22" s="39">
        <v>1.1465753424657533E-2</v>
      </c>
      <c r="M22" s="39">
        <v>1.1465753424657533E-2</v>
      </c>
      <c r="N22" s="38">
        <v>1.1465753424657533E-2</v>
      </c>
      <c r="O22" s="39">
        <v>1.1465753424657533E-2</v>
      </c>
      <c r="P22" s="39">
        <v>1.1465753424657533E-2</v>
      </c>
      <c r="Q22" s="39">
        <v>1.1465753424657533E-2</v>
      </c>
      <c r="R22" s="39">
        <v>1.1465753424657533E-2</v>
      </c>
      <c r="S22" s="39">
        <v>1.1465753424657533E-2</v>
      </c>
      <c r="T22" s="39">
        <v>1.1465753424657533E-2</v>
      </c>
      <c r="U22" s="39">
        <v>1.1465753424657533E-2</v>
      </c>
      <c r="V22" s="39">
        <v>1.1465753424657533E-2</v>
      </c>
      <c r="W22" s="39">
        <v>1.1465753424657533E-2</v>
      </c>
      <c r="X22" s="39">
        <v>1.1465753424657533E-2</v>
      </c>
      <c r="Y22" s="39">
        <v>1.1465753424657533E-2</v>
      </c>
      <c r="Z22" s="39">
        <v>1.1465753424657533E-2</v>
      </c>
      <c r="AA22" s="39">
        <v>1.1465753424657533E-2</v>
      </c>
      <c r="AB22" s="39">
        <v>1.1465753424657533E-2</v>
      </c>
      <c r="AC22" s="39">
        <v>1.1465753424657533E-2</v>
      </c>
      <c r="AD22" s="39">
        <v>1.1465753424657533E-2</v>
      </c>
      <c r="AE22" s="39">
        <v>1.1465753424657533E-2</v>
      </c>
      <c r="AF22" s="39">
        <v>1.1465753424657533E-2</v>
      </c>
      <c r="AG22" s="39">
        <v>1.1465753424657533E-2</v>
      </c>
      <c r="AH22" s="38">
        <v>1.1465753424657533E-2</v>
      </c>
      <c r="AI22" s="4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</row>
    <row r="23" spans="1:103">
      <c r="A23" s="18"/>
      <c r="B23" s="15" t="s">
        <v>36</v>
      </c>
      <c r="C23" s="38">
        <v>1.9132420091324202E-2</v>
      </c>
      <c r="D23" s="39">
        <v>1.9132420091324202E-2</v>
      </c>
      <c r="E23" s="39">
        <v>1.9132420091324202E-2</v>
      </c>
      <c r="F23" s="39">
        <v>1.9132420091324202E-2</v>
      </c>
      <c r="G23" s="39">
        <v>1.9132420091324202E-2</v>
      </c>
      <c r="H23" s="39">
        <v>1.9132420091324202E-2</v>
      </c>
      <c r="I23" s="39">
        <v>1.9132420091324202E-2</v>
      </c>
      <c r="J23" s="39">
        <v>1.9132420091324202E-2</v>
      </c>
      <c r="K23" s="39">
        <v>1.9132420091324202E-2</v>
      </c>
      <c r="L23" s="39">
        <v>1.9132420091324202E-2</v>
      </c>
      <c r="M23" s="39">
        <v>1.9132420091324202E-2</v>
      </c>
      <c r="N23" s="38">
        <v>1.9132420091324202E-2</v>
      </c>
      <c r="O23" s="39">
        <v>1.9132420091324202E-2</v>
      </c>
      <c r="P23" s="39">
        <v>1.9132420091324202E-2</v>
      </c>
      <c r="Q23" s="39">
        <v>1.9132420091324202E-2</v>
      </c>
      <c r="R23" s="39">
        <v>1.9132420091324202E-2</v>
      </c>
      <c r="S23" s="39">
        <v>1.9132420091324202E-2</v>
      </c>
      <c r="T23" s="39">
        <v>1.9132420091324202E-2</v>
      </c>
      <c r="U23" s="39">
        <v>1.9132420091324202E-2</v>
      </c>
      <c r="V23" s="39">
        <v>1.9132420091324202E-2</v>
      </c>
      <c r="W23" s="39">
        <v>1.9132420091324202E-2</v>
      </c>
      <c r="X23" s="39">
        <v>1.9132420091324202E-2</v>
      </c>
      <c r="Y23" s="39">
        <v>1.9132420091324202E-2</v>
      </c>
      <c r="Z23" s="39">
        <v>1.9132420091324202E-2</v>
      </c>
      <c r="AA23" s="39">
        <v>1.9132420091324202E-2</v>
      </c>
      <c r="AB23" s="39">
        <v>1.9132420091324202E-2</v>
      </c>
      <c r="AC23" s="39">
        <v>1.9132420091324202E-2</v>
      </c>
      <c r="AD23" s="39">
        <v>1.9132420091324202E-2</v>
      </c>
      <c r="AE23" s="39">
        <v>1.9132420091324202E-2</v>
      </c>
      <c r="AF23" s="39">
        <v>1.9132420091324202E-2</v>
      </c>
      <c r="AG23" s="39">
        <v>1.9132420091324202E-2</v>
      </c>
      <c r="AH23" s="38">
        <v>1.9132420091324202E-2</v>
      </c>
      <c r="AI23" s="4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</row>
    <row r="24" spans="1:103">
      <c r="A24" s="18"/>
      <c r="B24" s="15" t="s">
        <v>89</v>
      </c>
      <c r="C24" s="38">
        <v>8.3698630136986307E-3</v>
      </c>
      <c r="D24" s="39">
        <v>8.3698630136986307E-3</v>
      </c>
      <c r="E24" s="39">
        <v>8.3698630136986307E-3</v>
      </c>
      <c r="F24" s="39">
        <v>8.3698630136986307E-3</v>
      </c>
      <c r="G24" s="39">
        <v>8.3698630136986307E-3</v>
      </c>
      <c r="H24" s="39">
        <v>8.3698630136986307E-3</v>
      </c>
      <c r="I24" s="39">
        <v>8.3698630136986307E-3</v>
      </c>
      <c r="J24" s="39">
        <v>8.3698630136986307E-3</v>
      </c>
      <c r="K24" s="39">
        <v>8.3698630136986307E-3</v>
      </c>
      <c r="L24" s="39">
        <v>8.3698630136986307E-3</v>
      </c>
      <c r="M24" s="39">
        <v>8.3698630136986307E-3</v>
      </c>
      <c r="N24" s="38">
        <v>8.3698630136986307E-3</v>
      </c>
      <c r="O24" s="39">
        <v>8.3698630136986307E-3</v>
      </c>
      <c r="P24" s="39">
        <v>8.3698630136986307E-3</v>
      </c>
      <c r="Q24" s="39">
        <v>8.3698630136986307E-3</v>
      </c>
      <c r="R24" s="39">
        <v>8.3698630136986307E-3</v>
      </c>
      <c r="S24" s="39">
        <v>8.3698630136986307E-3</v>
      </c>
      <c r="T24" s="39">
        <v>8.3698630136986307E-3</v>
      </c>
      <c r="U24" s="39">
        <v>8.3698630136986307E-3</v>
      </c>
      <c r="V24" s="39">
        <v>8.3698630136986307E-3</v>
      </c>
      <c r="W24" s="39">
        <v>8.3698630136986307E-3</v>
      </c>
      <c r="X24" s="39">
        <v>8.3698630136986307E-3</v>
      </c>
      <c r="Y24" s="39">
        <v>8.3698630136986307E-3</v>
      </c>
      <c r="Z24" s="39">
        <v>8.3698630136986307E-3</v>
      </c>
      <c r="AA24" s="39">
        <v>8.3698630136986307E-3</v>
      </c>
      <c r="AB24" s="39">
        <v>8.3698630136986307E-3</v>
      </c>
      <c r="AC24" s="39">
        <v>8.3698630136986307E-3</v>
      </c>
      <c r="AD24" s="39">
        <v>8.3698630136986307E-3</v>
      </c>
      <c r="AE24" s="39">
        <v>8.3698630136986307E-3</v>
      </c>
      <c r="AF24" s="39">
        <v>8.3698630136986307E-3</v>
      </c>
      <c r="AG24" s="39">
        <v>8.3698630136986307E-3</v>
      </c>
      <c r="AH24" s="38">
        <v>8.3698630136986307E-3</v>
      </c>
      <c r="AI24" s="4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</row>
    <row r="25" spans="1:103">
      <c r="A25" s="18"/>
      <c r="B25" s="15" t="s">
        <v>88</v>
      </c>
      <c r="C25" s="38">
        <v>4.1415525114155251E-3</v>
      </c>
      <c r="D25" s="39">
        <v>4.1415525114155251E-3</v>
      </c>
      <c r="E25" s="39">
        <v>4.1415525114155251E-3</v>
      </c>
      <c r="F25" s="39">
        <v>4.1415525114155251E-3</v>
      </c>
      <c r="G25" s="39">
        <v>4.1415525114155251E-3</v>
      </c>
      <c r="H25" s="39">
        <v>4.1415525114155251E-3</v>
      </c>
      <c r="I25" s="39">
        <v>4.1415525114155251E-3</v>
      </c>
      <c r="J25" s="39">
        <v>4.1415525114155251E-3</v>
      </c>
      <c r="K25" s="39">
        <v>4.1415525114155251E-3</v>
      </c>
      <c r="L25" s="39">
        <v>4.1415525114155251E-3</v>
      </c>
      <c r="M25" s="39">
        <v>4.1415525114155251E-3</v>
      </c>
      <c r="N25" s="38">
        <v>4.1415525114155251E-3</v>
      </c>
      <c r="O25" s="39">
        <v>4.1415525114155251E-3</v>
      </c>
      <c r="P25" s="39">
        <v>4.1415525114155251E-3</v>
      </c>
      <c r="Q25" s="39">
        <v>4.1415525114155251E-3</v>
      </c>
      <c r="R25" s="39">
        <v>4.1415525114155251E-3</v>
      </c>
      <c r="S25" s="39">
        <v>4.1415525114155251E-3</v>
      </c>
      <c r="T25" s="39">
        <v>4.1415525114155251E-3</v>
      </c>
      <c r="U25" s="39">
        <v>4.1415525114155251E-3</v>
      </c>
      <c r="V25" s="39">
        <v>4.1415525114155251E-3</v>
      </c>
      <c r="W25" s="39">
        <v>4.1415525114155251E-3</v>
      </c>
      <c r="X25" s="39">
        <v>4.1415525114155251E-3</v>
      </c>
      <c r="Y25" s="39">
        <v>4.1415525114155251E-3</v>
      </c>
      <c r="Z25" s="39">
        <v>4.1415525114155251E-3</v>
      </c>
      <c r="AA25" s="39">
        <v>4.1415525114155251E-3</v>
      </c>
      <c r="AB25" s="39">
        <v>4.1415525114155251E-3</v>
      </c>
      <c r="AC25" s="39">
        <v>4.1415525114155251E-3</v>
      </c>
      <c r="AD25" s="39">
        <v>4.1415525114155251E-3</v>
      </c>
      <c r="AE25" s="39">
        <v>4.1415525114155251E-3</v>
      </c>
      <c r="AF25" s="39">
        <v>4.1415525114155251E-3</v>
      </c>
      <c r="AG25" s="39">
        <v>4.1415525114155251E-3</v>
      </c>
      <c r="AH25" s="38">
        <v>4.1415525114155251E-3</v>
      </c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</row>
    <row r="26" spans="1:103">
      <c r="A26" s="18"/>
      <c r="B26" s="15" t="s">
        <v>90</v>
      </c>
      <c r="C26" s="38">
        <v>1.0767123287671232E-2</v>
      </c>
      <c r="D26" s="39">
        <v>1.0767123287671232E-2</v>
      </c>
      <c r="E26" s="39">
        <v>1.0767123287671232E-2</v>
      </c>
      <c r="F26" s="39">
        <v>1.0767123287671232E-2</v>
      </c>
      <c r="G26" s="39">
        <v>1.0767123287671232E-2</v>
      </c>
      <c r="H26" s="39">
        <v>1.0767123287671232E-2</v>
      </c>
      <c r="I26" s="39">
        <v>1.0767123287671232E-2</v>
      </c>
      <c r="J26" s="39">
        <v>1.0767123287671232E-2</v>
      </c>
      <c r="K26" s="39">
        <v>1.0767123287671232E-2</v>
      </c>
      <c r="L26" s="39">
        <v>1.0767123287671232E-2</v>
      </c>
      <c r="M26" s="39">
        <v>1.0767123287671232E-2</v>
      </c>
      <c r="N26" s="38">
        <v>1.0767123287671232E-2</v>
      </c>
      <c r="O26" s="39">
        <v>1.0767123287671232E-2</v>
      </c>
      <c r="P26" s="39">
        <v>1.0767123287671232E-2</v>
      </c>
      <c r="Q26" s="39">
        <v>1.0767123287671232E-2</v>
      </c>
      <c r="R26" s="39">
        <v>1.0767123287671232E-2</v>
      </c>
      <c r="S26" s="39">
        <v>1.0767123287671232E-2</v>
      </c>
      <c r="T26" s="39">
        <v>1.0767123287671232E-2</v>
      </c>
      <c r="U26" s="39">
        <v>1.0767123287671232E-2</v>
      </c>
      <c r="V26" s="39">
        <v>1.0767123287671232E-2</v>
      </c>
      <c r="W26" s="39">
        <v>1.0767123287671232E-2</v>
      </c>
      <c r="X26" s="39">
        <v>1.0767123287671232E-2</v>
      </c>
      <c r="Y26" s="39">
        <v>1.0767123287671232E-2</v>
      </c>
      <c r="Z26" s="39">
        <v>1.0767123287671232E-2</v>
      </c>
      <c r="AA26" s="39">
        <v>1.0767123287671232E-2</v>
      </c>
      <c r="AB26" s="39">
        <v>1.0767123287671232E-2</v>
      </c>
      <c r="AC26" s="39">
        <v>1.0767123287671232E-2</v>
      </c>
      <c r="AD26" s="39">
        <v>1.0767123287671232E-2</v>
      </c>
      <c r="AE26" s="39">
        <v>1.0767123287671232E-2</v>
      </c>
      <c r="AF26" s="39">
        <v>1.0767123287671232E-2</v>
      </c>
      <c r="AG26" s="39">
        <v>1.0767123287671232E-2</v>
      </c>
      <c r="AH26" s="38">
        <v>1.0767123287671232E-2</v>
      </c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</row>
    <row r="27" spans="1:103">
      <c r="A27" s="18"/>
      <c r="B27" s="15" t="s">
        <v>48</v>
      </c>
      <c r="C27" s="38">
        <v>1.59817351598174E-3</v>
      </c>
      <c r="D27" s="39">
        <f t="shared" ref="D27:M27" si="26">((D21-$C$21)*($N$27-$C$27)/(2030-2019))+$C$27</f>
        <v>1.525529265255297E-3</v>
      </c>
      <c r="E27" s="39">
        <f t="shared" si="26"/>
        <v>1.4528850145288541E-3</v>
      </c>
      <c r="F27" s="39">
        <f t="shared" si="26"/>
        <v>1.3802407638024111E-3</v>
      </c>
      <c r="G27" s="39">
        <f t="shared" si="26"/>
        <v>1.3075965130759683E-3</v>
      </c>
      <c r="H27" s="39">
        <f t="shared" si="26"/>
        <v>1.2349522623495252E-3</v>
      </c>
      <c r="I27" s="39">
        <f t="shared" si="26"/>
        <v>1.1623080116230822E-3</v>
      </c>
      <c r="J27" s="39">
        <f t="shared" si="26"/>
        <v>1.0896637608966394E-3</v>
      </c>
      <c r="K27" s="39">
        <f t="shared" si="26"/>
        <v>1.0170195101701965E-3</v>
      </c>
      <c r="L27" s="39">
        <f t="shared" si="26"/>
        <v>9.4437525944375338E-4</v>
      </c>
      <c r="M27" s="39">
        <f t="shared" si="26"/>
        <v>8.7173100871731045E-4</v>
      </c>
      <c r="N27" s="38">
        <v>7.9908675799086751E-4</v>
      </c>
      <c r="O27" s="39">
        <f t="shared" ref="O27:AG27" si="27">((O21-$N$21)*($AH$27-$N$27)/(2050-2030))+$N$27</f>
        <v>7.9337899543378994E-4</v>
      </c>
      <c r="P27" s="39">
        <f t="shared" si="27"/>
        <v>7.8767123287671226E-4</v>
      </c>
      <c r="Q27" s="39">
        <f t="shared" si="27"/>
        <v>7.8196347031963469E-4</v>
      </c>
      <c r="R27" s="39">
        <f t="shared" si="27"/>
        <v>7.76255707762557E-4</v>
      </c>
      <c r="S27" s="39">
        <f t="shared" si="27"/>
        <v>7.7054794520547943E-4</v>
      </c>
      <c r="T27" s="39">
        <f t="shared" si="27"/>
        <v>7.6484018264840175E-4</v>
      </c>
      <c r="U27" s="39">
        <f t="shared" si="27"/>
        <v>7.5913242009132418E-4</v>
      </c>
      <c r="V27" s="39">
        <f t="shared" si="27"/>
        <v>7.5342465753424649E-4</v>
      </c>
      <c r="W27" s="39">
        <f t="shared" si="27"/>
        <v>7.4771689497716892E-4</v>
      </c>
      <c r="X27" s="39">
        <f t="shared" si="27"/>
        <v>7.4200913242009124E-4</v>
      </c>
      <c r="Y27" s="39">
        <f t="shared" si="27"/>
        <v>7.3630136986301367E-4</v>
      </c>
      <c r="Z27" s="39">
        <f t="shared" si="27"/>
        <v>7.3059360730593609E-4</v>
      </c>
      <c r="AA27" s="39">
        <f t="shared" si="27"/>
        <v>7.2488584474885841E-4</v>
      </c>
      <c r="AB27" s="39">
        <f t="shared" si="27"/>
        <v>7.1917808219178084E-4</v>
      </c>
      <c r="AC27" s="39">
        <f t="shared" si="27"/>
        <v>7.1347031963470316E-4</v>
      </c>
      <c r="AD27" s="39">
        <f t="shared" si="27"/>
        <v>7.0776255707762558E-4</v>
      </c>
      <c r="AE27" s="39">
        <f t="shared" si="27"/>
        <v>7.020547945205479E-4</v>
      </c>
      <c r="AF27" s="39">
        <f t="shared" si="27"/>
        <v>6.9634703196347033E-4</v>
      </c>
      <c r="AG27" s="39">
        <f t="shared" si="27"/>
        <v>6.9063926940639265E-4</v>
      </c>
      <c r="AH27" s="38">
        <v>6.8493150684931507E-4</v>
      </c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</row>
    <row r="28" spans="1:103">
      <c r="A28" s="18"/>
      <c r="B28" s="15" t="s">
        <v>51</v>
      </c>
      <c r="C28" s="38">
        <v>1.1648401826484019E-2</v>
      </c>
      <c r="D28" s="39">
        <f t="shared" ref="D28:M28" si="28">((D21-$C$21)*($N$28-$C$28)/(2030-2019))+$C$28</f>
        <v>1.1471980074719801E-2</v>
      </c>
      <c r="E28" s="39">
        <f t="shared" si="28"/>
        <v>1.1295558322955585E-2</v>
      </c>
      <c r="F28" s="39">
        <f t="shared" si="28"/>
        <v>1.1119136571191367E-2</v>
      </c>
      <c r="G28" s="39">
        <f t="shared" si="28"/>
        <v>1.0942714819427149E-2</v>
      </c>
      <c r="H28" s="39">
        <f t="shared" si="28"/>
        <v>1.0766293067662931E-2</v>
      </c>
      <c r="I28" s="39">
        <f t="shared" si="28"/>
        <v>1.0589871315898714E-2</v>
      </c>
      <c r="J28" s="39">
        <f t="shared" si="28"/>
        <v>1.0413449564134496E-2</v>
      </c>
      <c r="K28" s="39">
        <f t="shared" si="28"/>
        <v>1.0237027812370278E-2</v>
      </c>
      <c r="L28" s="39">
        <f t="shared" si="28"/>
        <v>1.0060606060606062E-2</v>
      </c>
      <c r="M28" s="39">
        <f t="shared" si="28"/>
        <v>9.8841843088418434E-3</v>
      </c>
      <c r="N28" s="38">
        <v>9.7077625570776253E-3</v>
      </c>
      <c r="O28" s="39">
        <v>9.7077625570776253E-3</v>
      </c>
      <c r="P28" s="39">
        <v>9.7077625570776253E-3</v>
      </c>
      <c r="Q28" s="39">
        <v>9.7077625570776253E-3</v>
      </c>
      <c r="R28" s="39">
        <v>9.7077625570776253E-3</v>
      </c>
      <c r="S28" s="39">
        <v>9.7077625570776253E-3</v>
      </c>
      <c r="T28" s="39">
        <v>9.7077625570776253E-3</v>
      </c>
      <c r="U28" s="39">
        <v>9.7077625570776253E-3</v>
      </c>
      <c r="V28" s="39">
        <v>9.7077625570776253E-3</v>
      </c>
      <c r="W28" s="39">
        <v>9.7077625570776253E-3</v>
      </c>
      <c r="X28" s="39">
        <v>9.7077625570776253E-3</v>
      </c>
      <c r="Y28" s="39">
        <v>9.7077625570776253E-3</v>
      </c>
      <c r="Z28" s="39">
        <v>9.7077625570776253E-3</v>
      </c>
      <c r="AA28" s="39">
        <v>9.7077625570776253E-3</v>
      </c>
      <c r="AB28" s="39">
        <v>9.7077625570776253E-3</v>
      </c>
      <c r="AC28" s="39">
        <v>9.7077625570776253E-3</v>
      </c>
      <c r="AD28" s="39">
        <v>9.7077625570776253E-3</v>
      </c>
      <c r="AE28" s="39">
        <v>9.7077625570776253E-3</v>
      </c>
      <c r="AF28" s="39">
        <v>9.7077625570776253E-3</v>
      </c>
      <c r="AG28" s="39">
        <v>9.7077625570776253E-3</v>
      </c>
      <c r="AH28" s="38">
        <v>9.7077625570776253E-3</v>
      </c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</row>
    <row r="29" spans="1:103">
      <c r="A29" s="18"/>
      <c r="B29" s="15" t="s">
        <v>56</v>
      </c>
      <c r="C29" s="38">
        <v>5.8219178082191776E-3</v>
      </c>
      <c r="D29" s="39">
        <f t="shared" ref="D29:M29" si="29">((D21-$C$21)*($N$29-$C$29)/(2030-2019))+$C$29</f>
        <v>5.7804068078040676E-3</v>
      </c>
      <c r="E29" s="39">
        <f t="shared" si="29"/>
        <v>5.7388958073889577E-3</v>
      </c>
      <c r="F29" s="39">
        <f t="shared" si="29"/>
        <v>5.6973848069738478E-3</v>
      </c>
      <c r="G29" s="39">
        <f t="shared" si="29"/>
        <v>5.6558738065587378E-3</v>
      </c>
      <c r="H29" s="39">
        <f t="shared" si="29"/>
        <v>5.6143628061436279E-3</v>
      </c>
      <c r="I29" s="39">
        <f t="shared" si="29"/>
        <v>5.572851805728518E-3</v>
      </c>
      <c r="J29" s="39">
        <f t="shared" si="29"/>
        <v>5.531340805313408E-3</v>
      </c>
      <c r="K29" s="39">
        <f t="shared" si="29"/>
        <v>5.4898298048982981E-3</v>
      </c>
      <c r="L29" s="39">
        <f t="shared" si="29"/>
        <v>5.4483188044831881E-3</v>
      </c>
      <c r="M29" s="39">
        <f t="shared" si="29"/>
        <v>5.4068078040680782E-3</v>
      </c>
      <c r="N29" s="38">
        <v>5.3652968036529683E-3</v>
      </c>
      <c r="O29" s="39">
        <f t="shared" ref="O29:AG29" si="30">((O21-$N$21)*($AH$29-$N$29)/(2050-2030))+$N$29</f>
        <v>5.3196347031963468E-3</v>
      </c>
      <c r="P29" s="39">
        <f t="shared" si="30"/>
        <v>5.2739726027397262E-3</v>
      </c>
      <c r="Q29" s="39">
        <f t="shared" si="30"/>
        <v>5.2283105022831056E-3</v>
      </c>
      <c r="R29" s="39">
        <f t="shared" si="30"/>
        <v>5.1826484018264842E-3</v>
      </c>
      <c r="S29" s="39">
        <f t="shared" si="30"/>
        <v>5.1369863013698627E-3</v>
      </c>
      <c r="T29" s="39">
        <f t="shared" si="30"/>
        <v>5.0913242009132421E-3</v>
      </c>
      <c r="U29" s="39">
        <f t="shared" si="30"/>
        <v>5.0456621004566216E-3</v>
      </c>
      <c r="V29" s="39">
        <f t="shared" si="30"/>
        <v>5.0000000000000001E-3</v>
      </c>
      <c r="W29" s="39">
        <f t="shared" si="30"/>
        <v>4.9543378995433787E-3</v>
      </c>
      <c r="X29" s="39">
        <f t="shared" si="30"/>
        <v>4.9086757990867581E-3</v>
      </c>
      <c r="Y29" s="39">
        <f t="shared" si="30"/>
        <v>4.8630136986301375E-3</v>
      </c>
      <c r="Z29" s="39">
        <f t="shared" si="30"/>
        <v>4.817351598173516E-3</v>
      </c>
      <c r="AA29" s="39">
        <f t="shared" si="30"/>
        <v>4.7716894977168946E-3</v>
      </c>
      <c r="AB29" s="39">
        <f t="shared" si="30"/>
        <v>4.726027397260274E-3</v>
      </c>
      <c r="AC29" s="39">
        <f t="shared" si="30"/>
        <v>4.6803652968036534E-3</v>
      </c>
      <c r="AD29" s="39">
        <f t="shared" si="30"/>
        <v>4.6347031963470319E-3</v>
      </c>
      <c r="AE29" s="39">
        <f t="shared" si="30"/>
        <v>4.5890410958904105E-3</v>
      </c>
      <c r="AF29" s="39">
        <f t="shared" si="30"/>
        <v>4.5433789954337899E-3</v>
      </c>
      <c r="AG29" s="39">
        <f t="shared" si="30"/>
        <v>4.4977168949771685E-3</v>
      </c>
      <c r="AH29" s="38">
        <v>4.4520547945205479E-3</v>
      </c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</row>
    <row r="30" spans="1:103">
      <c r="A30" s="18"/>
      <c r="B30" s="15" t="s">
        <v>59</v>
      </c>
      <c r="C30" s="38">
        <v>1.4954337899543379E-2</v>
      </c>
      <c r="D30" s="39">
        <f t="shared" ref="D30:M30" si="31">((D21-$C$21)*($N$30-$C$30)/(2030-2019))+$C$30</f>
        <v>1.4912826899128269E-2</v>
      </c>
      <c r="E30" s="39">
        <f t="shared" si="31"/>
        <v>1.4871315898713159E-2</v>
      </c>
      <c r="F30" s="39">
        <f t="shared" si="31"/>
        <v>1.4829804898298049E-2</v>
      </c>
      <c r="G30" s="39">
        <f t="shared" si="31"/>
        <v>1.4788293897882939E-2</v>
      </c>
      <c r="H30" s="39">
        <f t="shared" si="31"/>
        <v>1.4746782897467829E-2</v>
      </c>
      <c r="I30" s="39">
        <f t="shared" si="31"/>
        <v>1.4705271897052717E-2</v>
      </c>
      <c r="J30" s="39">
        <f t="shared" si="31"/>
        <v>1.4663760896637608E-2</v>
      </c>
      <c r="K30" s="39">
        <f t="shared" si="31"/>
        <v>1.4622249896222498E-2</v>
      </c>
      <c r="L30" s="39">
        <f t="shared" si="31"/>
        <v>1.4580738895807388E-2</v>
      </c>
      <c r="M30" s="39">
        <f t="shared" si="31"/>
        <v>1.4539227895392278E-2</v>
      </c>
      <c r="N30" s="38">
        <v>1.4497716894977168E-2</v>
      </c>
      <c r="O30" s="39">
        <f t="shared" ref="O30:AG30" si="32">((O21-$N$21)*($AH$30-$N$30)/(2050-2030))+$N$30</f>
        <v>1.446917808219178E-2</v>
      </c>
      <c r="P30" s="39">
        <f t="shared" si="32"/>
        <v>1.4440639269406391E-2</v>
      </c>
      <c r="Q30" s="39">
        <f t="shared" si="32"/>
        <v>1.4412100456621004E-2</v>
      </c>
      <c r="R30" s="39">
        <f t="shared" si="32"/>
        <v>1.4383561643835615E-2</v>
      </c>
      <c r="S30" s="39">
        <f t="shared" si="32"/>
        <v>1.4355022831050227E-2</v>
      </c>
      <c r="T30" s="39">
        <f t="shared" si="32"/>
        <v>1.432648401826484E-2</v>
      </c>
      <c r="U30" s="39">
        <f t="shared" si="32"/>
        <v>1.4297945205479451E-2</v>
      </c>
      <c r="V30" s="39">
        <f t="shared" si="32"/>
        <v>1.4269406392694063E-2</v>
      </c>
      <c r="W30" s="39">
        <f t="shared" si="32"/>
        <v>1.4240867579908674E-2</v>
      </c>
      <c r="X30" s="39">
        <f t="shared" si="32"/>
        <v>1.4212328767123287E-2</v>
      </c>
      <c r="Y30" s="39">
        <f t="shared" si="32"/>
        <v>1.4183789954337899E-2</v>
      </c>
      <c r="Z30" s="39">
        <f t="shared" si="32"/>
        <v>1.415525114155251E-2</v>
      </c>
      <c r="AA30" s="39">
        <f t="shared" si="32"/>
        <v>1.4126712328767123E-2</v>
      </c>
      <c r="AB30" s="39">
        <f t="shared" si="32"/>
        <v>1.4098173515981733E-2</v>
      </c>
      <c r="AC30" s="39">
        <f t="shared" si="32"/>
        <v>1.4069634703196346E-2</v>
      </c>
      <c r="AD30" s="39">
        <f t="shared" si="32"/>
        <v>1.4041095890410958E-2</v>
      </c>
      <c r="AE30" s="39">
        <f t="shared" si="32"/>
        <v>1.4012557077625569E-2</v>
      </c>
      <c r="AF30" s="39">
        <f t="shared" si="32"/>
        <v>1.3984018264840182E-2</v>
      </c>
      <c r="AG30" s="39">
        <f t="shared" si="32"/>
        <v>1.3955479452054793E-2</v>
      </c>
      <c r="AH30" s="38">
        <v>1.3926940639269405E-2</v>
      </c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</row>
    <row r="31" spans="1:103">
      <c r="A31" s="18"/>
      <c r="B31" s="15" t="s">
        <v>5</v>
      </c>
      <c r="C31" s="38">
        <v>1.3301369863013699E-2</v>
      </c>
      <c r="D31" s="39">
        <v>1.3301369863013699E-2</v>
      </c>
      <c r="E31" s="39">
        <v>1.3301369863013699E-2</v>
      </c>
      <c r="F31" s="39">
        <v>1.3301369863013699E-2</v>
      </c>
      <c r="G31" s="39">
        <v>1.3301369863013699E-2</v>
      </c>
      <c r="H31" s="39">
        <v>1.3301369863013699E-2</v>
      </c>
      <c r="I31" s="39">
        <v>1.3301369863013699E-2</v>
      </c>
      <c r="J31" s="39">
        <v>1.3301369863013699E-2</v>
      </c>
      <c r="K31" s="39">
        <v>1.3301369863013699E-2</v>
      </c>
      <c r="L31" s="39">
        <v>1.3301369863013699E-2</v>
      </c>
      <c r="M31" s="39">
        <v>1.3301369863013699E-2</v>
      </c>
      <c r="N31" s="38">
        <v>1.3301369863013699E-2</v>
      </c>
      <c r="O31" s="39">
        <v>1.3301369863013699E-2</v>
      </c>
      <c r="P31" s="39">
        <v>1.3301369863013699E-2</v>
      </c>
      <c r="Q31" s="39">
        <v>1.3301369863013699E-2</v>
      </c>
      <c r="R31" s="39">
        <v>1.3301369863013699E-2</v>
      </c>
      <c r="S31" s="39">
        <v>1.3301369863013699E-2</v>
      </c>
      <c r="T31" s="39">
        <v>1.3301369863013699E-2</v>
      </c>
      <c r="U31" s="39">
        <v>1.3301369863013699E-2</v>
      </c>
      <c r="V31" s="39">
        <v>1.3301369863013699E-2</v>
      </c>
      <c r="W31" s="39">
        <v>1.3301369863013699E-2</v>
      </c>
      <c r="X31" s="39">
        <v>1.3301369863013699E-2</v>
      </c>
      <c r="Y31" s="39">
        <v>1.3301369863013699E-2</v>
      </c>
      <c r="Z31" s="39">
        <v>1.3301369863013699E-2</v>
      </c>
      <c r="AA31" s="39">
        <v>1.3301369863013699E-2</v>
      </c>
      <c r="AB31" s="39">
        <v>1.3301369863013699E-2</v>
      </c>
      <c r="AC31" s="39">
        <v>1.3301369863013699E-2</v>
      </c>
      <c r="AD31" s="39">
        <v>1.3301369863013699E-2</v>
      </c>
      <c r="AE31" s="39">
        <v>1.3301369863013699E-2</v>
      </c>
      <c r="AF31" s="39">
        <v>1.3301369863013699E-2</v>
      </c>
      <c r="AG31" s="39">
        <v>1.3301369863013699E-2</v>
      </c>
      <c r="AH31" s="38">
        <v>1.3301369863013699E-2</v>
      </c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</row>
    <row r="32" spans="1:103">
      <c r="A32" s="18"/>
      <c r="B32" s="15" t="s">
        <v>6</v>
      </c>
      <c r="C32" s="38">
        <v>0.33355251141552511</v>
      </c>
      <c r="D32" s="39">
        <v>0.33355251141552511</v>
      </c>
      <c r="E32" s="39">
        <v>0.33355251141552511</v>
      </c>
      <c r="F32" s="39">
        <v>0.33355251141552511</v>
      </c>
      <c r="G32" s="39">
        <v>0.33355251141552511</v>
      </c>
      <c r="H32" s="39">
        <v>0.33355251141552511</v>
      </c>
      <c r="I32" s="39">
        <v>0.33355251141552511</v>
      </c>
      <c r="J32" s="39">
        <v>0.33355251141552511</v>
      </c>
      <c r="K32" s="39">
        <v>0.33355251141552511</v>
      </c>
      <c r="L32" s="39">
        <v>0.33355251141552511</v>
      </c>
      <c r="M32" s="39">
        <v>0.33355251141552511</v>
      </c>
      <c r="N32" s="38">
        <v>0.33355251141552511</v>
      </c>
      <c r="O32" s="39">
        <v>0.33355251141552511</v>
      </c>
      <c r="P32" s="39">
        <v>0.33355251141552511</v>
      </c>
      <c r="Q32" s="39">
        <v>0.33355251141552511</v>
      </c>
      <c r="R32" s="39">
        <v>0.33355251141552511</v>
      </c>
      <c r="S32" s="39">
        <v>0.33355251141552511</v>
      </c>
      <c r="T32" s="39">
        <v>0.33355251141552511</v>
      </c>
      <c r="U32" s="39">
        <v>0.33355251141552511</v>
      </c>
      <c r="V32" s="39">
        <v>0.33355251141552511</v>
      </c>
      <c r="W32" s="39">
        <v>0.33355251141552511</v>
      </c>
      <c r="X32" s="39">
        <v>0.33355251141552511</v>
      </c>
      <c r="Y32" s="39">
        <v>0.33355251141552511</v>
      </c>
      <c r="Z32" s="39">
        <v>0.33355251141552511</v>
      </c>
      <c r="AA32" s="39">
        <v>0.33355251141552511</v>
      </c>
      <c r="AB32" s="39">
        <v>0.33355251141552511</v>
      </c>
      <c r="AC32" s="39">
        <v>0.33355251141552511</v>
      </c>
      <c r="AD32" s="39">
        <v>0.33355251141552511</v>
      </c>
      <c r="AE32" s="39">
        <v>0.33355251141552511</v>
      </c>
      <c r="AF32" s="39">
        <v>0.33355251141552511</v>
      </c>
      <c r="AG32" s="39">
        <v>0.33355251141552511</v>
      </c>
      <c r="AH32" s="38">
        <v>0.33355251141552511</v>
      </c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</row>
    <row r="33" spans="1:103">
      <c r="A33" s="18"/>
      <c r="B33" s="15" t="s">
        <v>7</v>
      </c>
      <c r="C33" s="38">
        <v>1.1050228310502282E-2</v>
      </c>
      <c r="D33" s="39">
        <f t="shared" ref="D33:M33" si="33">((D21-$C$21)*($N$33-$C$33)/(2030-2019))+$C$33</f>
        <v>1.1029472810294727E-2</v>
      </c>
      <c r="E33" s="39">
        <f t="shared" si="33"/>
        <v>1.1008717310087172E-2</v>
      </c>
      <c r="F33" s="39">
        <f t="shared" si="33"/>
        <v>1.0987961809879617E-2</v>
      </c>
      <c r="G33" s="39">
        <f t="shared" si="33"/>
        <v>1.0967206309672062E-2</v>
      </c>
      <c r="H33" s="39">
        <f t="shared" si="33"/>
        <v>1.0946450809464508E-2</v>
      </c>
      <c r="I33" s="39">
        <f t="shared" si="33"/>
        <v>1.0925695309256953E-2</v>
      </c>
      <c r="J33" s="39">
        <f t="shared" si="33"/>
        <v>1.0904939809049398E-2</v>
      </c>
      <c r="K33" s="39">
        <f t="shared" si="33"/>
        <v>1.0884184308841843E-2</v>
      </c>
      <c r="L33" s="39">
        <f t="shared" si="33"/>
        <v>1.0863428808634288E-2</v>
      </c>
      <c r="M33" s="39">
        <f t="shared" si="33"/>
        <v>1.0842673308426733E-2</v>
      </c>
      <c r="N33" s="38">
        <v>1.0821917808219178E-2</v>
      </c>
      <c r="O33" s="39">
        <f t="shared" ref="O33:AG33" si="34">((O21-$N$21)*($AH$33-$N$33)/(2050-2030))+$N$33</f>
        <v>1.0821917808219178E-2</v>
      </c>
      <c r="P33" s="39">
        <f t="shared" si="34"/>
        <v>1.0821917808219178E-2</v>
      </c>
      <c r="Q33" s="39">
        <f t="shared" si="34"/>
        <v>1.0821917808219178E-2</v>
      </c>
      <c r="R33" s="39">
        <f t="shared" si="34"/>
        <v>1.0821917808219178E-2</v>
      </c>
      <c r="S33" s="39">
        <f t="shared" si="34"/>
        <v>1.0821917808219178E-2</v>
      </c>
      <c r="T33" s="39">
        <f t="shared" si="34"/>
        <v>1.0821917808219178E-2</v>
      </c>
      <c r="U33" s="39">
        <f t="shared" si="34"/>
        <v>1.0821917808219178E-2</v>
      </c>
      <c r="V33" s="39">
        <f t="shared" si="34"/>
        <v>1.0821917808219178E-2</v>
      </c>
      <c r="W33" s="39">
        <f t="shared" si="34"/>
        <v>1.0821917808219178E-2</v>
      </c>
      <c r="X33" s="39">
        <f t="shared" si="34"/>
        <v>1.0821917808219178E-2</v>
      </c>
      <c r="Y33" s="39">
        <f t="shared" si="34"/>
        <v>1.0821917808219178E-2</v>
      </c>
      <c r="Z33" s="39">
        <f t="shared" si="34"/>
        <v>1.0821917808219178E-2</v>
      </c>
      <c r="AA33" s="39">
        <f t="shared" si="34"/>
        <v>1.0821917808219178E-2</v>
      </c>
      <c r="AB33" s="39">
        <f t="shared" si="34"/>
        <v>1.0821917808219178E-2</v>
      </c>
      <c r="AC33" s="39">
        <f t="shared" si="34"/>
        <v>1.0821917808219178E-2</v>
      </c>
      <c r="AD33" s="39">
        <f t="shared" si="34"/>
        <v>1.0821917808219178E-2</v>
      </c>
      <c r="AE33" s="39">
        <f t="shared" si="34"/>
        <v>1.0821917808219178E-2</v>
      </c>
      <c r="AF33" s="39">
        <f t="shared" si="34"/>
        <v>1.0821917808219178E-2</v>
      </c>
      <c r="AG33" s="39">
        <f t="shared" si="34"/>
        <v>1.0821917808219178E-2</v>
      </c>
      <c r="AH33" s="38">
        <v>1.0821917808219178E-2</v>
      </c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</row>
    <row r="34" spans="1:103">
      <c r="A34" s="18"/>
      <c r="B34" s="15" t="s">
        <v>72</v>
      </c>
      <c r="C34" s="38">
        <v>4.6803652968036525E-3</v>
      </c>
      <c r="D34" s="39">
        <v>4.6803652968036525E-3</v>
      </c>
      <c r="E34" s="39">
        <v>4.6803652968036525E-3</v>
      </c>
      <c r="F34" s="39">
        <v>4.6803652968036525E-3</v>
      </c>
      <c r="G34" s="39">
        <v>4.6803652968036525E-3</v>
      </c>
      <c r="H34" s="39">
        <v>4.6803652968036525E-3</v>
      </c>
      <c r="I34" s="39">
        <v>4.6803652968036525E-3</v>
      </c>
      <c r="J34" s="39">
        <v>4.6803652968036525E-3</v>
      </c>
      <c r="K34" s="39">
        <v>4.6803652968036525E-3</v>
      </c>
      <c r="L34" s="39">
        <v>4.6803652968036525E-3</v>
      </c>
      <c r="M34" s="39">
        <v>4.6803652968036525E-3</v>
      </c>
      <c r="N34" s="38">
        <v>4.6803652968036525E-3</v>
      </c>
      <c r="O34" s="39">
        <v>4.6803652968036525E-3</v>
      </c>
      <c r="P34" s="39">
        <v>4.6803652968036525E-3</v>
      </c>
      <c r="Q34" s="39">
        <v>4.6803652968036525E-3</v>
      </c>
      <c r="R34" s="39">
        <v>4.6803652968036525E-3</v>
      </c>
      <c r="S34" s="39">
        <v>4.6803652968036525E-3</v>
      </c>
      <c r="T34" s="39">
        <v>4.6803652968036525E-3</v>
      </c>
      <c r="U34" s="39">
        <v>4.6803652968036525E-3</v>
      </c>
      <c r="V34" s="39">
        <v>4.6803652968036525E-3</v>
      </c>
      <c r="W34" s="39">
        <v>4.6803652968036525E-3</v>
      </c>
      <c r="X34" s="39">
        <v>4.6803652968036525E-3</v>
      </c>
      <c r="Y34" s="39">
        <v>4.6803652968036525E-3</v>
      </c>
      <c r="Z34" s="39">
        <v>4.6803652968036525E-3</v>
      </c>
      <c r="AA34" s="39">
        <v>4.6803652968036525E-3</v>
      </c>
      <c r="AB34" s="39">
        <v>4.6803652968036525E-3</v>
      </c>
      <c r="AC34" s="39">
        <v>4.6803652968036525E-3</v>
      </c>
      <c r="AD34" s="39">
        <v>4.6803652968036525E-3</v>
      </c>
      <c r="AE34" s="39">
        <v>4.6803652968036525E-3</v>
      </c>
      <c r="AF34" s="39">
        <v>4.6803652968036525E-3</v>
      </c>
      <c r="AG34" s="39">
        <v>4.6803652968036525E-3</v>
      </c>
      <c r="AH34" s="38">
        <v>4.6803652968036525E-3</v>
      </c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</row>
    <row r="35" spans="1:103" ht="15" thickBot="1">
      <c r="A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</row>
    <row r="36" spans="1:103" ht="15" thickBot="1">
      <c r="A36" s="18"/>
      <c r="B36" s="35" t="s">
        <v>84</v>
      </c>
      <c r="C36" s="33"/>
      <c r="D36" s="260" t="s">
        <v>93</v>
      </c>
      <c r="E36" s="260"/>
      <c r="F36" s="260"/>
      <c r="G36" s="260"/>
      <c r="H36" s="260"/>
      <c r="I36" s="260"/>
      <c r="J36" s="260"/>
      <c r="K36" s="260"/>
      <c r="L36" s="260"/>
      <c r="M36" s="260"/>
      <c r="N36" s="260"/>
      <c r="O36" s="260"/>
      <c r="P36" s="260"/>
      <c r="Q36" s="260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</row>
    <row r="37" spans="1:103" ht="15" thickBot="1">
      <c r="A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</row>
    <row r="38" spans="1:103" ht="15" thickBot="1">
      <c r="A38" s="18"/>
      <c r="B38" s="36" t="s">
        <v>85</v>
      </c>
      <c r="C38" s="20"/>
      <c r="D38" s="20"/>
      <c r="E38" s="20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</row>
    <row r="39" spans="1:103">
      <c r="A39" s="18"/>
      <c r="B39" s="19" t="s">
        <v>77</v>
      </c>
      <c r="C39" s="15">
        <v>2019</v>
      </c>
      <c r="D39" s="15">
        <v>2020</v>
      </c>
      <c r="E39" s="15">
        <v>2021</v>
      </c>
      <c r="F39" s="15">
        <v>2022</v>
      </c>
      <c r="G39" s="15">
        <v>2023</v>
      </c>
      <c r="H39" s="15">
        <v>2024</v>
      </c>
      <c r="I39" s="15">
        <v>2025</v>
      </c>
      <c r="J39" s="15">
        <v>2026</v>
      </c>
      <c r="K39" s="15">
        <v>2027</v>
      </c>
      <c r="L39" s="15">
        <v>2028</v>
      </c>
      <c r="M39" s="15">
        <v>2029</v>
      </c>
      <c r="N39" s="15">
        <v>2030</v>
      </c>
      <c r="O39" s="15">
        <v>2031</v>
      </c>
      <c r="P39" s="15">
        <v>2032</v>
      </c>
      <c r="Q39" s="15">
        <v>2033</v>
      </c>
      <c r="R39" s="15">
        <v>2034</v>
      </c>
      <c r="S39" s="15">
        <v>2035</v>
      </c>
      <c r="T39" s="15">
        <v>2036</v>
      </c>
      <c r="U39" s="15">
        <v>2037</v>
      </c>
      <c r="V39" s="15">
        <v>2038</v>
      </c>
      <c r="W39" s="15">
        <v>2039</v>
      </c>
      <c r="X39" s="15">
        <v>2040</v>
      </c>
      <c r="Y39" s="15">
        <v>2041</v>
      </c>
      <c r="Z39" s="15">
        <v>2042</v>
      </c>
      <c r="AA39" s="15">
        <v>2043</v>
      </c>
      <c r="AB39" s="15">
        <v>2044</v>
      </c>
      <c r="AC39" s="15">
        <v>2045</v>
      </c>
      <c r="AD39" s="15">
        <v>2046</v>
      </c>
      <c r="AE39" s="15">
        <v>2047</v>
      </c>
      <c r="AF39" s="15">
        <v>2048</v>
      </c>
      <c r="AG39" s="15">
        <v>2049</v>
      </c>
      <c r="AH39" s="15">
        <v>2050</v>
      </c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</row>
    <row r="40" spans="1:103">
      <c r="A40" s="18"/>
      <c r="B40" s="15" t="s">
        <v>81</v>
      </c>
      <c r="C40" s="37">
        <f>(53+85)/2</f>
        <v>69</v>
      </c>
      <c r="D40" s="17">
        <v>69</v>
      </c>
      <c r="E40" s="17">
        <v>69</v>
      </c>
      <c r="F40" s="17">
        <v>69</v>
      </c>
      <c r="G40" s="17">
        <v>69</v>
      </c>
      <c r="H40" s="17">
        <v>69</v>
      </c>
      <c r="I40" s="17">
        <v>69</v>
      </c>
      <c r="J40" s="17">
        <v>69</v>
      </c>
      <c r="K40" s="17">
        <v>69</v>
      </c>
      <c r="L40" s="17">
        <v>69</v>
      </c>
      <c r="M40" s="17">
        <v>69</v>
      </c>
      <c r="N40" s="17">
        <v>69</v>
      </c>
      <c r="O40" s="17">
        <v>69</v>
      </c>
      <c r="P40" s="17">
        <v>69</v>
      </c>
      <c r="Q40" s="17">
        <v>69</v>
      </c>
      <c r="R40" s="17">
        <v>69</v>
      </c>
      <c r="S40" s="17">
        <v>69</v>
      </c>
      <c r="T40" s="17">
        <v>69</v>
      </c>
      <c r="U40" s="17">
        <v>69</v>
      </c>
      <c r="V40" s="17">
        <v>69</v>
      </c>
      <c r="W40" s="17">
        <v>69</v>
      </c>
      <c r="X40" s="17">
        <v>69</v>
      </c>
      <c r="Y40" s="17">
        <v>69</v>
      </c>
      <c r="Z40" s="17">
        <v>69</v>
      </c>
      <c r="AA40" s="17">
        <v>69</v>
      </c>
      <c r="AB40" s="17">
        <v>69</v>
      </c>
      <c r="AC40" s="17">
        <v>69</v>
      </c>
      <c r="AD40" s="17">
        <v>69</v>
      </c>
      <c r="AE40" s="17">
        <v>69</v>
      </c>
      <c r="AF40" s="17">
        <v>69</v>
      </c>
      <c r="AG40" s="17">
        <v>69</v>
      </c>
      <c r="AH40" s="17">
        <v>69</v>
      </c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</row>
    <row r="41" spans="1:103">
      <c r="A41" s="18"/>
      <c r="B41" s="15" t="s">
        <v>36</v>
      </c>
      <c r="C41" s="37">
        <v>69</v>
      </c>
      <c r="D41" s="17">
        <v>69</v>
      </c>
      <c r="E41" s="17">
        <v>69</v>
      </c>
      <c r="F41" s="17">
        <v>69</v>
      </c>
      <c r="G41" s="17">
        <v>69</v>
      </c>
      <c r="H41" s="17">
        <v>69</v>
      </c>
      <c r="I41" s="17">
        <v>69</v>
      </c>
      <c r="J41" s="17">
        <v>69</v>
      </c>
      <c r="K41" s="17">
        <v>69</v>
      </c>
      <c r="L41" s="17">
        <v>69</v>
      </c>
      <c r="M41" s="17">
        <v>69</v>
      </c>
      <c r="N41" s="17">
        <v>69</v>
      </c>
      <c r="O41" s="17">
        <v>69</v>
      </c>
      <c r="P41" s="17">
        <v>69</v>
      </c>
      <c r="Q41" s="17">
        <v>69</v>
      </c>
      <c r="R41" s="17">
        <v>69</v>
      </c>
      <c r="S41" s="17">
        <v>69</v>
      </c>
      <c r="T41" s="17">
        <v>69</v>
      </c>
      <c r="U41" s="17">
        <v>69</v>
      </c>
      <c r="V41" s="17">
        <v>69</v>
      </c>
      <c r="W41" s="17">
        <v>69</v>
      </c>
      <c r="X41" s="17">
        <v>69</v>
      </c>
      <c r="Y41" s="17">
        <v>69</v>
      </c>
      <c r="Z41" s="17">
        <v>69</v>
      </c>
      <c r="AA41" s="17">
        <v>69</v>
      </c>
      <c r="AB41" s="17">
        <v>69</v>
      </c>
      <c r="AC41" s="17">
        <v>69</v>
      </c>
      <c r="AD41" s="17">
        <v>69</v>
      </c>
      <c r="AE41" s="17">
        <v>69</v>
      </c>
      <c r="AF41" s="17">
        <v>69</v>
      </c>
      <c r="AG41" s="17">
        <v>69</v>
      </c>
      <c r="AH41" s="17">
        <v>69</v>
      </c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</row>
    <row r="42" spans="1:103">
      <c r="A42" s="18"/>
      <c r="B42" s="15" t="s">
        <v>89</v>
      </c>
      <c r="C42" s="37">
        <f>(8+30)/2</f>
        <v>19</v>
      </c>
      <c r="D42" s="17">
        <v>19</v>
      </c>
      <c r="E42" s="17">
        <v>19</v>
      </c>
      <c r="F42" s="17">
        <v>19</v>
      </c>
      <c r="G42" s="17">
        <v>19</v>
      </c>
      <c r="H42" s="17">
        <v>19</v>
      </c>
      <c r="I42" s="17">
        <v>19</v>
      </c>
      <c r="J42" s="17">
        <v>19</v>
      </c>
      <c r="K42" s="17">
        <v>19</v>
      </c>
      <c r="L42" s="17">
        <v>19</v>
      </c>
      <c r="M42" s="17">
        <v>19</v>
      </c>
      <c r="N42" s="17">
        <v>19</v>
      </c>
      <c r="O42" s="17">
        <v>19</v>
      </c>
      <c r="P42" s="17">
        <v>19</v>
      </c>
      <c r="Q42" s="17">
        <v>19</v>
      </c>
      <c r="R42" s="17">
        <v>19</v>
      </c>
      <c r="S42" s="17">
        <v>19</v>
      </c>
      <c r="T42" s="17">
        <v>19</v>
      </c>
      <c r="U42" s="17">
        <v>19</v>
      </c>
      <c r="V42" s="17">
        <v>19</v>
      </c>
      <c r="W42" s="17">
        <v>19</v>
      </c>
      <c r="X42" s="17">
        <v>19</v>
      </c>
      <c r="Y42" s="17">
        <v>19</v>
      </c>
      <c r="Z42" s="17">
        <v>19</v>
      </c>
      <c r="AA42" s="17">
        <v>19</v>
      </c>
      <c r="AB42" s="17">
        <v>19</v>
      </c>
      <c r="AC42" s="17">
        <v>19</v>
      </c>
      <c r="AD42" s="17">
        <v>19</v>
      </c>
      <c r="AE42" s="17">
        <v>19</v>
      </c>
      <c r="AF42" s="17">
        <v>19</v>
      </c>
      <c r="AG42" s="17">
        <v>19</v>
      </c>
      <c r="AH42" s="17">
        <v>19</v>
      </c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</row>
    <row r="43" spans="1:103">
      <c r="A43" s="18"/>
      <c r="B43" s="15" t="s">
        <v>88</v>
      </c>
      <c r="C43" s="37">
        <f>(56+87)/2</f>
        <v>71.5</v>
      </c>
      <c r="D43" s="17">
        <v>71.5</v>
      </c>
      <c r="E43" s="17">
        <v>71.5</v>
      </c>
      <c r="F43" s="17">
        <v>71.5</v>
      </c>
      <c r="G43" s="17">
        <v>71.5</v>
      </c>
      <c r="H43" s="17">
        <v>71.5</v>
      </c>
      <c r="I43" s="17">
        <v>71.5</v>
      </c>
      <c r="J43" s="17">
        <v>71.5</v>
      </c>
      <c r="K43" s="17">
        <v>71.5</v>
      </c>
      <c r="L43" s="17">
        <v>71.5</v>
      </c>
      <c r="M43" s="17">
        <v>71.5</v>
      </c>
      <c r="N43" s="17">
        <v>71.5</v>
      </c>
      <c r="O43" s="17">
        <v>71.5</v>
      </c>
      <c r="P43" s="17">
        <v>71.5</v>
      </c>
      <c r="Q43" s="17">
        <v>71.5</v>
      </c>
      <c r="R43" s="17">
        <v>71.5</v>
      </c>
      <c r="S43" s="17">
        <v>71.5</v>
      </c>
      <c r="T43" s="17">
        <v>71.5</v>
      </c>
      <c r="U43" s="17">
        <v>71.5</v>
      </c>
      <c r="V43" s="17">
        <v>71.5</v>
      </c>
      <c r="W43" s="17">
        <v>71.5</v>
      </c>
      <c r="X43" s="17">
        <v>71.5</v>
      </c>
      <c r="Y43" s="17">
        <v>71.5</v>
      </c>
      <c r="Z43" s="17">
        <v>71.5</v>
      </c>
      <c r="AA43" s="17">
        <v>71.5</v>
      </c>
      <c r="AB43" s="17">
        <v>71.5</v>
      </c>
      <c r="AC43" s="17">
        <v>71.5</v>
      </c>
      <c r="AD43" s="17">
        <v>71.5</v>
      </c>
      <c r="AE43" s="17">
        <v>71.5</v>
      </c>
      <c r="AF43" s="17">
        <v>71.5</v>
      </c>
      <c r="AG43" s="17">
        <v>71.5</v>
      </c>
      <c r="AH43" s="17">
        <v>71.5</v>
      </c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</row>
    <row r="44" spans="1:103">
      <c r="A44" s="18"/>
      <c r="B44" s="15" t="s">
        <v>90</v>
      </c>
      <c r="C44" s="37">
        <f>(56+87)/2</f>
        <v>71.5</v>
      </c>
      <c r="D44" s="17">
        <v>71.5</v>
      </c>
      <c r="E44" s="17">
        <v>71.5</v>
      </c>
      <c r="F44" s="17">
        <v>71.5</v>
      </c>
      <c r="G44" s="17">
        <v>71.5</v>
      </c>
      <c r="H44" s="17">
        <v>71.5</v>
      </c>
      <c r="I44" s="17">
        <v>71.5</v>
      </c>
      <c r="J44" s="17">
        <v>71.5</v>
      </c>
      <c r="K44" s="17">
        <v>71.5</v>
      </c>
      <c r="L44" s="17">
        <v>71.5</v>
      </c>
      <c r="M44" s="17">
        <v>71.5</v>
      </c>
      <c r="N44" s="17">
        <v>71.5</v>
      </c>
      <c r="O44" s="17">
        <v>71.5</v>
      </c>
      <c r="P44" s="17">
        <v>71.5</v>
      </c>
      <c r="Q44" s="17">
        <v>71.5</v>
      </c>
      <c r="R44" s="17">
        <v>71.5</v>
      </c>
      <c r="S44" s="17">
        <v>71.5</v>
      </c>
      <c r="T44" s="17">
        <v>71.5</v>
      </c>
      <c r="U44" s="17">
        <v>71.5</v>
      </c>
      <c r="V44" s="17">
        <v>71.5</v>
      </c>
      <c r="W44" s="17">
        <v>71.5</v>
      </c>
      <c r="X44" s="17">
        <v>71.5</v>
      </c>
      <c r="Y44" s="17">
        <v>71.5</v>
      </c>
      <c r="Z44" s="17">
        <v>71.5</v>
      </c>
      <c r="AA44" s="17">
        <v>71.5</v>
      </c>
      <c r="AB44" s="17">
        <v>71.5</v>
      </c>
      <c r="AC44" s="17">
        <v>71.5</v>
      </c>
      <c r="AD44" s="17">
        <v>71.5</v>
      </c>
      <c r="AE44" s="17">
        <v>71.5</v>
      </c>
      <c r="AF44" s="17">
        <v>71.5</v>
      </c>
      <c r="AG44" s="17">
        <v>71.5</v>
      </c>
      <c r="AH44" s="17">
        <v>71.5</v>
      </c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</row>
    <row r="45" spans="1:103">
      <c r="A45" s="18"/>
      <c r="B45" s="15" t="s">
        <v>48</v>
      </c>
      <c r="C45" s="37">
        <f>(15+27)/2</f>
        <v>21</v>
      </c>
      <c r="D45" s="17">
        <v>21</v>
      </c>
      <c r="E45" s="17">
        <v>21</v>
      </c>
      <c r="F45" s="17">
        <v>21</v>
      </c>
      <c r="G45" s="17">
        <v>21</v>
      </c>
      <c r="H45" s="17">
        <v>21</v>
      </c>
      <c r="I45" s="17">
        <v>21</v>
      </c>
      <c r="J45" s="17">
        <v>21</v>
      </c>
      <c r="K45" s="17">
        <v>21</v>
      </c>
      <c r="L45" s="17">
        <v>21</v>
      </c>
      <c r="M45" s="17">
        <v>21</v>
      </c>
      <c r="N45" s="17">
        <v>21</v>
      </c>
      <c r="O45" s="17">
        <v>21</v>
      </c>
      <c r="P45" s="17">
        <v>21</v>
      </c>
      <c r="Q45" s="17">
        <v>21</v>
      </c>
      <c r="R45" s="17">
        <v>21</v>
      </c>
      <c r="S45" s="17">
        <v>21</v>
      </c>
      <c r="T45" s="17">
        <v>21</v>
      </c>
      <c r="U45" s="17">
        <v>21</v>
      </c>
      <c r="V45" s="17">
        <v>21</v>
      </c>
      <c r="W45" s="17">
        <v>21</v>
      </c>
      <c r="X45" s="17">
        <v>21</v>
      </c>
      <c r="Y45" s="17">
        <v>21</v>
      </c>
      <c r="Z45" s="17">
        <v>21</v>
      </c>
      <c r="AA45" s="17">
        <v>21</v>
      </c>
      <c r="AB45" s="17">
        <v>21</v>
      </c>
      <c r="AC45" s="17">
        <v>21</v>
      </c>
      <c r="AD45" s="17">
        <v>21</v>
      </c>
      <c r="AE45" s="17">
        <v>21</v>
      </c>
      <c r="AF45" s="17">
        <v>21</v>
      </c>
      <c r="AG45" s="17">
        <v>21</v>
      </c>
      <c r="AH45" s="17">
        <v>21</v>
      </c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</row>
    <row r="46" spans="1:103">
      <c r="A46" s="18"/>
      <c r="B46" s="15" t="s">
        <v>51</v>
      </c>
      <c r="C46" s="37">
        <f>(44+60)/2</f>
        <v>52</v>
      </c>
      <c r="D46" s="17">
        <v>52</v>
      </c>
      <c r="E46" s="17">
        <v>52</v>
      </c>
      <c r="F46" s="17">
        <v>52</v>
      </c>
      <c r="G46" s="17">
        <v>52</v>
      </c>
      <c r="H46" s="17">
        <v>52</v>
      </c>
      <c r="I46" s="17">
        <v>52</v>
      </c>
      <c r="J46" s="17">
        <v>52</v>
      </c>
      <c r="K46" s="17">
        <v>52</v>
      </c>
      <c r="L46" s="17">
        <v>52</v>
      </c>
      <c r="M46" s="17">
        <v>52</v>
      </c>
      <c r="N46" s="17">
        <v>52</v>
      </c>
      <c r="O46" s="17">
        <v>52</v>
      </c>
      <c r="P46" s="17">
        <v>52</v>
      </c>
      <c r="Q46" s="17">
        <v>52</v>
      </c>
      <c r="R46" s="17">
        <v>52</v>
      </c>
      <c r="S46" s="17">
        <v>52</v>
      </c>
      <c r="T46" s="17">
        <v>52</v>
      </c>
      <c r="U46" s="17">
        <v>52</v>
      </c>
      <c r="V46" s="17">
        <v>52</v>
      </c>
      <c r="W46" s="17">
        <v>52</v>
      </c>
      <c r="X46" s="17">
        <v>52</v>
      </c>
      <c r="Y46" s="17">
        <v>52</v>
      </c>
      <c r="Z46" s="17">
        <v>52</v>
      </c>
      <c r="AA46" s="17">
        <v>52</v>
      </c>
      <c r="AB46" s="17">
        <v>52</v>
      </c>
      <c r="AC46" s="17">
        <v>52</v>
      </c>
      <c r="AD46" s="17">
        <v>52</v>
      </c>
      <c r="AE46" s="17">
        <v>52</v>
      </c>
      <c r="AF46" s="17">
        <v>52</v>
      </c>
      <c r="AG46" s="17">
        <v>52</v>
      </c>
      <c r="AH46" s="17">
        <v>52</v>
      </c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</row>
    <row r="47" spans="1:103">
      <c r="A47" s="18"/>
      <c r="B47" s="15" t="s">
        <v>56</v>
      </c>
      <c r="C47" s="37">
        <f>(11+48)/2</f>
        <v>29.5</v>
      </c>
      <c r="D47" s="17">
        <f t="shared" ref="D47:M47" si="35">(D39-$C$39)*(($N$47-$C$47)/(2030-2019))+$C$47</f>
        <v>29.863636363636363</v>
      </c>
      <c r="E47" s="17">
        <f t="shared" si="35"/>
        <v>30.227272727272727</v>
      </c>
      <c r="F47" s="17">
        <f t="shared" si="35"/>
        <v>30.59090909090909</v>
      </c>
      <c r="G47" s="17">
        <f t="shared" si="35"/>
        <v>30.954545454545453</v>
      </c>
      <c r="H47" s="17">
        <f t="shared" si="35"/>
        <v>31.31818181818182</v>
      </c>
      <c r="I47" s="17">
        <f t="shared" si="35"/>
        <v>31.68181818181818</v>
      </c>
      <c r="J47" s="17">
        <f t="shared" si="35"/>
        <v>32.045454545454547</v>
      </c>
      <c r="K47" s="17">
        <f t="shared" si="35"/>
        <v>32.409090909090907</v>
      </c>
      <c r="L47" s="17">
        <f t="shared" si="35"/>
        <v>32.772727272727273</v>
      </c>
      <c r="M47" s="17">
        <f t="shared" si="35"/>
        <v>33.13636363636364</v>
      </c>
      <c r="N47" s="37">
        <f>(16+51)/2</f>
        <v>33.5</v>
      </c>
      <c r="O47" s="17">
        <f t="shared" ref="O47:AG47" si="36">(O39-$N$39)*(($AH$47-$N$47)/(2050-2030))+$N$47</f>
        <v>33.700000000000003</v>
      </c>
      <c r="P47" s="17">
        <f t="shared" si="36"/>
        <v>33.9</v>
      </c>
      <c r="Q47" s="17">
        <f t="shared" si="36"/>
        <v>34.1</v>
      </c>
      <c r="R47" s="17">
        <f t="shared" si="36"/>
        <v>34.299999999999997</v>
      </c>
      <c r="S47" s="17">
        <f t="shared" si="36"/>
        <v>34.5</v>
      </c>
      <c r="T47" s="17">
        <f t="shared" si="36"/>
        <v>34.700000000000003</v>
      </c>
      <c r="U47" s="17">
        <f t="shared" si="36"/>
        <v>34.9</v>
      </c>
      <c r="V47" s="17">
        <f t="shared" si="36"/>
        <v>35.1</v>
      </c>
      <c r="W47" s="17">
        <f t="shared" si="36"/>
        <v>35.299999999999997</v>
      </c>
      <c r="X47" s="17">
        <f t="shared" si="36"/>
        <v>35.5</v>
      </c>
      <c r="Y47" s="17">
        <f t="shared" si="36"/>
        <v>35.700000000000003</v>
      </c>
      <c r="Z47" s="17">
        <f t="shared" si="36"/>
        <v>35.9</v>
      </c>
      <c r="AA47" s="17">
        <f t="shared" si="36"/>
        <v>36.1</v>
      </c>
      <c r="AB47" s="17">
        <f t="shared" si="36"/>
        <v>36.299999999999997</v>
      </c>
      <c r="AC47" s="17">
        <f t="shared" si="36"/>
        <v>36.5</v>
      </c>
      <c r="AD47" s="17">
        <f t="shared" si="36"/>
        <v>36.700000000000003</v>
      </c>
      <c r="AE47" s="17">
        <f t="shared" si="36"/>
        <v>36.9</v>
      </c>
      <c r="AF47" s="17">
        <f t="shared" si="36"/>
        <v>37.1</v>
      </c>
      <c r="AG47" s="17">
        <f t="shared" si="36"/>
        <v>37.299999999999997</v>
      </c>
      <c r="AH47" s="37">
        <f>(20+55)/2</f>
        <v>37.5</v>
      </c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</row>
    <row r="48" spans="1:103">
      <c r="A48" s="18"/>
      <c r="B48" s="15" t="s">
        <v>59</v>
      </c>
      <c r="C48" s="37">
        <f>(31+51)/2</f>
        <v>41</v>
      </c>
      <c r="D48" s="17">
        <f t="shared" ref="D48:M48" si="37">(D39-$C$39)*(($N$48-$C$48)/(2030-2019))+$C$48</f>
        <v>41.136363636363633</v>
      </c>
      <c r="E48" s="17">
        <f t="shared" si="37"/>
        <v>41.272727272727273</v>
      </c>
      <c r="F48" s="17">
        <f t="shared" si="37"/>
        <v>41.409090909090907</v>
      </c>
      <c r="G48" s="17">
        <f t="shared" si="37"/>
        <v>41.545454545454547</v>
      </c>
      <c r="H48" s="17">
        <f t="shared" si="37"/>
        <v>41.68181818181818</v>
      </c>
      <c r="I48" s="17">
        <f t="shared" si="37"/>
        <v>41.81818181818182</v>
      </c>
      <c r="J48" s="17">
        <f t="shared" si="37"/>
        <v>41.954545454545453</v>
      </c>
      <c r="K48" s="17">
        <f t="shared" si="37"/>
        <v>42.090909090909093</v>
      </c>
      <c r="L48" s="17">
        <f t="shared" si="37"/>
        <v>42.227272727272727</v>
      </c>
      <c r="M48" s="17">
        <f t="shared" si="37"/>
        <v>42.363636363636367</v>
      </c>
      <c r="N48" s="37">
        <f>(33+52)/2</f>
        <v>42.5</v>
      </c>
      <c r="O48" s="17">
        <f t="shared" ref="O48:AG48" si="38">(O39-$N$39)*(($AH$48-$N$48)/(2050-2030))+$N$48</f>
        <v>42.575000000000003</v>
      </c>
      <c r="P48" s="17">
        <f t="shared" si="38"/>
        <v>42.65</v>
      </c>
      <c r="Q48" s="17">
        <f t="shared" si="38"/>
        <v>42.725000000000001</v>
      </c>
      <c r="R48" s="17">
        <f t="shared" si="38"/>
        <v>42.8</v>
      </c>
      <c r="S48" s="17">
        <f t="shared" si="38"/>
        <v>42.875</v>
      </c>
      <c r="T48" s="17">
        <f t="shared" si="38"/>
        <v>42.95</v>
      </c>
      <c r="U48" s="17">
        <f t="shared" si="38"/>
        <v>43.024999999999999</v>
      </c>
      <c r="V48" s="17">
        <f t="shared" si="38"/>
        <v>43.1</v>
      </c>
      <c r="W48" s="17">
        <f t="shared" si="38"/>
        <v>43.174999999999997</v>
      </c>
      <c r="X48" s="17">
        <f t="shared" si="38"/>
        <v>43.25</v>
      </c>
      <c r="Y48" s="17">
        <f t="shared" si="38"/>
        <v>43.325000000000003</v>
      </c>
      <c r="Z48" s="17">
        <f t="shared" si="38"/>
        <v>43.4</v>
      </c>
      <c r="AA48" s="17">
        <f t="shared" si="38"/>
        <v>43.475000000000001</v>
      </c>
      <c r="AB48" s="17">
        <f t="shared" si="38"/>
        <v>43.55</v>
      </c>
      <c r="AC48" s="17">
        <f t="shared" si="38"/>
        <v>43.625</v>
      </c>
      <c r="AD48" s="17">
        <f t="shared" si="38"/>
        <v>43.7</v>
      </c>
      <c r="AE48" s="17">
        <f t="shared" si="38"/>
        <v>43.774999999999999</v>
      </c>
      <c r="AF48" s="17">
        <f t="shared" si="38"/>
        <v>43.85</v>
      </c>
      <c r="AG48" s="17">
        <f t="shared" si="38"/>
        <v>43.924999999999997</v>
      </c>
      <c r="AH48" s="37">
        <f>(34+54)/2</f>
        <v>44</v>
      </c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</row>
    <row r="49" spans="1:103">
      <c r="A49" s="18"/>
      <c r="B49" s="15" t="s">
        <v>5</v>
      </c>
      <c r="C49" s="37">
        <v>92</v>
      </c>
      <c r="D49" s="17">
        <v>92</v>
      </c>
      <c r="E49" s="17">
        <v>92</v>
      </c>
      <c r="F49" s="17">
        <v>92</v>
      </c>
      <c r="G49" s="17">
        <v>92</v>
      </c>
      <c r="H49" s="17">
        <v>92</v>
      </c>
      <c r="I49" s="17">
        <v>92</v>
      </c>
      <c r="J49" s="17">
        <v>92</v>
      </c>
      <c r="K49" s="17">
        <v>92</v>
      </c>
      <c r="L49" s="17">
        <v>92</v>
      </c>
      <c r="M49" s="17">
        <v>92</v>
      </c>
      <c r="N49" s="17">
        <v>92</v>
      </c>
      <c r="O49" s="17">
        <v>92</v>
      </c>
      <c r="P49" s="17">
        <v>92</v>
      </c>
      <c r="Q49" s="17">
        <v>92</v>
      </c>
      <c r="R49" s="17">
        <v>92</v>
      </c>
      <c r="S49" s="17">
        <v>92</v>
      </c>
      <c r="T49" s="17">
        <v>92</v>
      </c>
      <c r="U49" s="17">
        <v>92</v>
      </c>
      <c r="V49" s="17">
        <v>92</v>
      </c>
      <c r="W49" s="17">
        <v>92</v>
      </c>
      <c r="X49" s="17">
        <v>92</v>
      </c>
      <c r="Y49" s="17">
        <v>92</v>
      </c>
      <c r="Z49" s="17">
        <v>92</v>
      </c>
      <c r="AA49" s="17">
        <v>92</v>
      </c>
      <c r="AB49" s="17">
        <v>92</v>
      </c>
      <c r="AC49" s="17">
        <v>92</v>
      </c>
      <c r="AD49" s="17">
        <v>92</v>
      </c>
      <c r="AE49" s="17">
        <v>92</v>
      </c>
      <c r="AF49" s="17">
        <v>92</v>
      </c>
      <c r="AG49" s="17">
        <v>92</v>
      </c>
      <c r="AH49" s="17">
        <v>92</v>
      </c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</row>
    <row r="50" spans="1:103">
      <c r="A50" s="18"/>
      <c r="B50" s="15" t="s">
        <v>6</v>
      </c>
      <c r="C50" s="37">
        <v>85</v>
      </c>
      <c r="D50" s="17">
        <v>85</v>
      </c>
      <c r="E50" s="17">
        <v>85</v>
      </c>
      <c r="F50" s="17">
        <v>85</v>
      </c>
      <c r="G50" s="17">
        <v>85</v>
      </c>
      <c r="H50" s="17">
        <v>85</v>
      </c>
      <c r="I50" s="17">
        <v>85</v>
      </c>
      <c r="J50" s="17">
        <v>85</v>
      </c>
      <c r="K50" s="17">
        <v>85</v>
      </c>
      <c r="L50" s="17">
        <v>85</v>
      </c>
      <c r="M50" s="17">
        <v>85</v>
      </c>
      <c r="N50" s="17">
        <v>85</v>
      </c>
      <c r="O50" s="17">
        <v>85</v>
      </c>
      <c r="P50" s="17">
        <v>85</v>
      </c>
      <c r="Q50" s="17">
        <v>85</v>
      </c>
      <c r="R50" s="17">
        <v>85</v>
      </c>
      <c r="S50" s="17">
        <v>85</v>
      </c>
      <c r="T50" s="17">
        <v>85</v>
      </c>
      <c r="U50" s="17">
        <v>85</v>
      </c>
      <c r="V50" s="17">
        <v>85</v>
      </c>
      <c r="W50" s="17">
        <v>85</v>
      </c>
      <c r="X50" s="17">
        <v>85</v>
      </c>
      <c r="Y50" s="17">
        <v>85</v>
      </c>
      <c r="Z50" s="17">
        <v>85</v>
      </c>
      <c r="AA50" s="17">
        <v>85</v>
      </c>
      <c r="AB50" s="17">
        <v>85</v>
      </c>
      <c r="AC50" s="17">
        <v>85</v>
      </c>
      <c r="AD50" s="17">
        <v>85</v>
      </c>
      <c r="AE50" s="17">
        <v>85</v>
      </c>
      <c r="AF50" s="17">
        <v>85</v>
      </c>
      <c r="AG50" s="17">
        <v>85</v>
      </c>
      <c r="AH50" s="17">
        <v>85</v>
      </c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</row>
    <row r="51" spans="1:103">
      <c r="A51" s="18"/>
      <c r="B51" s="15" t="s">
        <v>7</v>
      </c>
      <c r="C51" s="37">
        <v>56</v>
      </c>
      <c r="D51" s="17">
        <v>56</v>
      </c>
      <c r="E51" s="17">
        <v>56</v>
      </c>
      <c r="F51" s="17">
        <v>56</v>
      </c>
      <c r="G51" s="17">
        <v>56</v>
      </c>
      <c r="H51" s="17">
        <v>56</v>
      </c>
      <c r="I51" s="17">
        <v>56</v>
      </c>
      <c r="J51" s="17">
        <v>56</v>
      </c>
      <c r="K51" s="17">
        <v>56</v>
      </c>
      <c r="L51" s="17">
        <v>56</v>
      </c>
      <c r="M51" s="17">
        <v>56</v>
      </c>
      <c r="N51" s="17">
        <v>56</v>
      </c>
      <c r="O51" s="17">
        <v>56</v>
      </c>
      <c r="P51" s="17">
        <v>56</v>
      </c>
      <c r="Q51" s="17">
        <v>56</v>
      </c>
      <c r="R51" s="17">
        <v>56</v>
      </c>
      <c r="S51" s="17">
        <v>56</v>
      </c>
      <c r="T51" s="17">
        <v>56</v>
      </c>
      <c r="U51" s="17">
        <v>56</v>
      </c>
      <c r="V51" s="17">
        <v>56</v>
      </c>
      <c r="W51" s="17">
        <v>56</v>
      </c>
      <c r="X51" s="17">
        <v>56</v>
      </c>
      <c r="Y51" s="17">
        <v>56</v>
      </c>
      <c r="Z51" s="17">
        <v>56</v>
      </c>
      <c r="AA51" s="17">
        <v>56</v>
      </c>
      <c r="AB51" s="17">
        <v>56</v>
      </c>
      <c r="AC51" s="17">
        <v>56</v>
      </c>
      <c r="AD51" s="17">
        <v>56</v>
      </c>
      <c r="AE51" s="17">
        <v>56</v>
      </c>
      <c r="AF51" s="17">
        <v>56</v>
      </c>
      <c r="AG51" s="17">
        <v>56</v>
      </c>
      <c r="AH51" s="17">
        <v>56</v>
      </c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</row>
    <row r="52" spans="1:103">
      <c r="A52" s="18"/>
      <c r="B52" s="15" t="s">
        <v>72</v>
      </c>
      <c r="C52" s="37">
        <v>63</v>
      </c>
      <c r="D52" s="17">
        <v>63</v>
      </c>
      <c r="E52" s="17">
        <v>63</v>
      </c>
      <c r="F52" s="17">
        <v>63</v>
      </c>
      <c r="G52" s="17">
        <v>63</v>
      </c>
      <c r="H52" s="17">
        <v>63</v>
      </c>
      <c r="I52" s="17">
        <v>63</v>
      </c>
      <c r="J52" s="17">
        <v>63</v>
      </c>
      <c r="K52" s="17">
        <v>63</v>
      </c>
      <c r="L52" s="17">
        <v>63</v>
      </c>
      <c r="M52" s="17">
        <v>63</v>
      </c>
      <c r="N52" s="17">
        <v>63</v>
      </c>
      <c r="O52" s="17">
        <v>63</v>
      </c>
      <c r="P52" s="17">
        <v>63</v>
      </c>
      <c r="Q52" s="17">
        <v>63</v>
      </c>
      <c r="R52" s="17">
        <v>63</v>
      </c>
      <c r="S52" s="17">
        <v>63</v>
      </c>
      <c r="T52" s="17">
        <v>63</v>
      </c>
      <c r="U52" s="17">
        <v>63</v>
      </c>
      <c r="V52" s="17">
        <v>63</v>
      </c>
      <c r="W52" s="17">
        <v>63</v>
      </c>
      <c r="X52" s="17">
        <v>63</v>
      </c>
      <c r="Y52" s="17">
        <v>63</v>
      </c>
      <c r="Z52" s="17">
        <v>63</v>
      </c>
      <c r="AA52" s="17">
        <v>63</v>
      </c>
      <c r="AB52" s="17">
        <v>63</v>
      </c>
      <c r="AC52" s="17">
        <v>63</v>
      </c>
      <c r="AD52" s="17">
        <v>63</v>
      </c>
      <c r="AE52" s="17">
        <v>63</v>
      </c>
      <c r="AF52" s="17">
        <v>63</v>
      </c>
      <c r="AG52" s="17">
        <v>63</v>
      </c>
      <c r="AH52" s="17">
        <v>63</v>
      </c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</row>
    <row r="53" spans="1:103" ht="15" thickBot="1">
      <c r="A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</row>
    <row r="54" spans="1:103" ht="15" thickBot="1">
      <c r="A54" s="18"/>
      <c r="B54" s="35" t="s">
        <v>84</v>
      </c>
      <c r="C54" s="33"/>
      <c r="D54" s="260" t="s">
        <v>93</v>
      </c>
      <c r="E54" s="260"/>
      <c r="F54" s="260"/>
      <c r="G54" s="260"/>
      <c r="H54" s="260"/>
      <c r="I54" s="260"/>
      <c r="J54" s="260"/>
      <c r="K54" s="260"/>
      <c r="L54" s="260"/>
      <c r="M54" s="260"/>
      <c r="N54" s="260"/>
      <c r="O54" s="260"/>
      <c r="P54" s="260"/>
      <c r="Q54" s="260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</row>
    <row r="55" spans="1:103" ht="15" thickBot="1">
      <c r="A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</row>
    <row r="56" spans="1:103" ht="15" thickBot="1">
      <c r="A56" s="18"/>
      <c r="B56" s="34" t="s">
        <v>92</v>
      </c>
      <c r="C56" s="20"/>
      <c r="D56" s="20"/>
      <c r="E56" s="20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</row>
    <row r="57" spans="1:103">
      <c r="A57" s="18"/>
      <c r="B57" s="19" t="s">
        <v>77</v>
      </c>
      <c r="C57" s="15">
        <v>2019</v>
      </c>
      <c r="D57" s="15">
        <v>2020</v>
      </c>
      <c r="E57" s="15">
        <v>2021</v>
      </c>
      <c r="F57" s="15">
        <v>2022</v>
      </c>
      <c r="G57" s="15">
        <v>2023</v>
      </c>
      <c r="H57" s="15">
        <v>2024</v>
      </c>
      <c r="I57" s="15">
        <v>2025</v>
      </c>
      <c r="J57" s="15">
        <v>2026</v>
      </c>
      <c r="K57" s="15">
        <v>2027</v>
      </c>
      <c r="L57" s="15">
        <v>2028</v>
      </c>
      <c r="M57" s="15">
        <v>2029</v>
      </c>
      <c r="N57" s="15">
        <v>2030</v>
      </c>
      <c r="O57" s="15">
        <v>2031</v>
      </c>
      <c r="P57" s="15">
        <v>2032</v>
      </c>
      <c r="Q57" s="15">
        <v>2033</v>
      </c>
      <c r="R57" s="15">
        <v>2034</v>
      </c>
      <c r="S57" s="15">
        <v>2035</v>
      </c>
      <c r="T57" s="15">
        <v>2036</v>
      </c>
      <c r="U57" s="15">
        <v>2037</v>
      </c>
      <c r="V57" s="15">
        <v>2038</v>
      </c>
      <c r="W57" s="15">
        <v>2039</v>
      </c>
      <c r="X57" s="15">
        <v>2040</v>
      </c>
      <c r="Y57" s="15">
        <v>2041</v>
      </c>
      <c r="Z57" s="15">
        <v>2042</v>
      </c>
      <c r="AA57" s="15">
        <v>2043</v>
      </c>
      <c r="AB57" s="15">
        <v>2044</v>
      </c>
      <c r="AC57" s="15">
        <v>2045</v>
      </c>
      <c r="AD57" s="15">
        <v>2046</v>
      </c>
      <c r="AE57" s="15">
        <v>2047</v>
      </c>
      <c r="AF57" s="15">
        <v>2048</v>
      </c>
      <c r="AG57" s="15">
        <v>2049</v>
      </c>
      <c r="AH57" s="15">
        <v>2050</v>
      </c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</row>
    <row r="58" spans="1:103">
      <c r="A58" s="18"/>
      <c r="B58" s="15" t="s">
        <v>81</v>
      </c>
      <c r="C58" s="37">
        <v>1.9E-2</v>
      </c>
      <c r="D58" s="17">
        <f t="shared" ref="D58:M58" si="39">(D57-$C$57)*(($N$58-$C$58)/(2030-2019))+$C$58</f>
        <v>1.9045454545454546E-2</v>
      </c>
      <c r="E58" s="17">
        <f t="shared" si="39"/>
        <v>1.9090909090909089E-2</v>
      </c>
      <c r="F58" s="17">
        <f t="shared" si="39"/>
        <v>1.9136363636363635E-2</v>
      </c>
      <c r="G58" s="17">
        <f t="shared" si="39"/>
        <v>1.9181818181818182E-2</v>
      </c>
      <c r="H58" s="17">
        <f t="shared" si="39"/>
        <v>1.9227272727272728E-2</v>
      </c>
      <c r="I58" s="17">
        <f t="shared" si="39"/>
        <v>1.9272727272727271E-2</v>
      </c>
      <c r="J58" s="17">
        <f t="shared" si="39"/>
        <v>1.9318181818181818E-2</v>
      </c>
      <c r="K58" s="17">
        <f t="shared" si="39"/>
        <v>1.9363636363636364E-2</v>
      </c>
      <c r="L58" s="17">
        <f t="shared" si="39"/>
        <v>1.9409090909090911E-2</v>
      </c>
      <c r="M58" s="17">
        <f t="shared" si="39"/>
        <v>1.9454545454545454E-2</v>
      </c>
      <c r="N58" s="37">
        <f>(0.02+0.019)/2</f>
        <v>1.95E-2</v>
      </c>
      <c r="O58" s="17">
        <f t="shared" ref="O58:AG58" si="40">(O57-$N$57)*(($AH$58-$N$58)/(2050-2030))+$N$58</f>
        <v>1.9474999999999999E-2</v>
      </c>
      <c r="P58" s="17">
        <f t="shared" si="40"/>
        <v>1.9449999999999999E-2</v>
      </c>
      <c r="Q58" s="17">
        <f t="shared" si="40"/>
        <v>1.9425000000000001E-2</v>
      </c>
      <c r="R58" s="17">
        <f t="shared" si="40"/>
        <v>1.9400000000000001E-2</v>
      </c>
      <c r="S58" s="17">
        <f t="shared" si="40"/>
        <v>1.9375E-2</v>
      </c>
      <c r="T58" s="17">
        <f t="shared" si="40"/>
        <v>1.9349999999999999E-2</v>
      </c>
      <c r="U58" s="17">
        <f t="shared" si="40"/>
        <v>1.9324999999999998E-2</v>
      </c>
      <c r="V58" s="17">
        <f t="shared" si="40"/>
        <v>1.9300000000000001E-2</v>
      </c>
      <c r="W58" s="17">
        <f t="shared" si="40"/>
        <v>1.9275E-2</v>
      </c>
      <c r="X58" s="17">
        <f t="shared" si="40"/>
        <v>1.925E-2</v>
      </c>
      <c r="Y58" s="17">
        <f t="shared" si="40"/>
        <v>1.9224999999999999E-2</v>
      </c>
      <c r="Z58" s="17">
        <f t="shared" si="40"/>
        <v>1.9199999999999998E-2</v>
      </c>
      <c r="AA58" s="17">
        <f t="shared" si="40"/>
        <v>1.9175000000000001E-2</v>
      </c>
      <c r="AB58" s="17">
        <f t="shared" si="40"/>
        <v>1.915E-2</v>
      </c>
      <c r="AC58" s="17">
        <f t="shared" si="40"/>
        <v>1.9125E-2</v>
      </c>
      <c r="AD58" s="17">
        <f t="shared" si="40"/>
        <v>1.9099999999999999E-2</v>
      </c>
      <c r="AE58" s="17">
        <f t="shared" si="40"/>
        <v>1.9074999999999998E-2</v>
      </c>
      <c r="AF58" s="17">
        <f t="shared" si="40"/>
        <v>1.9050000000000001E-2</v>
      </c>
      <c r="AG58" s="17">
        <f t="shared" si="40"/>
        <v>1.9025E-2</v>
      </c>
      <c r="AH58" s="37">
        <v>1.9E-2</v>
      </c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</row>
    <row r="59" spans="1:103">
      <c r="A59" s="18"/>
      <c r="B59" s="15" t="s">
        <v>36</v>
      </c>
      <c r="C59" s="37">
        <v>2.5000000000000001E-2</v>
      </c>
      <c r="D59" s="17">
        <f t="shared" ref="D59:M59" si="41">(D57-$C$57)*(($N$59-$C$59)/(2030-2019))+$C$59</f>
        <v>2.4636363636363637E-2</v>
      </c>
      <c r="E59" s="17">
        <f t="shared" si="41"/>
        <v>2.4272727272727276E-2</v>
      </c>
      <c r="F59" s="17">
        <f t="shared" si="41"/>
        <v>2.3909090909090911E-2</v>
      </c>
      <c r="G59" s="17">
        <f t="shared" si="41"/>
        <v>2.3545454545454546E-2</v>
      </c>
      <c r="H59" s="17">
        <f t="shared" si="41"/>
        <v>2.3181818181818182E-2</v>
      </c>
      <c r="I59" s="17">
        <f t="shared" si="41"/>
        <v>2.2818181818181821E-2</v>
      </c>
      <c r="J59" s="17">
        <f t="shared" si="41"/>
        <v>2.2454545454545456E-2</v>
      </c>
      <c r="K59" s="17">
        <f t="shared" si="41"/>
        <v>2.2090909090909092E-2</v>
      </c>
      <c r="L59" s="17">
        <f t="shared" si="41"/>
        <v>2.1727272727272727E-2</v>
      </c>
      <c r="M59" s="17">
        <f t="shared" si="41"/>
        <v>2.1363636363636366E-2</v>
      </c>
      <c r="N59" s="37">
        <v>2.1000000000000001E-2</v>
      </c>
      <c r="O59" s="17">
        <f t="shared" ref="O59:AG59" si="42">(O57-$N$57)*(($AH$59-$N$59)/(2050-2030))+$N$59</f>
        <v>2.12E-2</v>
      </c>
      <c r="P59" s="17">
        <f t="shared" si="42"/>
        <v>2.1400000000000002E-2</v>
      </c>
      <c r="Q59" s="17">
        <f t="shared" si="42"/>
        <v>2.1600000000000001E-2</v>
      </c>
      <c r="R59" s="17">
        <f t="shared" si="42"/>
        <v>2.18E-2</v>
      </c>
      <c r="S59" s="17">
        <f t="shared" si="42"/>
        <v>2.2000000000000002E-2</v>
      </c>
      <c r="T59" s="17">
        <f t="shared" si="42"/>
        <v>2.2200000000000001E-2</v>
      </c>
      <c r="U59" s="17">
        <f t="shared" si="42"/>
        <v>2.24E-2</v>
      </c>
      <c r="V59" s="17">
        <f t="shared" si="42"/>
        <v>2.2600000000000002E-2</v>
      </c>
      <c r="W59" s="17">
        <f t="shared" si="42"/>
        <v>2.2800000000000001E-2</v>
      </c>
      <c r="X59" s="17">
        <f t="shared" si="42"/>
        <v>2.3E-2</v>
      </c>
      <c r="Y59" s="17">
        <f t="shared" si="42"/>
        <v>2.3200000000000002E-2</v>
      </c>
      <c r="Z59" s="17">
        <f t="shared" si="42"/>
        <v>2.3400000000000001E-2</v>
      </c>
      <c r="AA59" s="17">
        <f t="shared" si="42"/>
        <v>2.3600000000000003E-2</v>
      </c>
      <c r="AB59" s="17">
        <f t="shared" si="42"/>
        <v>2.3800000000000002E-2</v>
      </c>
      <c r="AC59" s="17">
        <f t="shared" si="42"/>
        <v>2.4E-2</v>
      </c>
      <c r="AD59" s="17">
        <f t="shared" si="42"/>
        <v>2.4200000000000003E-2</v>
      </c>
      <c r="AE59" s="17">
        <f t="shared" si="42"/>
        <v>2.4400000000000002E-2</v>
      </c>
      <c r="AF59" s="17">
        <f t="shared" si="42"/>
        <v>2.46E-2</v>
      </c>
      <c r="AG59" s="17">
        <f t="shared" si="42"/>
        <v>2.4800000000000003E-2</v>
      </c>
      <c r="AH59" s="37">
        <v>2.5000000000000001E-2</v>
      </c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</row>
    <row r="60" spans="1:103">
      <c r="A60" s="18"/>
      <c r="B60" s="15" t="s">
        <v>89</v>
      </c>
      <c r="C60" s="37">
        <v>2.8000000000000001E-2</v>
      </c>
      <c r="D60" s="17">
        <f t="shared" ref="D60:M60" si="43">(D57-$C$57)*(($N$60-$C$60)/(2030-2019))+$C$60</f>
        <v>2.9181818181818184E-2</v>
      </c>
      <c r="E60" s="17">
        <f t="shared" si="43"/>
        <v>3.0363636363636363E-2</v>
      </c>
      <c r="F60" s="17">
        <f t="shared" si="43"/>
        <v>3.1545454545454543E-2</v>
      </c>
      <c r="G60" s="17">
        <f t="shared" si="43"/>
        <v>3.272727272727273E-2</v>
      </c>
      <c r="H60" s="17">
        <f t="shared" si="43"/>
        <v>3.390909090909091E-2</v>
      </c>
      <c r="I60" s="17">
        <f t="shared" si="43"/>
        <v>3.5090909090909089E-2</v>
      </c>
      <c r="J60" s="17">
        <f t="shared" si="43"/>
        <v>3.6272727272727276E-2</v>
      </c>
      <c r="K60" s="17">
        <f t="shared" si="43"/>
        <v>3.7454545454545456E-2</v>
      </c>
      <c r="L60" s="17">
        <f t="shared" si="43"/>
        <v>3.8636363636363635E-2</v>
      </c>
      <c r="M60" s="17">
        <f t="shared" si="43"/>
        <v>3.9818181818181822E-2</v>
      </c>
      <c r="N60" s="37">
        <v>4.1000000000000002E-2</v>
      </c>
      <c r="O60" s="17">
        <f t="shared" ref="O60:AG60" si="44">(O57-$N$57)*(($AH$60-$N$60)/(2050-2030))+$N$60</f>
        <v>4.0350000000000004E-2</v>
      </c>
      <c r="P60" s="17">
        <f t="shared" si="44"/>
        <v>3.9699999999999999E-2</v>
      </c>
      <c r="Q60" s="17">
        <f t="shared" si="44"/>
        <v>3.9050000000000001E-2</v>
      </c>
      <c r="R60" s="17">
        <f t="shared" si="44"/>
        <v>3.8400000000000004E-2</v>
      </c>
      <c r="S60" s="17">
        <f t="shared" si="44"/>
        <v>3.7749999999999999E-2</v>
      </c>
      <c r="T60" s="17">
        <f t="shared" si="44"/>
        <v>3.7100000000000001E-2</v>
      </c>
      <c r="U60" s="17">
        <f t="shared" si="44"/>
        <v>3.6450000000000003E-2</v>
      </c>
      <c r="V60" s="17">
        <f t="shared" si="44"/>
        <v>3.5799999999999998E-2</v>
      </c>
      <c r="W60" s="17">
        <f t="shared" si="44"/>
        <v>3.5150000000000001E-2</v>
      </c>
      <c r="X60" s="17">
        <f t="shared" si="44"/>
        <v>3.4500000000000003E-2</v>
      </c>
      <c r="Y60" s="17">
        <f t="shared" si="44"/>
        <v>3.3849999999999998E-2</v>
      </c>
      <c r="Z60" s="17">
        <f t="shared" si="44"/>
        <v>3.32E-2</v>
      </c>
      <c r="AA60" s="17">
        <f t="shared" si="44"/>
        <v>3.2550000000000003E-2</v>
      </c>
      <c r="AB60" s="17">
        <f t="shared" si="44"/>
        <v>3.1899999999999998E-2</v>
      </c>
      <c r="AC60" s="17">
        <f t="shared" si="44"/>
        <v>3.125E-2</v>
      </c>
      <c r="AD60" s="17">
        <f t="shared" si="44"/>
        <v>3.0600000000000002E-2</v>
      </c>
      <c r="AE60" s="17">
        <f t="shared" si="44"/>
        <v>2.9950000000000001E-2</v>
      </c>
      <c r="AF60" s="17">
        <f t="shared" si="44"/>
        <v>2.93E-2</v>
      </c>
      <c r="AG60" s="17">
        <f t="shared" si="44"/>
        <v>2.8650000000000002E-2</v>
      </c>
      <c r="AH60" s="37">
        <v>2.8000000000000001E-2</v>
      </c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</row>
    <row r="61" spans="1:103">
      <c r="A61" s="18"/>
      <c r="B61" s="15" t="s">
        <v>88</v>
      </c>
      <c r="C61" s="37">
        <v>1.9E-2</v>
      </c>
      <c r="D61" s="17">
        <f t="shared" ref="D61:M61" si="45">(D57-$C$57)*(($N$61-$C$61)/(2030-2019))+$C$61</f>
        <v>1.9818181818181818E-2</v>
      </c>
      <c r="E61" s="17">
        <f t="shared" si="45"/>
        <v>2.0636363636363637E-2</v>
      </c>
      <c r="F61" s="17">
        <f t="shared" si="45"/>
        <v>2.1454545454545455E-2</v>
      </c>
      <c r="G61" s="17">
        <f t="shared" si="45"/>
        <v>2.2272727272727274E-2</v>
      </c>
      <c r="H61" s="17">
        <f t="shared" si="45"/>
        <v>2.3090909090909092E-2</v>
      </c>
      <c r="I61" s="17">
        <f t="shared" si="45"/>
        <v>2.3909090909090908E-2</v>
      </c>
      <c r="J61" s="17">
        <f t="shared" si="45"/>
        <v>2.4727272727272726E-2</v>
      </c>
      <c r="K61" s="17">
        <f t="shared" si="45"/>
        <v>2.5545454545454545E-2</v>
      </c>
      <c r="L61" s="17">
        <f t="shared" si="45"/>
        <v>2.6363636363636363E-2</v>
      </c>
      <c r="M61" s="17">
        <f t="shared" si="45"/>
        <v>2.7181818181818182E-2</v>
      </c>
      <c r="N61" s="37">
        <v>2.8000000000000001E-2</v>
      </c>
      <c r="O61" s="17">
        <f t="shared" ref="O61:AG61" si="46">(O57-$N$57)*(($AH$61-$N$61)/(2050-2030))+$N$61</f>
        <v>2.7550000000000002E-2</v>
      </c>
      <c r="P61" s="17">
        <f t="shared" si="46"/>
        <v>2.7099999999999999E-2</v>
      </c>
      <c r="Q61" s="17">
        <f t="shared" si="46"/>
        <v>2.665E-2</v>
      </c>
      <c r="R61" s="17">
        <f t="shared" si="46"/>
        <v>2.6200000000000001E-2</v>
      </c>
      <c r="S61" s="17">
        <f t="shared" si="46"/>
        <v>2.5750000000000002E-2</v>
      </c>
      <c r="T61" s="17">
        <f t="shared" si="46"/>
        <v>2.53E-2</v>
      </c>
      <c r="U61" s="17">
        <f t="shared" si="46"/>
        <v>2.4850000000000001E-2</v>
      </c>
      <c r="V61" s="17">
        <f t="shared" si="46"/>
        <v>2.4400000000000002E-2</v>
      </c>
      <c r="W61" s="17">
        <f t="shared" si="46"/>
        <v>2.3949999999999999E-2</v>
      </c>
      <c r="X61" s="17">
        <f t="shared" si="46"/>
        <v>2.35E-2</v>
      </c>
      <c r="Y61" s="17">
        <f t="shared" si="46"/>
        <v>2.3050000000000001E-2</v>
      </c>
      <c r="Z61" s="17">
        <f t="shared" si="46"/>
        <v>2.2600000000000002E-2</v>
      </c>
      <c r="AA61" s="17">
        <f t="shared" si="46"/>
        <v>2.215E-2</v>
      </c>
      <c r="AB61" s="17">
        <f t="shared" si="46"/>
        <v>2.1700000000000001E-2</v>
      </c>
      <c r="AC61" s="17">
        <f t="shared" si="46"/>
        <v>2.1249999999999998E-2</v>
      </c>
      <c r="AD61" s="17">
        <f t="shared" si="46"/>
        <v>2.0799999999999999E-2</v>
      </c>
      <c r="AE61" s="17">
        <f t="shared" si="46"/>
        <v>2.035E-2</v>
      </c>
      <c r="AF61" s="17">
        <f t="shared" si="46"/>
        <v>1.9900000000000001E-2</v>
      </c>
      <c r="AG61" s="17">
        <f t="shared" si="46"/>
        <v>1.9450000000000002E-2</v>
      </c>
      <c r="AH61" s="37">
        <v>1.9E-2</v>
      </c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</row>
    <row r="62" spans="1:103">
      <c r="A62" s="18"/>
      <c r="B62" s="15" t="s">
        <v>90</v>
      </c>
      <c r="C62" s="37">
        <v>2.1999999999999999E-2</v>
      </c>
      <c r="D62" s="17">
        <f t="shared" ref="D62:M62" si="47">(D57-$C$57)*(($N$62-$C$62)/(2030-2019))+$C$62</f>
        <v>2.3090909090909089E-2</v>
      </c>
      <c r="E62" s="17">
        <f t="shared" si="47"/>
        <v>2.4181818181818179E-2</v>
      </c>
      <c r="F62" s="17">
        <f t="shared" si="47"/>
        <v>2.5272727272727273E-2</v>
      </c>
      <c r="G62" s="17">
        <f t="shared" si="47"/>
        <v>2.6363636363636363E-2</v>
      </c>
      <c r="H62" s="17">
        <f t="shared" si="47"/>
        <v>2.7454545454545454E-2</v>
      </c>
      <c r="I62" s="17">
        <f t="shared" si="47"/>
        <v>2.8545454545454547E-2</v>
      </c>
      <c r="J62" s="17">
        <f t="shared" si="47"/>
        <v>2.9636363636363638E-2</v>
      </c>
      <c r="K62" s="17">
        <f t="shared" si="47"/>
        <v>3.0727272727272728E-2</v>
      </c>
      <c r="L62" s="17">
        <f t="shared" si="47"/>
        <v>3.1818181818181815E-2</v>
      </c>
      <c r="M62" s="17">
        <f t="shared" si="47"/>
        <v>3.2909090909090909E-2</v>
      </c>
      <c r="N62" s="37">
        <v>3.4000000000000002E-2</v>
      </c>
      <c r="O62" s="17">
        <f t="shared" ref="O62:AG62" si="48">(O57-$N$57)*(($AH$62-$N$62)/(2050-2030))+$N$62</f>
        <v>3.3399999999999999E-2</v>
      </c>
      <c r="P62" s="17">
        <f t="shared" si="48"/>
        <v>3.2800000000000003E-2</v>
      </c>
      <c r="Q62" s="17">
        <f t="shared" si="48"/>
        <v>3.2199999999999999E-2</v>
      </c>
      <c r="R62" s="17">
        <f t="shared" si="48"/>
        <v>3.1600000000000003E-2</v>
      </c>
      <c r="S62" s="17">
        <f t="shared" si="48"/>
        <v>3.1E-2</v>
      </c>
      <c r="T62" s="17">
        <f t="shared" si="48"/>
        <v>3.0400000000000003E-2</v>
      </c>
      <c r="U62" s="17">
        <f t="shared" si="48"/>
        <v>2.98E-2</v>
      </c>
      <c r="V62" s="17">
        <f t="shared" si="48"/>
        <v>2.92E-2</v>
      </c>
      <c r="W62" s="17">
        <f t="shared" si="48"/>
        <v>2.86E-2</v>
      </c>
      <c r="X62" s="17">
        <f t="shared" si="48"/>
        <v>2.8000000000000001E-2</v>
      </c>
      <c r="Y62" s="17">
        <f t="shared" si="48"/>
        <v>2.7400000000000001E-2</v>
      </c>
      <c r="Z62" s="17">
        <f t="shared" si="48"/>
        <v>2.6800000000000001E-2</v>
      </c>
      <c r="AA62" s="17">
        <f t="shared" si="48"/>
        <v>2.6200000000000001E-2</v>
      </c>
      <c r="AB62" s="17">
        <f t="shared" si="48"/>
        <v>2.5599999999999998E-2</v>
      </c>
      <c r="AC62" s="17">
        <f t="shared" si="48"/>
        <v>2.5000000000000001E-2</v>
      </c>
      <c r="AD62" s="17">
        <f t="shared" si="48"/>
        <v>2.4399999999999998E-2</v>
      </c>
      <c r="AE62" s="17">
        <f t="shared" si="48"/>
        <v>2.3800000000000002E-2</v>
      </c>
      <c r="AF62" s="17">
        <f t="shared" si="48"/>
        <v>2.3199999999999998E-2</v>
      </c>
      <c r="AG62" s="17">
        <f t="shared" si="48"/>
        <v>2.2599999999999999E-2</v>
      </c>
      <c r="AH62" s="37">
        <v>2.1999999999999999E-2</v>
      </c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</row>
    <row r="63" spans="1:103">
      <c r="A63" s="18"/>
      <c r="B63" s="15" t="s">
        <v>48</v>
      </c>
      <c r="C63" s="3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3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37">
        <v>0</v>
      </c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</row>
    <row r="64" spans="1:103">
      <c r="A64" s="18"/>
      <c r="B64" s="15" t="s">
        <v>51</v>
      </c>
      <c r="C64" s="3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3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  <c r="AG64" s="17">
        <v>0</v>
      </c>
      <c r="AH64" s="37">
        <v>0</v>
      </c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</row>
    <row r="65" spans="1:103">
      <c r="A65" s="18"/>
      <c r="B65" s="15" t="s">
        <v>56</v>
      </c>
      <c r="C65" s="3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3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  <c r="AA65" s="17">
        <v>0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37">
        <v>0</v>
      </c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</row>
    <row r="66" spans="1:103">
      <c r="A66" s="18"/>
      <c r="B66" s="15" t="s">
        <v>59</v>
      </c>
      <c r="C66" s="3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3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37">
        <v>0</v>
      </c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</row>
    <row r="67" spans="1:103">
      <c r="A67" s="18"/>
      <c r="B67" s="15" t="s">
        <v>5</v>
      </c>
      <c r="C67" s="37">
        <v>7.0000000000000001E-3</v>
      </c>
      <c r="D67" s="17">
        <v>7.0000000000000001E-3</v>
      </c>
      <c r="E67" s="17">
        <v>7.0000000000000001E-3</v>
      </c>
      <c r="F67" s="17">
        <v>7.0000000000000001E-3</v>
      </c>
      <c r="G67" s="17">
        <v>7.0000000000000001E-3</v>
      </c>
      <c r="H67" s="17">
        <v>7.0000000000000001E-3</v>
      </c>
      <c r="I67" s="17">
        <v>7.0000000000000001E-3</v>
      </c>
      <c r="J67" s="17">
        <v>7.0000000000000001E-3</v>
      </c>
      <c r="K67" s="17">
        <v>7.0000000000000001E-3</v>
      </c>
      <c r="L67" s="17">
        <v>7.0000000000000001E-3</v>
      </c>
      <c r="M67" s="17">
        <v>7.0000000000000001E-3</v>
      </c>
      <c r="N67" s="37">
        <v>7.0000000000000001E-3</v>
      </c>
      <c r="O67" s="17">
        <v>7.0000000000000001E-3</v>
      </c>
      <c r="P67" s="17">
        <v>7.0000000000000001E-3</v>
      </c>
      <c r="Q67" s="17">
        <v>7.0000000000000001E-3</v>
      </c>
      <c r="R67" s="17">
        <v>7.0000000000000001E-3</v>
      </c>
      <c r="S67" s="17">
        <v>7.0000000000000001E-3</v>
      </c>
      <c r="T67" s="17">
        <v>7.0000000000000001E-3</v>
      </c>
      <c r="U67" s="17">
        <v>7.0000000000000001E-3</v>
      </c>
      <c r="V67" s="17">
        <v>7.0000000000000001E-3</v>
      </c>
      <c r="W67" s="17">
        <v>7.0000000000000001E-3</v>
      </c>
      <c r="X67" s="17">
        <v>7.0000000000000001E-3</v>
      </c>
      <c r="Y67" s="17">
        <v>7.0000000000000001E-3</v>
      </c>
      <c r="Z67" s="17">
        <v>7.0000000000000001E-3</v>
      </c>
      <c r="AA67" s="17">
        <v>7.0000000000000001E-3</v>
      </c>
      <c r="AB67" s="17">
        <v>7.0000000000000001E-3</v>
      </c>
      <c r="AC67" s="17">
        <v>7.0000000000000001E-3</v>
      </c>
      <c r="AD67" s="17">
        <v>7.0000000000000001E-3</v>
      </c>
      <c r="AE67" s="17">
        <v>7.0000000000000001E-3</v>
      </c>
      <c r="AF67" s="17">
        <v>7.0000000000000001E-3</v>
      </c>
      <c r="AG67" s="17">
        <v>7.0000000000000001E-3</v>
      </c>
      <c r="AH67" s="37">
        <v>7.0000000000000001E-3</v>
      </c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</row>
    <row r="68" spans="1:103">
      <c r="A68" s="18"/>
      <c r="B68" s="15" t="s">
        <v>6</v>
      </c>
      <c r="C68" s="3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3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37">
        <v>0</v>
      </c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</row>
    <row r="69" spans="1:103">
      <c r="A69" s="18"/>
      <c r="B69" s="15" t="s">
        <v>7</v>
      </c>
      <c r="C69" s="37">
        <v>3.9E-2</v>
      </c>
      <c r="D69" s="17">
        <v>3.9E-2</v>
      </c>
      <c r="E69" s="17">
        <v>3.9E-2</v>
      </c>
      <c r="F69" s="17">
        <v>3.9E-2</v>
      </c>
      <c r="G69" s="17">
        <v>3.9E-2</v>
      </c>
      <c r="H69" s="17">
        <v>3.9E-2</v>
      </c>
      <c r="I69" s="17">
        <v>3.9E-2</v>
      </c>
      <c r="J69" s="17">
        <v>3.9E-2</v>
      </c>
      <c r="K69" s="17">
        <v>3.9E-2</v>
      </c>
      <c r="L69" s="17">
        <v>3.9E-2</v>
      </c>
      <c r="M69" s="17">
        <v>3.9E-2</v>
      </c>
      <c r="N69" s="37">
        <v>3.9E-2</v>
      </c>
      <c r="O69" s="17">
        <v>3.9E-2</v>
      </c>
      <c r="P69" s="17">
        <v>3.9E-2</v>
      </c>
      <c r="Q69" s="17">
        <v>3.9E-2</v>
      </c>
      <c r="R69" s="17">
        <v>3.9E-2</v>
      </c>
      <c r="S69" s="17">
        <v>3.9E-2</v>
      </c>
      <c r="T69" s="17">
        <v>3.9E-2</v>
      </c>
      <c r="U69" s="17">
        <v>3.9E-2</v>
      </c>
      <c r="V69" s="17">
        <v>3.9E-2</v>
      </c>
      <c r="W69" s="17">
        <v>3.9E-2</v>
      </c>
      <c r="X69" s="17">
        <v>3.9E-2</v>
      </c>
      <c r="Y69" s="17">
        <v>3.9E-2</v>
      </c>
      <c r="Z69" s="17">
        <v>3.9E-2</v>
      </c>
      <c r="AA69" s="17">
        <v>3.9E-2</v>
      </c>
      <c r="AB69" s="17">
        <v>3.9E-2</v>
      </c>
      <c r="AC69" s="17">
        <v>3.9E-2</v>
      </c>
      <c r="AD69" s="17">
        <v>3.9E-2</v>
      </c>
      <c r="AE69" s="17">
        <v>3.9E-2</v>
      </c>
      <c r="AF69" s="17">
        <v>3.9E-2</v>
      </c>
      <c r="AG69" s="17">
        <v>3.9E-2</v>
      </c>
      <c r="AH69" s="37">
        <v>3.9E-2</v>
      </c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</row>
    <row r="70" spans="1:103">
      <c r="A70" s="18"/>
      <c r="B70" s="15" t="s">
        <v>72</v>
      </c>
      <c r="C70" s="3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3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37">
        <v>0</v>
      </c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</row>
    <row r="71" spans="1:103" ht="15" thickBot="1">
      <c r="A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</row>
    <row r="72" spans="1:103" ht="15" thickBot="1">
      <c r="A72" s="18"/>
      <c r="B72" s="35" t="s">
        <v>84</v>
      </c>
      <c r="C72" s="33"/>
      <c r="D72" s="260" t="s">
        <v>93</v>
      </c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</row>
    <row r="73" spans="1:103">
      <c r="A73" s="18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</row>
    <row r="74" spans="1:103">
      <c r="A74" s="1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</row>
    <row r="75" spans="1:103">
      <c r="A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</row>
    <row r="76" spans="1:103">
      <c r="A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</row>
    <row r="77" spans="1:103">
      <c r="A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</row>
    <row r="78" spans="1:103">
      <c r="A78" s="18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</row>
    <row r="79" spans="1:103">
      <c r="A79" s="18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</row>
    <row r="80" spans="1:103">
      <c r="A80" s="18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</row>
    <row r="81" spans="1:103">
      <c r="A81" s="18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</row>
    <row r="82" spans="1:103">
      <c r="A82" s="18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</row>
    <row r="83" spans="1:103">
      <c r="A83" s="18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</row>
    <row r="84" spans="1:103">
      <c r="A84" s="18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</row>
    <row r="85" spans="1:103">
      <c r="A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</row>
    <row r="86" spans="1:103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</row>
    <row r="87" spans="1:103">
      <c r="A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</row>
    <row r="88" spans="1:103">
      <c r="A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</row>
    <row r="89" spans="1:103">
      <c r="A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</row>
    <row r="90" spans="1:103">
      <c r="A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</row>
    <row r="91" spans="1:103">
      <c r="A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</row>
    <row r="92" spans="1:103">
      <c r="A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</row>
    <row r="93" spans="1:103">
      <c r="A93" s="18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</row>
    <row r="94" spans="1:103">
      <c r="A94" s="18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</row>
    <row r="95" spans="1:103">
      <c r="A95" s="18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</row>
    <row r="96" spans="1:103">
      <c r="A96" s="18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</row>
    <row r="97" spans="1:103">
      <c r="A97" s="18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</row>
    <row r="98" spans="1:103">
      <c r="A98" s="18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</row>
    <row r="99" spans="1:103">
      <c r="A99" s="18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</row>
    <row r="100" spans="1:103">
      <c r="A100" s="18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</row>
    <row r="101" spans="1:103">
      <c r="A101" s="18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</row>
    <row r="102" spans="1:103">
      <c r="A102" s="18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</row>
    <row r="103" spans="1:103">
      <c r="A103" s="18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</row>
    <row r="104" spans="1:103">
      <c r="A104" s="18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</row>
    <row r="105" spans="1:103">
      <c r="A105" s="18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</row>
    <row r="106" spans="1:103">
      <c r="A106" s="18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</row>
    <row r="107" spans="1:103">
      <c r="A107" s="18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</row>
    <row r="108" spans="1:103">
      <c r="A108" s="18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</row>
    <row r="109" spans="1:103">
      <c r="A109" s="18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</row>
    <row r="110" spans="1:103">
      <c r="A110" s="18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</row>
    <row r="111" spans="1:103">
      <c r="A111" s="18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</row>
    <row r="112" spans="1:103">
      <c r="A112" s="18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</row>
    <row r="113" spans="1:103">
      <c r="A113" s="18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</row>
    <row r="114" spans="1:103">
      <c r="A114" s="18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</row>
    <row r="115" spans="1:103">
      <c r="A115" s="18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</row>
    <row r="116" spans="1:103">
      <c r="A116" s="18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</row>
    <row r="117" spans="1:103">
      <c r="A117" s="18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</row>
    <row r="118" spans="1:103">
      <c r="A118" s="18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</row>
    <row r="119" spans="1:103">
      <c r="A119" s="18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</row>
    <row r="120" spans="1:103">
      <c r="A120" s="18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</row>
    <row r="121" spans="1:103">
      <c r="A121" s="18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</row>
    <row r="122" spans="1:103">
      <c r="A122" s="18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</row>
    <row r="123" spans="1:103">
      <c r="A123" s="18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</row>
    <row r="124" spans="1:103">
      <c r="A124" s="18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</row>
    <row r="125" spans="1:103">
      <c r="A125" s="18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</row>
    <row r="126" spans="1:103">
      <c r="A126" s="18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</row>
    <row r="127" spans="1:103">
      <c r="A127" s="18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</row>
    <row r="128" spans="1:103">
      <c r="A128" s="18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</row>
    <row r="129" spans="1:103">
      <c r="A129" s="18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</row>
    <row r="130" spans="1:103">
      <c r="A130" s="18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</row>
    <row r="131" spans="1:103">
      <c r="A131" s="18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</row>
    <row r="132" spans="1:103">
      <c r="A132" s="18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</row>
    <row r="133" spans="1:103">
      <c r="A133" s="18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</row>
    <row r="134" spans="1:103">
      <c r="A134" s="18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</row>
    <row r="135" spans="1:103">
      <c r="A135" s="18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</row>
    <row r="136" spans="1:103">
      <c r="A136" s="18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</row>
    <row r="137" spans="1:103">
      <c r="A137" s="18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</row>
    <row r="138" spans="1:103">
      <c r="A138" s="18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</row>
    <row r="139" spans="1:103">
      <c r="A139" s="18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</row>
    <row r="140" spans="1:103">
      <c r="A140" s="18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</row>
    <row r="141" spans="1:103">
      <c r="A141" s="18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</row>
    <row r="142" spans="1:103">
      <c r="A142" s="18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</row>
    <row r="143" spans="1:103">
      <c r="A143" s="18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</row>
    <row r="144" spans="1:103">
      <c r="A144" s="18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</row>
    <row r="145" spans="1:103">
      <c r="A145" s="18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</row>
    <row r="146" spans="1:103">
      <c r="A146" s="18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</row>
    <row r="147" spans="1:103">
      <c r="A147" s="18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</row>
    <row r="148" spans="1:103">
      <c r="A148" s="18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</row>
    <row r="149" spans="1:103">
      <c r="A149" s="18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</row>
    <row r="150" spans="1:103">
      <c r="A150" s="18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</row>
    <row r="151" spans="1:103">
      <c r="A151" s="18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</row>
    <row r="152" spans="1:103">
      <c r="A152" s="18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</row>
    <row r="153" spans="1:103">
      <c r="A153" s="18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</row>
    <row r="154" spans="1:103">
      <c r="A154" s="18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</row>
    <row r="155" spans="1:103">
      <c r="A155" s="18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</row>
    <row r="156" spans="1:103">
      <c r="A156" s="18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</row>
    <row r="157" spans="1:103">
      <c r="A157" s="18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</row>
    <row r="158" spans="1:103">
      <c r="A158" s="18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</row>
    <row r="159" spans="1:103">
      <c r="A159" s="18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</row>
    <row r="160" spans="1:103">
      <c r="A160" s="18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</row>
    <row r="161" spans="1:103">
      <c r="A161" s="18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</row>
    <row r="162" spans="1:103">
      <c r="A162" s="18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</row>
    <row r="163" spans="1:103">
      <c r="A163" s="18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</row>
    <row r="164" spans="1:103">
      <c r="A164" s="18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</row>
    <row r="165" spans="1:103">
      <c r="A165" s="18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</row>
    <row r="166" spans="1:103">
      <c r="A166" s="18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</row>
    <row r="167" spans="1:103">
      <c r="A167" s="18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</row>
    <row r="168" spans="1:103">
      <c r="A168" s="18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</row>
    <row r="169" spans="1:103">
      <c r="A169" s="18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</row>
    <row r="170" spans="1:103">
      <c r="A170" s="18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</row>
    <row r="171" spans="1:103">
      <c r="A171" s="18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</row>
    <row r="172" spans="1:103">
      <c r="A172" s="18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</row>
    <row r="173" spans="1:103">
      <c r="A173" s="18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</row>
    <row r="174" spans="1:103">
      <c r="A174" s="18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</row>
    <row r="175" spans="1:103">
      <c r="A175" s="18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</row>
    <row r="176" spans="1:103">
      <c r="A176" s="18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</row>
    <row r="177" spans="1:103">
      <c r="A177" s="18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</row>
    <row r="178" spans="1:103">
      <c r="A178" s="18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</row>
    <row r="179" spans="1:103">
      <c r="A179" s="18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</row>
    <row r="180" spans="1:103">
      <c r="A180" s="18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</row>
    <row r="181" spans="1:103">
      <c r="A181" s="18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</row>
    <row r="182" spans="1:103">
      <c r="A182" s="18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</row>
    <row r="183" spans="1:103">
      <c r="A183" s="18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</row>
    <row r="184" spans="1:103">
      <c r="A184" s="18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</row>
    <row r="185" spans="1:103">
      <c r="A185" s="18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</row>
    <row r="186" spans="1:103">
      <c r="A186" s="18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  <c r="CW186" s="18"/>
      <c r="CX186" s="18"/>
      <c r="CY186" s="18"/>
    </row>
    <row r="187" spans="1:103">
      <c r="A187" s="18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</row>
    <row r="188" spans="1:103">
      <c r="A188" s="18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</row>
    <row r="189" spans="1:103">
      <c r="A189" s="18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</row>
    <row r="190" spans="1:103">
      <c r="A190" s="18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</row>
    <row r="191" spans="1:103">
      <c r="A191" s="18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</row>
    <row r="192" spans="1:103">
      <c r="A192" s="18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</row>
    <row r="193" spans="1:103">
      <c r="A193" s="18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</row>
    <row r="194" spans="1:103">
      <c r="A194" s="18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</row>
    <row r="195" spans="1:103">
      <c r="A195" s="18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</row>
    <row r="196" spans="1:103">
      <c r="A196" s="18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</row>
    <row r="197" spans="1:103">
      <c r="A197" s="18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</row>
    <row r="198" spans="1:103">
      <c r="A198" s="18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</row>
    <row r="199" spans="1:103">
      <c r="A199" s="18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</row>
    <row r="200" spans="1:103">
      <c r="A200" s="18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</row>
    <row r="201" spans="1:103">
      <c r="A201" s="18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</row>
    <row r="202" spans="1:103">
      <c r="A202" s="18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</row>
    <row r="203" spans="1:103">
      <c r="A203" s="18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</row>
    <row r="204" spans="1:103">
      <c r="A204" s="18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</row>
    <row r="205" spans="1:103">
      <c r="A205" s="18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</row>
    <row r="206" spans="1:103">
      <c r="A206" s="18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</row>
    <row r="207" spans="1:103">
      <c r="A207" s="18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</row>
    <row r="208" spans="1:103">
      <c r="A208" s="18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</row>
    <row r="209" spans="1:103">
      <c r="A209" s="18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</row>
    <row r="210" spans="1:103">
      <c r="A210" s="18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</row>
    <row r="211" spans="1:103">
      <c r="A211" s="18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</row>
    <row r="212" spans="1:103">
      <c r="A212" s="18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</row>
    <row r="213" spans="1:103">
      <c r="A213" s="18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</row>
    <row r="214" spans="1:103">
      <c r="A214" s="18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</row>
    <row r="215" spans="1:103">
      <c r="A215" s="18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</row>
    <row r="216" spans="1:103">
      <c r="A216" s="18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</row>
    <row r="217" spans="1:103">
      <c r="A217" s="18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</row>
    <row r="218" spans="1:103">
      <c r="A218" s="18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</row>
    <row r="219" spans="1:103">
      <c r="A219" s="18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</row>
    <row r="220" spans="1:103">
      <c r="A220" s="18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</row>
    <row r="221" spans="1:103">
      <c r="A221" s="18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</row>
    <row r="222" spans="1:103">
      <c r="A222" s="18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  <c r="CW222" s="18"/>
      <c r="CX222" s="18"/>
      <c r="CY222" s="18"/>
    </row>
    <row r="223" spans="1:103">
      <c r="A223" s="18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</row>
    <row r="224" spans="1:103">
      <c r="A224" s="18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</row>
    <row r="225" spans="1:103">
      <c r="A225" s="18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</row>
    <row r="226" spans="1:103">
      <c r="A226" s="18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</row>
    <row r="227" spans="1:103">
      <c r="A227" s="18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</row>
    <row r="228" spans="1:103">
      <c r="A228" s="18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</row>
    <row r="229" spans="1:103">
      <c r="A229" s="18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</row>
    <row r="230" spans="1:103">
      <c r="A230" s="18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</row>
    <row r="231" spans="1:103">
      <c r="A231" s="18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</row>
    <row r="232" spans="1:103">
      <c r="A232" s="18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</row>
    <row r="233" spans="1:103">
      <c r="A233" s="18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</row>
    <row r="234" spans="1:103">
      <c r="A234" s="18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</row>
    <row r="235" spans="1:103">
      <c r="A235" s="18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</row>
    <row r="236" spans="1:103">
      <c r="A236" s="18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</row>
    <row r="237" spans="1:103">
      <c r="A237" s="18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</row>
    <row r="238" spans="1:103">
      <c r="A238" s="18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</row>
    <row r="239" spans="1:103">
      <c r="A239" s="18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</row>
    <row r="240" spans="1:103">
      <c r="A240" s="18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</row>
    <row r="241" spans="1:103">
      <c r="A241" s="18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</row>
    <row r="242" spans="1:103">
      <c r="A242" s="18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</row>
    <row r="243" spans="1:103">
      <c r="A243" s="18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</row>
    <row r="244" spans="1:103">
      <c r="A244" s="18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</row>
    <row r="245" spans="1:103">
      <c r="A245" s="18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</row>
    <row r="246" spans="1:103">
      <c r="A246" s="18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</row>
    <row r="247" spans="1:103">
      <c r="A247" s="18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</row>
    <row r="248" spans="1:103">
      <c r="A248" s="18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</row>
    <row r="249" spans="1:103">
      <c r="A249" s="18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</row>
    <row r="250" spans="1:103">
      <c r="A250" s="18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</row>
    <row r="251" spans="1:103">
      <c r="A251" s="18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</row>
    <row r="252" spans="1:103">
      <c r="A252" s="18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</row>
    <row r="253" spans="1:103">
      <c r="A253" s="18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</row>
    <row r="254" spans="1:103">
      <c r="A254" s="18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</row>
    <row r="255" spans="1:103">
      <c r="A255" s="18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</row>
    <row r="256" spans="1:103">
      <c r="A256" s="18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</row>
    <row r="257" spans="1:103">
      <c r="A257" s="18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</row>
    <row r="258" spans="1:103">
      <c r="A258" s="18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</row>
    <row r="259" spans="1:103">
      <c r="A259" s="18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</row>
    <row r="260" spans="1:103">
      <c r="A260" s="18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</row>
    <row r="261" spans="1:103">
      <c r="A261" s="18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</row>
    <row r="262" spans="1:103">
      <c r="A262" s="18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</row>
    <row r="263" spans="1:103">
      <c r="A263" s="18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</row>
    <row r="264" spans="1:103">
      <c r="A264" s="18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  <c r="CW264" s="18"/>
      <c r="CX264" s="18"/>
      <c r="CY264" s="18"/>
    </row>
    <row r="265" spans="1:103">
      <c r="A265" s="18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  <c r="CW265" s="18"/>
      <c r="CX265" s="18"/>
      <c r="CY265" s="18"/>
    </row>
    <row r="266" spans="1:103">
      <c r="A266" s="18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</row>
    <row r="267" spans="1:103">
      <c r="A267" s="18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</row>
    <row r="268" spans="1:103">
      <c r="A268" s="18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8"/>
      <c r="CY268" s="18"/>
    </row>
    <row r="269" spans="1:103">
      <c r="A269" s="18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8"/>
      <c r="CY269" s="18"/>
    </row>
    <row r="270" spans="1:103">
      <c r="A270" s="18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</row>
    <row r="271" spans="1:103">
      <c r="A271" s="18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</row>
    <row r="272" spans="1:103">
      <c r="A272" s="18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  <c r="CW272" s="18"/>
      <c r="CX272" s="18"/>
      <c r="CY272" s="18"/>
    </row>
    <row r="273" spans="1:103">
      <c r="A273" s="18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  <c r="CW273" s="18"/>
      <c r="CX273" s="18"/>
      <c r="CY273" s="18"/>
    </row>
    <row r="274" spans="1:103">
      <c r="A274" s="18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</row>
    <row r="275" spans="1:103">
      <c r="A275" s="18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</row>
    <row r="276" spans="1:103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</row>
    <row r="277" spans="1:103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</row>
    <row r="278" spans="1:103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</row>
    <row r="279" spans="1:103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</row>
    <row r="280" spans="1:103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  <c r="CW280" s="18"/>
      <c r="CX280" s="18"/>
      <c r="CY280" s="18"/>
    </row>
    <row r="281" spans="1:103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</row>
    <row r="282" spans="1:103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</row>
    <row r="283" spans="1:103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</row>
    <row r="284" spans="1:103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</row>
    <row r="285" spans="1:103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</row>
    <row r="286" spans="1:103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</row>
    <row r="287" spans="1:103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</row>
    <row r="288" spans="1:103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</row>
    <row r="289" spans="1:103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</row>
    <row r="290" spans="1:103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  <c r="CW290" s="18"/>
      <c r="CX290" s="18"/>
      <c r="CY290" s="18"/>
    </row>
    <row r="291" spans="1:103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  <c r="CW291" s="18"/>
      <c r="CX291" s="18"/>
      <c r="CY291" s="18"/>
    </row>
    <row r="292" spans="1:103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8"/>
    </row>
    <row r="293" spans="1:103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8"/>
    </row>
    <row r="294" spans="1:103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  <c r="CW294" s="18"/>
      <c r="CX294" s="18"/>
      <c r="CY294" s="18"/>
    </row>
    <row r="295" spans="1:103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  <c r="CW295" s="18"/>
      <c r="CX295" s="18"/>
      <c r="CY295" s="18"/>
    </row>
    <row r="296" spans="1:103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</row>
    <row r="297" spans="1:103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</row>
    <row r="298" spans="1:103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</row>
    <row r="299" spans="1:103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</row>
    <row r="300" spans="1:103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</row>
    <row r="301" spans="1:103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</row>
    <row r="302" spans="1:103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</row>
    <row r="303" spans="1:103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</row>
    <row r="304" spans="1:103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</row>
    <row r="305" spans="1:103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</row>
    <row r="306" spans="1:103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</row>
    <row r="307" spans="1:103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</row>
    <row r="308" spans="1:103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</row>
    <row r="309" spans="1:103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</row>
    <row r="310" spans="1:103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</row>
    <row r="311" spans="1:103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</row>
    <row r="312" spans="1:103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</row>
    <row r="313" spans="1:103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</row>
    <row r="314" spans="1:103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</row>
    <row r="315" spans="1:103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</row>
    <row r="316" spans="1:103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</row>
    <row r="317" spans="1:103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</row>
    <row r="318" spans="1:103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</row>
    <row r="319" spans="1:103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</row>
    <row r="320" spans="1:103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</row>
    <row r="321" spans="1:103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</row>
    <row r="322" spans="1:103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</row>
    <row r="323" spans="1:103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</row>
    <row r="324" spans="1:103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</row>
    <row r="325" spans="1:103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</row>
    <row r="326" spans="1:103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</row>
    <row r="327" spans="1:103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</row>
    <row r="328" spans="1:103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</row>
    <row r="329" spans="1:103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</row>
    <row r="330" spans="1:103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</row>
    <row r="331" spans="1:103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</row>
    <row r="332" spans="1:103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</row>
    <row r="333" spans="1:103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</row>
    <row r="334" spans="1:103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</row>
    <row r="335" spans="1:103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</row>
    <row r="336" spans="1:103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</row>
    <row r="337" spans="1:103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</row>
    <row r="338" spans="1:103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</row>
    <row r="339" spans="1:103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</row>
    <row r="340" spans="1:103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</row>
    <row r="341" spans="1:103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</row>
    <row r="342" spans="1:103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</row>
    <row r="343" spans="1:103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</row>
    <row r="344" spans="1:103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</row>
    <row r="345" spans="1:103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</row>
    <row r="346" spans="1:103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</row>
    <row r="347" spans="1:103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</row>
    <row r="348" spans="1:103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</row>
    <row r="349" spans="1:103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</row>
    <row r="350" spans="1:103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</row>
    <row r="351" spans="1:103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</row>
    <row r="352" spans="1:103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</row>
    <row r="353" spans="1:103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</row>
    <row r="354" spans="1:103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</row>
    <row r="355" spans="1:103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</row>
    <row r="356" spans="1:103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</row>
    <row r="357" spans="1:103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</row>
    <row r="358" spans="1:103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</row>
    <row r="359" spans="1:103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</row>
    <row r="360" spans="1:103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</row>
    <row r="361" spans="1:103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</row>
    <row r="362" spans="1:103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</row>
    <row r="363" spans="1:103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</row>
    <row r="364" spans="1:103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</row>
    <row r="365" spans="1:103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</row>
    <row r="366" spans="1:103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</row>
    <row r="367" spans="1:103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</row>
    <row r="368" spans="1:103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</row>
    <row r="369" spans="1:103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</row>
    <row r="370" spans="1:103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</row>
    <row r="371" spans="1:103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</row>
    <row r="372" spans="1:103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</row>
    <row r="373" spans="1:103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</row>
    <row r="374" spans="1:103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</row>
    <row r="375" spans="1:103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</row>
    <row r="376" spans="1:103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</row>
    <row r="377" spans="1:103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</row>
    <row r="378" spans="1:103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</row>
    <row r="379" spans="1:103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</row>
    <row r="380" spans="1:103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</row>
    <row r="381" spans="1:103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</row>
    <row r="382" spans="1:103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</row>
    <row r="383" spans="1:103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</row>
    <row r="384" spans="1:103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</row>
    <row r="385" spans="1:103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</row>
    <row r="386" spans="1:103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</row>
    <row r="387" spans="1:103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</row>
    <row r="388" spans="1:103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</row>
    <row r="389" spans="1:103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</row>
    <row r="390" spans="1:103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</row>
    <row r="391" spans="1:103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</row>
    <row r="392" spans="1:103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</row>
    <row r="393" spans="1:103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</row>
    <row r="394" spans="1:103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</row>
    <row r="395" spans="1:103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</row>
    <row r="396" spans="1:103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</row>
    <row r="397" spans="1:103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</row>
    <row r="398" spans="1:103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</row>
    <row r="399" spans="1:103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</row>
    <row r="400" spans="1:103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</row>
    <row r="401" spans="1:103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</row>
    <row r="402" spans="1:103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</row>
    <row r="403" spans="1:103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</row>
    <row r="404" spans="1:103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</row>
    <row r="405" spans="1:103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</row>
    <row r="406" spans="1:103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</row>
    <row r="407" spans="1:103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</row>
    <row r="408" spans="1:103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</row>
    <row r="409" spans="1:103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</row>
    <row r="410" spans="1:103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</row>
    <row r="411" spans="1:103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</row>
    <row r="412" spans="1:103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</row>
    <row r="413" spans="1:103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</row>
    <row r="414" spans="1:103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</row>
    <row r="415" spans="1:103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</row>
    <row r="416" spans="1:103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</row>
    <row r="417" spans="1:103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</row>
    <row r="418" spans="1:103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</row>
    <row r="419" spans="1:103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</row>
    <row r="420" spans="1:103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</row>
    <row r="421" spans="1:103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</row>
    <row r="422" spans="1:103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</row>
    <row r="423" spans="1:103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</row>
    <row r="424" spans="1:103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</row>
    <row r="425" spans="1:103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</row>
    <row r="426" spans="1:103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</row>
    <row r="427" spans="1:103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</row>
    <row r="428" spans="1:103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</row>
    <row r="429" spans="1:103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</row>
    <row r="430" spans="1:103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</row>
    <row r="431" spans="1:103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</row>
    <row r="432" spans="1:103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</row>
    <row r="433" spans="1:103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</row>
    <row r="434" spans="1:103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</row>
    <row r="435" spans="1:103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</row>
    <row r="436" spans="1:103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</row>
    <row r="437" spans="1:103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</row>
    <row r="438" spans="1:103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</row>
    <row r="439" spans="1:103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</row>
    <row r="440" spans="1:103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</row>
    <row r="441" spans="1:103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</row>
    <row r="442" spans="1:103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</row>
    <row r="443" spans="1:103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</row>
    <row r="444" spans="1:103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</row>
    <row r="445" spans="1:103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</row>
    <row r="446" spans="1:103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</row>
    <row r="447" spans="1:103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</row>
    <row r="448" spans="1:103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</row>
    <row r="449" spans="1:103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</row>
    <row r="450" spans="1:103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</row>
    <row r="451" spans="1:103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</row>
    <row r="452" spans="1:103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</row>
    <row r="453" spans="1:103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</row>
    <row r="454" spans="1:103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</row>
    <row r="455" spans="1:103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</row>
    <row r="456" spans="1:103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</row>
    <row r="457" spans="1:103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</row>
    <row r="458" spans="1:103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</row>
    <row r="459" spans="1:103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</row>
    <row r="460" spans="1:103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</row>
    <row r="461" spans="1:103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</row>
    <row r="462" spans="1:103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</row>
    <row r="463" spans="1:103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</row>
    <row r="464" spans="1:103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</row>
    <row r="465" spans="1:103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</row>
    <row r="466" spans="1:103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</row>
    <row r="467" spans="1:103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</row>
    <row r="468" spans="1:103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</row>
    <row r="469" spans="1:103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</row>
    <row r="470" spans="1:103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</row>
    <row r="471" spans="1:103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</row>
    <row r="472" spans="1:103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</row>
    <row r="473" spans="1:103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</row>
    <row r="474" spans="1:103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</row>
    <row r="475" spans="1:103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</row>
    <row r="476" spans="1:103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</row>
    <row r="477" spans="1:103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</row>
    <row r="478" spans="1:103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</row>
    <row r="479" spans="1:103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</row>
    <row r="480" spans="1:103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</row>
    <row r="481" spans="1:103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</row>
    <row r="482" spans="1:103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</row>
    <row r="483" spans="1:103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</row>
    <row r="484" spans="1:103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</row>
    <row r="485" spans="1:103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</row>
    <row r="486" spans="1:103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</row>
    <row r="487" spans="1:103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</row>
    <row r="488" spans="1:103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</row>
    <row r="489" spans="1:103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</row>
    <row r="490" spans="1:103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</row>
    <row r="491" spans="1:103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</row>
    <row r="492" spans="1:103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</row>
    <row r="493" spans="1:103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</row>
    <row r="494" spans="1:103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</row>
    <row r="495" spans="1:103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</row>
    <row r="496" spans="1:103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</row>
    <row r="497" spans="1:103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</row>
    <row r="498" spans="1:103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</row>
    <row r="499" spans="1:103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</row>
    <row r="500" spans="1:103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</row>
    <row r="501" spans="1:103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</row>
    <row r="502" spans="1:103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</row>
    <row r="503" spans="1:103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</row>
    <row r="504" spans="1:103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</row>
    <row r="505" spans="1:103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</row>
    <row r="506" spans="1:103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</row>
    <row r="507" spans="1:103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</row>
    <row r="508" spans="1:103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</row>
    <row r="509" spans="1:103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</row>
    <row r="510" spans="1:103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</row>
    <row r="511" spans="1:103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</row>
    <row r="512" spans="1:103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</row>
    <row r="513" spans="1:103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</row>
    <row r="514" spans="1:103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</row>
    <row r="515" spans="1:103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</row>
    <row r="516" spans="1:103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</row>
    <row r="517" spans="1:103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</row>
    <row r="518" spans="1:103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</row>
    <row r="519" spans="1:103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</row>
    <row r="520" spans="1:103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</row>
    <row r="521" spans="1:103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</row>
    <row r="522" spans="1:103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</row>
    <row r="523" spans="1:103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</row>
    <row r="524" spans="1:103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</row>
    <row r="525" spans="1:103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</row>
    <row r="526" spans="1:103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</row>
    <row r="527" spans="1:103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</row>
    <row r="528" spans="1:103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</row>
    <row r="529" spans="1:103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</row>
    <row r="530" spans="1:103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</row>
    <row r="531" spans="1:103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</row>
    <row r="532" spans="1:103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</row>
    <row r="533" spans="1:103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</row>
    <row r="534" spans="1:103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</row>
    <row r="535" spans="1:103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</row>
    <row r="536" spans="1:103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</row>
    <row r="537" spans="1:103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</row>
    <row r="538" spans="1:103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</row>
    <row r="539" spans="1:103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</row>
    <row r="540" spans="1:103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</row>
    <row r="541" spans="1:103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</row>
    <row r="542" spans="1:103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</row>
    <row r="543" spans="1:103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</row>
    <row r="544" spans="1:103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</row>
    <row r="545" spans="1:103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</row>
    <row r="546" spans="1:103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</row>
    <row r="547" spans="1:103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</row>
    <row r="548" spans="1:103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</row>
    <row r="549" spans="1:103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</row>
    <row r="550" spans="1:103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</row>
    <row r="551" spans="1:103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</row>
    <row r="552" spans="1:103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</row>
    <row r="553" spans="1:103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</row>
    <row r="554" spans="1:103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</row>
    <row r="555" spans="1:103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</row>
    <row r="556" spans="1:103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</row>
    <row r="557" spans="1:103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</row>
    <row r="558" spans="1:103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</row>
    <row r="559" spans="1:103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</row>
    <row r="560" spans="1:103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</row>
    <row r="561" spans="1:103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</row>
    <row r="562" spans="1:103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</row>
    <row r="563" spans="1:103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</row>
    <row r="564" spans="1:103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</row>
    <row r="565" spans="1:103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</row>
    <row r="566" spans="1:103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</row>
    <row r="567" spans="1:103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</row>
    <row r="568" spans="1:103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</row>
    <row r="569" spans="1:103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</row>
    <row r="570" spans="1:103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</row>
    <row r="571" spans="1:103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</row>
    <row r="572" spans="1:103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</row>
    <row r="573" spans="1:103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</row>
    <row r="574" spans="1:103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</row>
    <row r="575" spans="1:103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</row>
    <row r="576" spans="1:103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</row>
    <row r="577" spans="1:103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</row>
    <row r="578" spans="1:103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</row>
    <row r="579" spans="1:103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</row>
    <row r="580" spans="1:103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</row>
    <row r="581" spans="1:103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</row>
    <row r="582" spans="1:103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</row>
    <row r="583" spans="1:103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</row>
    <row r="584" spans="1:103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</row>
    <row r="585" spans="1:103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</row>
    <row r="586" spans="1:103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</row>
    <row r="587" spans="1:103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</row>
    <row r="588" spans="1:103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</row>
    <row r="589" spans="1:103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</row>
    <row r="590" spans="1:103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</row>
    <row r="591" spans="1:103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</row>
    <row r="592" spans="1:103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</row>
    <row r="593" spans="1:103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</row>
    <row r="594" spans="1:103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</row>
    <row r="595" spans="1:103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</row>
    <row r="596" spans="1:103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</row>
    <row r="597" spans="1:103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</row>
    <row r="598" spans="1:103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</row>
    <row r="599" spans="1:103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</row>
    <row r="600" spans="1:103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</row>
    <row r="601" spans="1:103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</row>
    <row r="602" spans="1:103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</row>
    <row r="603" spans="1:103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</row>
    <row r="604" spans="1:103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</row>
    <row r="605" spans="1:103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</row>
    <row r="606" spans="1:103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</row>
    <row r="607" spans="1:103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</row>
    <row r="608" spans="1:103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</row>
    <row r="609" spans="1:103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</row>
    <row r="610" spans="1:103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</row>
    <row r="611" spans="1:103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</row>
    <row r="612" spans="1:103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</row>
    <row r="613" spans="1:103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</row>
    <row r="614" spans="1:103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</row>
    <row r="615" spans="1:103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</row>
    <row r="616" spans="1:103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</row>
    <row r="617" spans="1:103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</row>
    <row r="618" spans="1:103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</row>
    <row r="619" spans="1:103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</row>
    <row r="620" spans="1:103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</row>
    <row r="621" spans="1:103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</row>
    <row r="622" spans="1:103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</row>
    <row r="623" spans="1:103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</row>
    <row r="624" spans="1:103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</row>
    <row r="625" spans="1:103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</row>
    <row r="626" spans="1:103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</row>
    <row r="627" spans="1:103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</row>
    <row r="628" spans="1:103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</row>
    <row r="629" spans="1:103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</row>
    <row r="630" spans="1:103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</row>
    <row r="631" spans="1:103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</row>
    <row r="632" spans="1:103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</row>
    <row r="633" spans="1:103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</row>
    <row r="634" spans="1:103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</row>
    <row r="635" spans="1:103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</row>
    <row r="636" spans="1:103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</row>
    <row r="637" spans="1:103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</row>
    <row r="638" spans="1:103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</row>
    <row r="639" spans="1:103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</row>
    <row r="640" spans="1:103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</row>
    <row r="641" spans="1:103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</row>
    <row r="642" spans="1:103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</row>
    <row r="643" spans="1:103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</row>
    <row r="644" spans="1:103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</row>
    <row r="645" spans="1:103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</row>
    <row r="646" spans="1:103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</row>
    <row r="647" spans="1:103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</row>
    <row r="648" spans="1:103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</row>
    <row r="649" spans="1:103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</row>
    <row r="650" spans="1:103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</row>
    <row r="651" spans="1:103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</row>
    <row r="652" spans="1:103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</row>
    <row r="653" spans="1:103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</row>
    <row r="654" spans="1:103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</row>
    <row r="655" spans="1:103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</row>
    <row r="656" spans="1:103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</row>
    <row r="657" spans="1:103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</row>
    <row r="658" spans="1:103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</row>
    <row r="659" spans="1:103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</row>
    <row r="660" spans="1:103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</row>
    <row r="661" spans="1:103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</row>
    <row r="662" spans="1:103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</row>
    <row r="663" spans="1:103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</row>
    <row r="664" spans="1:103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</row>
    <row r="665" spans="1:103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</row>
    <row r="666" spans="1:103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</row>
    <row r="667" spans="1:103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</row>
    <row r="668" spans="1:103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</row>
    <row r="669" spans="1:103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</row>
    <row r="670" spans="1:103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</row>
    <row r="671" spans="1:103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</row>
    <row r="672" spans="1:103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</row>
    <row r="673" spans="1:103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</row>
    <row r="674" spans="1:103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</row>
    <row r="675" spans="1:103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</row>
    <row r="676" spans="1:103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</row>
  </sheetData>
  <mergeCells count="4">
    <mergeCell ref="D18:Q18"/>
    <mergeCell ref="D36:Q36"/>
    <mergeCell ref="D54:Q54"/>
    <mergeCell ref="D72:Q72"/>
  </mergeCells>
  <hyperlinks>
    <hyperlink ref="D18" r:id="rId1" xr:uid="{0879FF26-E712-4829-995B-AAA69CF29FB7}"/>
    <hyperlink ref="D36" r:id="rId2" xr:uid="{502F365E-DE3D-4737-B78C-B0E0707E43BC}"/>
    <hyperlink ref="D54" r:id="rId3" xr:uid="{8EA06380-98AB-4735-BE15-B1DF6F16CF44}"/>
    <hyperlink ref="D72" r:id="rId4" xr:uid="{CF7BB745-9023-44AB-93EA-895ABE27FA13}"/>
  </hyperlinks>
  <pageMargins left="0.7" right="0.7" top="0.75" bottom="0.75" header="0.3" footer="0.3"/>
  <pageSetup paperSize="9"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810E9-1686-49EC-8046-50095B8E0888}">
  <dimension ref="A1:FP997"/>
  <sheetViews>
    <sheetView tabSelected="1" topLeftCell="A42" zoomScale="40" zoomScaleNormal="40" workbookViewId="0">
      <selection activeCell="C32" sqref="C32"/>
    </sheetView>
  </sheetViews>
  <sheetFormatPr defaultRowHeight="14.5"/>
  <cols>
    <col min="2" max="2" width="25.81640625" customWidth="1"/>
    <col min="3" max="3" width="8.81640625" customWidth="1"/>
    <col min="35" max="35" width="13.81640625" customWidth="1"/>
  </cols>
  <sheetData>
    <row r="1" spans="1:172">
      <c r="A1" s="1"/>
      <c r="B1" s="1"/>
      <c r="C1" s="44"/>
      <c r="D1" s="44"/>
      <c r="E1" s="44"/>
      <c r="F1" s="44"/>
      <c r="G1" s="44"/>
      <c r="H1" s="21"/>
      <c r="I1" s="2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</row>
    <row r="2" spans="1:172">
      <c r="A2" s="1"/>
      <c r="B2" s="4"/>
      <c r="C2" s="4"/>
      <c r="D2" s="4"/>
      <c r="E2" s="4"/>
      <c r="F2" s="4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</row>
    <row r="3" spans="1:172">
      <c r="B3" s="7" t="s">
        <v>77</v>
      </c>
      <c r="C3" s="7">
        <v>2019</v>
      </c>
      <c r="D3" s="15">
        <v>2020</v>
      </c>
      <c r="E3" s="7">
        <v>2021</v>
      </c>
      <c r="F3" s="7">
        <v>2022</v>
      </c>
      <c r="G3" s="7">
        <v>2023</v>
      </c>
      <c r="H3" s="7">
        <v>2024</v>
      </c>
      <c r="I3" s="7">
        <v>2025</v>
      </c>
      <c r="J3" s="7">
        <v>2026</v>
      </c>
      <c r="K3" s="7">
        <v>2027</v>
      </c>
      <c r="L3" s="7">
        <v>2028</v>
      </c>
      <c r="M3" s="7">
        <v>2029</v>
      </c>
      <c r="N3" s="7">
        <v>2030</v>
      </c>
      <c r="O3" s="7">
        <v>2031</v>
      </c>
      <c r="P3" s="7">
        <v>2032</v>
      </c>
      <c r="Q3" s="7">
        <v>2033</v>
      </c>
      <c r="R3" s="7">
        <v>2034</v>
      </c>
      <c r="S3" s="7">
        <v>2035</v>
      </c>
      <c r="T3" s="7">
        <v>2036</v>
      </c>
      <c r="U3" s="7">
        <v>2037</v>
      </c>
      <c r="V3" s="7">
        <v>2038</v>
      </c>
      <c r="W3" s="7">
        <v>2039</v>
      </c>
      <c r="X3" s="7">
        <v>2040</v>
      </c>
      <c r="Y3" s="7">
        <v>2041</v>
      </c>
      <c r="Z3" s="7">
        <v>2042</v>
      </c>
      <c r="AA3" s="7">
        <v>2043</v>
      </c>
      <c r="AB3" s="7">
        <v>2044</v>
      </c>
      <c r="AC3" s="7">
        <v>2045</v>
      </c>
      <c r="AD3" s="7">
        <v>2046</v>
      </c>
      <c r="AE3" s="7">
        <v>2047</v>
      </c>
      <c r="AF3" s="7">
        <v>2048</v>
      </c>
      <c r="AG3" s="7">
        <v>2049</v>
      </c>
      <c r="AH3" s="7">
        <v>2050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</row>
    <row r="4" spans="1:172">
      <c r="B4" s="7" t="s">
        <v>78</v>
      </c>
      <c r="C4" s="8">
        <v>4174</v>
      </c>
      <c r="D4" s="17">
        <v>4617</v>
      </c>
      <c r="E4" s="8">
        <v>4654</v>
      </c>
      <c r="F4" s="8">
        <v>4691</v>
      </c>
      <c r="G4" s="8">
        <v>4726</v>
      </c>
      <c r="H4" s="8">
        <v>4761</v>
      </c>
      <c r="I4" s="8">
        <v>4794</v>
      </c>
      <c r="J4" s="8">
        <v>4827</v>
      </c>
      <c r="K4" s="8">
        <v>4859</v>
      </c>
      <c r="L4" s="8">
        <v>4890</v>
      </c>
      <c r="M4" s="8">
        <v>4921</v>
      </c>
      <c r="N4" s="8">
        <v>4950</v>
      </c>
      <c r="O4" s="8">
        <v>4979</v>
      </c>
      <c r="P4" s="8">
        <v>5008</v>
      </c>
      <c r="Q4" s="8">
        <v>5035</v>
      </c>
      <c r="R4" s="8">
        <v>5062</v>
      </c>
      <c r="S4" s="8">
        <v>5088</v>
      </c>
      <c r="T4" s="8">
        <v>5113</v>
      </c>
      <c r="U4" s="8">
        <v>5138</v>
      </c>
      <c r="V4" s="8">
        <v>5162</v>
      </c>
      <c r="W4" s="8">
        <v>5186</v>
      </c>
      <c r="X4" s="8">
        <v>5209</v>
      </c>
      <c r="Y4" s="8">
        <v>5231</v>
      </c>
      <c r="Z4" s="8">
        <v>5253</v>
      </c>
      <c r="AA4" s="8">
        <v>5274</v>
      </c>
      <c r="AB4" s="8">
        <v>5295</v>
      </c>
      <c r="AC4" s="8">
        <v>5315</v>
      </c>
      <c r="AD4" s="8">
        <v>5335</v>
      </c>
      <c r="AE4" s="8">
        <v>5354</v>
      </c>
      <c r="AF4" s="8">
        <v>5373</v>
      </c>
      <c r="AG4" s="8">
        <v>5392</v>
      </c>
      <c r="AH4" s="8">
        <v>5410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</row>
    <row r="5" spans="1:172" ht="15" thickBo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</row>
    <row r="6" spans="1:172" ht="15" thickBot="1">
      <c r="A6" s="1"/>
      <c r="B6" s="262" t="s">
        <v>86</v>
      </c>
      <c r="C6" s="263"/>
      <c r="D6" s="263"/>
      <c r="E6" s="264"/>
      <c r="F6" s="1"/>
      <c r="G6" s="266" t="s">
        <v>87</v>
      </c>
      <c r="H6" s="266"/>
      <c r="I6" s="1">
        <v>7.0000000000000007E-2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</row>
    <row r="7" spans="1:172">
      <c r="A7" s="1"/>
      <c r="B7" s="19" t="s">
        <v>77</v>
      </c>
      <c r="C7" s="19">
        <v>2019</v>
      </c>
      <c r="D7" s="19">
        <v>2020</v>
      </c>
      <c r="E7" s="19">
        <v>2021</v>
      </c>
      <c r="F7" s="15">
        <v>2022</v>
      </c>
      <c r="G7" s="15">
        <v>2023</v>
      </c>
      <c r="H7" s="15">
        <v>2024</v>
      </c>
      <c r="I7" s="15">
        <v>2025</v>
      </c>
      <c r="J7" s="15">
        <v>2026</v>
      </c>
      <c r="K7" s="15">
        <v>2027</v>
      </c>
      <c r="L7" s="15">
        <v>2028</v>
      </c>
      <c r="M7" s="15">
        <v>2029</v>
      </c>
      <c r="N7" s="15">
        <v>2030</v>
      </c>
      <c r="O7" s="15">
        <v>2031</v>
      </c>
      <c r="P7" s="15">
        <v>2032</v>
      </c>
      <c r="Q7" s="15">
        <v>2033</v>
      </c>
      <c r="R7" s="15">
        <v>2034</v>
      </c>
      <c r="S7" s="15">
        <v>2035</v>
      </c>
      <c r="T7" s="15">
        <v>2036</v>
      </c>
      <c r="U7" s="15">
        <v>2037</v>
      </c>
      <c r="V7" s="15">
        <v>2038</v>
      </c>
      <c r="W7" s="15">
        <v>2039</v>
      </c>
      <c r="X7" s="15">
        <v>2040</v>
      </c>
      <c r="Y7" s="15">
        <v>2041</v>
      </c>
      <c r="Z7" s="15">
        <v>2042</v>
      </c>
      <c r="AA7" s="15">
        <v>2043</v>
      </c>
      <c r="AB7" s="15">
        <v>2044</v>
      </c>
      <c r="AC7" s="15">
        <v>2045</v>
      </c>
      <c r="AD7" s="15">
        <v>2046</v>
      </c>
      <c r="AE7" s="15">
        <v>2047</v>
      </c>
      <c r="AF7" s="15">
        <v>2048</v>
      </c>
      <c r="AG7" s="15">
        <v>2049</v>
      </c>
      <c r="AH7" s="15">
        <v>2050</v>
      </c>
      <c r="AI7" s="1"/>
      <c r="AJ7" s="1"/>
      <c r="AK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</row>
    <row r="8" spans="1:172">
      <c r="A8" s="1"/>
      <c r="B8" s="15" t="s">
        <v>81</v>
      </c>
      <c r="C8" s="43">
        <f>(C32*$I$6*((1+$I$6)^Technology!$D$8)*(1/(((1+$I$6)^Technology!$D$8)-1))*(1/8760*(1/(Trend!C40/100))))+Trend!C58+Trend!C22</f>
        <v>8.1867962317210052E-2</v>
      </c>
      <c r="D8" s="43">
        <f>(D32*$I$6*((1+$I$6)^Technology!$D$8)*(1/(((1+$I$6)^Technology!$D$8)-1))*(1/8760*(1/(Trend!D40/100))))+Trend!D58+Trend!D22</f>
        <v>8.1597187115131545E-2</v>
      </c>
      <c r="E8" s="43">
        <f>(E32*$I$6*((1+$I$6)^Technology!$D$8)*(1/(((1+$I$6)^Technology!$D$8)-1))*(1/8760*(1/(Trend!E40/100))))+Trend!E58+Trend!E22</f>
        <v>8.132641191305312E-2</v>
      </c>
      <c r="F8" s="43">
        <f>(F32*$I$6*((1+$I$6)^Technology!$D$8)*(1/(((1+$I$6)^Technology!$D$8)-1))*(1/8760*(1/(Trend!F40/100))))+Trend!F58+Trend!F22</f>
        <v>8.1055636710974655E-2</v>
      </c>
      <c r="G8" s="43">
        <f>(G32*$I$6*((1+$I$6)^Technology!$D$8)*(1/(((1+$I$6)^Technology!$D$8)-1))*(1/8760*(1/(Trend!G40/100))))+Trend!G58+Trend!G22</f>
        <v>8.0784861508896189E-2</v>
      </c>
      <c r="H8" s="43">
        <f>(H32*$I$6*((1+$I$6)^Technology!$D$8)*(1/(((1+$I$6)^Technology!$D$8)-1))*(1/8760*(1/(Trend!H40/100))))+Trend!H58+Trend!H22</f>
        <v>8.0514086306817723E-2</v>
      </c>
      <c r="I8" s="43">
        <f>(I32*$I$6*((1+$I$6)^Technology!$D$8)*(1/(((1+$I$6)^Technology!$D$8)-1))*(1/8760*(1/(Trend!I40/100))))+Trend!I58+Trend!I22</f>
        <v>8.0243311104739257E-2</v>
      </c>
      <c r="J8" s="43">
        <f>(J32*$I$6*((1+$I$6)^Technology!$D$8)*(1/(((1+$I$6)^Technology!$D$8)-1))*(1/8760*(1/(Trend!J40/100))))+Trend!J58+Trend!J22</f>
        <v>7.9972535902660763E-2</v>
      </c>
      <c r="K8" s="43">
        <f>(K32*$I$6*((1+$I$6)^Technology!$D$8)*(1/(((1+$I$6)^Technology!$D$8)-1))*(1/8760*(1/(Trend!K40/100))))+Trend!K58+Trend!K22</f>
        <v>7.9701760700582325E-2</v>
      </c>
      <c r="L8" s="43">
        <f>(L32*$I$6*((1+$I$6)^Technology!$D$8)*(1/(((1+$I$6)^Technology!$D$8)-1))*(1/8760*(1/(Trend!L40/100))))+Trend!L58+Trend!L22</f>
        <v>7.9430985498503831E-2</v>
      </c>
      <c r="M8" s="43">
        <f>(M32*$I$6*((1+$I$6)^Technology!$D$8)*(1/(((1+$I$6)^Technology!$D$8)-1))*(1/8760*(1/(Trend!M40/100))))+Trend!M58+Trend!M22</f>
        <v>7.9160210296425365E-2</v>
      </c>
      <c r="N8" s="43">
        <f>(N32*$I$6*((1+$I$6)^Technology!$D$8)*(1/(((1+$I$6)^Technology!$D$8)-1))*(1/8760*(1/(Trend!N40/100))))+Trend!N58+Trend!N22</f>
        <v>7.8889435094346899E-2</v>
      </c>
      <c r="O8" s="43">
        <f>(O32*$I$6*((1+$I$6)^Technology!$D$8)*(1/(((1+$I$6)^Technology!$D$8)-1))*(1/8760*(1/(Trend!O40/100))))+Trend!O58+Trend!O22</f>
        <v>7.8836558395348366E-2</v>
      </c>
      <c r="P8" s="43">
        <f>(P32*$I$6*((1+$I$6)^Technology!$D$8)*(1/(((1+$I$6)^Technology!$D$8)-1))*(1/8760*(1/(Trend!P40/100))))+Trend!P58+Trend!P22</f>
        <v>7.8783681696349805E-2</v>
      </c>
      <c r="Q8" s="43">
        <f>(Q32*$I$6*((1+$I$6)^Technology!$D$8)*(1/(((1+$I$6)^Technology!$D$8)-1))*(1/8760*(1/(Trend!Q40/100))))+Trend!Q58+Trend!Q22</f>
        <v>7.8730804997351245E-2</v>
      </c>
      <c r="R8" s="43">
        <f>(R32*$I$6*((1+$I$6)^Technology!$D$8)*(1/(((1+$I$6)^Technology!$D$8)-1))*(1/8760*(1/(Trend!R40/100))))+Trend!R58+Trend!R22</f>
        <v>7.8677928298352684E-2</v>
      </c>
      <c r="S8" s="43">
        <f>(S32*$I$6*((1+$I$6)^Technology!$D$8)*(1/(((1+$I$6)^Technology!$D$8)-1))*(1/8760*(1/(Trend!S40/100))))+Trend!S58+Trend!S22</f>
        <v>7.8625051599354123E-2</v>
      </c>
      <c r="T8" s="43">
        <f>(T32*$I$6*((1+$I$6)^Technology!$D$8)*(1/(((1+$I$6)^Technology!$D$8)-1))*(1/8760*(1/(Trend!T40/100))))+Trend!T58+Trend!T22</f>
        <v>7.857217490035559E-2</v>
      </c>
      <c r="U8" s="43">
        <f>(U32*$I$6*((1+$I$6)^Technology!$D$8)*(1/(((1+$I$6)^Technology!$D$8)-1))*(1/8760*(1/(Trend!U40/100))))+Trend!U58+Trend!U22</f>
        <v>7.851929820135703E-2</v>
      </c>
      <c r="V8" s="43">
        <f>(V32*$I$6*((1+$I$6)^Technology!$D$8)*(1/(((1+$I$6)^Technology!$D$8)-1))*(1/8760*(1/(Trend!V40/100))))+Trend!V58+Trend!V22</f>
        <v>7.8466421502358469E-2</v>
      </c>
      <c r="W8" s="43">
        <f>(W32*$I$6*((1+$I$6)^Technology!$D$8)*(1/(((1+$I$6)^Technology!$D$8)-1))*(1/8760*(1/(Trend!W40/100))))+Trend!W58+Trend!W22</f>
        <v>7.8413544803359908E-2</v>
      </c>
      <c r="X8" s="43">
        <f>(X32*$I$6*((1+$I$6)^Technology!$D$8)*(1/(((1+$I$6)^Technology!$D$8)-1))*(1/8760*(1/(Trend!X40/100))))+Trend!X58+Trend!X22</f>
        <v>7.8360668104361375E-2</v>
      </c>
      <c r="Y8" s="43">
        <f>(Y32*$I$6*((1+$I$6)^Technology!$D$8)*(1/(((1+$I$6)^Technology!$D$8)-1))*(1/8760*(1/(Trend!Y40/100))))+Trend!Y58+Trend!Y22</f>
        <v>7.8307791405362787E-2</v>
      </c>
      <c r="Z8" s="43">
        <f>(Z32*$I$6*((1+$I$6)^Technology!$D$8)*(1/(((1+$I$6)^Technology!$D$8)-1))*(1/8760*(1/(Trend!Z40/100))))+Trend!Z58+Trend!Z22</f>
        <v>7.8254914706364254E-2</v>
      </c>
      <c r="AA8" s="43">
        <f>(AA32*$I$6*((1+$I$6)^Technology!$D$8)*(1/(((1+$I$6)^Technology!$D$8)-1))*(1/8760*(1/(Trend!AA40/100))))+Trend!AA58+Trend!AA22</f>
        <v>7.8202038007365693E-2</v>
      </c>
      <c r="AB8" s="43">
        <f>(AB32*$I$6*((1+$I$6)^Technology!$D$8)*(1/(((1+$I$6)^Technology!$D$8)-1))*(1/8760*(1/(Trend!AB40/100))))+Trend!AB58+Trend!AB22</f>
        <v>7.8149161308367132E-2</v>
      </c>
      <c r="AC8" s="43">
        <f>(AC32*$I$6*((1+$I$6)^Technology!$D$8)*(1/(((1+$I$6)^Technology!$D$8)-1))*(1/8760*(1/(Trend!AC40/100))))+Trend!AC58+Trend!AC22</f>
        <v>7.8096284609368599E-2</v>
      </c>
      <c r="AD8" s="43">
        <f>(AD32*$I$6*((1+$I$6)^Technology!$D$8)*(1/(((1+$I$6)^Technology!$D$8)-1))*(1/8760*(1/(Trend!AD40/100))))+Trend!AD58+Trend!AD22</f>
        <v>7.8043407910370038E-2</v>
      </c>
      <c r="AE8" s="43">
        <f>(AE32*$I$6*((1+$I$6)^Technology!$D$8)*(1/(((1+$I$6)^Technology!$D$8)-1))*(1/8760*(1/(Trend!AE40/100))))+Trend!AE58+Trend!AE22</f>
        <v>7.7990531211371478E-2</v>
      </c>
      <c r="AF8" s="43">
        <f>(AF32*$I$6*((1+$I$6)^Technology!$D$8)*(1/(((1+$I$6)^Technology!$D$8)-1))*(1/8760*(1/(Trend!AF40/100))))+Trend!AF58+Trend!AF22</f>
        <v>7.7937654512372917E-2</v>
      </c>
      <c r="AG8" s="43">
        <f>(AG32*$I$6*((1+$I$6)^Technology!$D$8)*(1/(((1+$I$6)^Technology!$D$8)-1))*(1/8760*(1/(Trend!AG40/100))))+Trend!AG58+Trend!AG22</f>
        <v>7.7884777813374384E-2</v>
      </c>
      <c r="AH8" s="43">
        <f>(AH32*$I$6*((1+$I$6)^Technology!$D$8)*(1/(((1+$I$6)^Technology!$D$8)-1))*(1/8760*(1/(Trend!AH40/100))))+Trend!AH58+Trend!AH22</f>
        <v>7.7831901114375796E-2</v>
      </c>
      <c r="AI8" s="40" t="s">
        <v>81</v>
      </c>
      <c r="AJ8" s="1"/>
      <c r="AK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</row>
    <row r="9" spans="1:172">
      <c r="A9" s="1"/>
      <c r="B9" s="15" t="s">
        <v>36</v>
      </c>
      <c r="C9" s="43">
        <f>(C33*$I$6*((1+$I$6)^Technology!$E$8)*(1/(((1+$I$6)^Technology!$E$8)-1))*(1/8760*(1/(Trend!C41/100))))+Trend!C59+Trend!C23-(Technology!$E$10*(Technology!$D$7-Technology!$E$7))</f>
        <v>7.85917235271789E-2</v>
      </c>
      <c r="D9" s="43">
        <f>(D33*$I$6*((1+$I$6)^Technology!$E$8)*(1/(((1+$I$6)^Technology!$E$8)-1))*(1/8760*(1/(Trend!D41/100))))+Trend!D59+Trend!D23-(Technology!$E$10*(Technology!$D$7-Technology!$E$7))</f>
        <v>7.7865579891980272E-2</v>
      </c>
      <c r="E9" s="43">
        <f>(E33*$I$6*((1+$I$6)^Technology!$E$8)*(1/(((1+$I$6)^Technology!$E$8)-1))*(1/8760*(1/(Trend!E41/100))))+Trend!E59+Trend!E23-(Technology!$E$10*(Technology!$D$7-Technology!$E$7))</f>
        <v>7.7139436256781671E-2</v>
      </c>
      <c r="F9" s="43">
        <f>(F33*$I$6*((1+$I$6)^Technology!$E$8)*(1/(((1+$I$6)^Technology!$E$8)-1))*(1/8760*(1/(Trend!F41/100))))+Trend!F59+Trend!F23-(Technology!$E$10*(Technology!$D$7-Technology!$E$7))</f>
        <v>7.641329262158307E-2</v>
      </c>
      <c r="G9" s="43">
        <f>(G33*$I$6*((1+$I$6)^Technology!$E$8)*(1/(((1+$I$6)^Technology!$E$8)-1))*(1/8760*(1/(Trend!G41/100))))+Trend!G59+Trend!G23-(Technology!$E$10*(Technology!$D$7-Technology!$E$7))</f>
        <v>7.568714898638447E-2</v>
      </c>
      <c r="H9" s="43">
        <f>(H33*$I$6*((1+$I$6)^Technology!$E$8)*(1/(((1+$I$6)^Technology!$E$8)-1))*(1/8760*(1/(Trend!H41/100))))+Trend!H59+Trend!H23-(Technology!$E$10*(Technology!$D$7-Technology!$E$7))</f>
        <v>7.4961005351185897E-2</v>
      </c>
      <c r="I9" s="43">
        <f>(I33*$I$6*((1+$I$6)^Technology!$E$8)*(1/(((1+$I$6)^Technology!$E$8)-1))*(1/8760*(1/(Trend!I41/100))))+Trend!I59+Trend!I23-(Technology!$E$10*(Technology!$D$7-Technology!$E$7))</f>
        <v>7.4234861715987296E-2</v>
      </c>
      <c r="J9" s="43">
        <f>(J33*$I$6*((1+$I$6)^Technology!$E$8)*(1/(((1+$I$6)^Technology!$E$8)-1))*(1/8760*(1/(Trend!J41/100))))+Trend!J59+Trend!J23-(Technology!$E$10*(Technology!$D$7-Technology!$E$7))</f>
        <v>7.3508718080788696E-2</v>
      </c>
      <c r="K9" s="43">
        <f>(K33*$I$6*((1+$I$6)^Technology!$E$8)*(1/(((1+$I$6)^Technology!$E$8)-1))*(1/8760*(1/(Trend!K41/100))))+Trend!K59+Trend!K23-(Technology!$E$10*(Technology!$D$7-Technology!$E$7))</f>
        <v>7.2782574445590095E-2</v>
      </c>
      <c r="L9" s="43">
        <f>(L33*$I$6*((1+$I$6)^Technology!$E$8)*(1/(((1+$I$6)^Technology!$E$8)-1))*(1/8760*(1/(Trend!L41/100))))+Trend!L59+Trend!L23-(Technology!$E$10*(Technology!$D$7-Technology!$E$7))</f>
        <v>7.2056430810391495E-2</v>
      </c>
      <c r="M9" s="43">
        <f>(M33*$I$6*((1+$I$6)^Technology!$E$8)*(1/(((1+$I$6)^Technology!$E$8)-1))*(1/8760*(1/(Trend!M41/100))))+Trend!M59+Trend!M23-(Technology!$E$10*(Technology!$D$7-Technology!$E$7))</f>
        <v>7.1330287175192894E-2</v>
      </c>
      <c r="N9" s="43">
        <f>(N33*$I$6*((1+$I$6)^Technology!$E$8)*(1/(((1+$I$6)^Technology!$E$8)-1))*(1/8760*(1/(Trend!N41/100))))+Trend!N59+Trend!N23-(Technology!$E$10*(Technology!$D$7-Technology!$E$7))</f>
        <v>7.0604143539994321E-2</v>
      </c>
      <c r="O9" s="43">
        <f>(O33*$I$6*((1+$I$6)^Technology!$E$8)*(1/(((1+$I$6)^Technology!$E$8)-1))*(1/8760*(1/(Trend!O41/100))))+Trend!O59+Trend!O23-(Technology!$E$10*(Technology!$D$7-Technology!$E$7))</f>
        <v>7.0730512693726363E-2</v>
      </c>
      <c r="P9" s="43">
        <f>(P33*$I$6*((1+$I$6)^Technology!$E$8)*(1/(((1+$I$6)^Technology!$E$8)-1))*(1/8760*(1/(Trend!P41/100))))+Trend!P59+Trend!P23-(Technology!$E$10*(Technology!$D$7-Technology!$E$7))</f>
        <v>7.0856881847458461E-2</v>
      </c>
      <c r="Q9" s="43">
        <f>(Q33*$I$6*((1+$I$6)^Technology!$E$8)*(1/(((1+$I$6)^Technology!$E$8)-1))*(1/8760*(1/(Trend!Q41/100))))+Trend!Q59+Trend!Q23-(Technology!$E$10*(Technology!$D$7-Technology!$E$7))</f>
        <v>7.0983251001190559E-2</v>
      </c>
      <c r="R9" s="43">
        <f>(R33*$I$6*((1+$I$6)^Technology!$E$8)*(1/(((1+$I$6)^Technology!$E$8)-1))*(1/8760*(1/(Trend!R41/100))))+Trend!R59+Trend!R23-(Technology!$E$10*(Technology!$D$7-Technology!$E$7))</f>
        <v>7.1109620154922629E-2</v>
      </c>
      <c r="S9" s="43">
        <f>(S33*$I$6*((1+$I$6)^Technology!$E$8)*(1/(((1+$I$6)^Technology!$E$8)-1))*(1/8760*(1/(Trend!S41/100))))+Trend!S59+Trend!S23-(Technology!$E$10*(Technology!$D$7-Technology!$E$7))</f>
        <v>7.1235989308654726E-2</v>
      </c>
      <c r="T9" s="43">
        <f>(T33*$I$6*((1+$I$6)^Technology!$E$8)*(1/(((1+$I$6)^Technology!$E$8)-1))*(1/8760*(1/(Trend!T41/100))))+Trend!T59+Trend!T23-(Technology!$E$10*(Technology!$D$7-Technology!$E$7))</f>
        <v>7.1362358462386768E-2</v>
      </c>
      <c r="U9" s="43">
        <f>(U33*$I$6*((1+$I$6)^Technology!$E$8)*(1/(((1+$I$6)^Technology!$E$8)-1))*(1/8760*(1/(Trend!U41/100))))+Trend!U59+Trend!U23-(Technology!$E$10*(Technology!$D$7-Technology!$E$7))</f>
        <v>7.1488727616118866E-2</v>
      </c>
      <c r="V9" s="43">
        <f>(V33*$I$6*((1+$I$6)^Technology!$E$8)*(1/(((1+$I$6)^Technology!$E$8)-1))*(1/8760*(1/(Trend!V41/100))))+Trend!V59+Trend!V23-(Technology!$E$10*(Technology!$D$7-Technology!$E$7))</f>
        <v>7.1615096769850936E-2</v>
      </c>
      <c r="W9" s="43">
        <f>(W33*$I$6*((1+$I$6)^Technology!$E$8)*(1/(((1+$I$6)^Technology!$E$8)-1))*(1/8760*(1/(Trend!W41/100))))+Trend!W59+Trend!W23-(Technology!$E$10*(Technology!$D$7-Technology!$E$7))</f>
        <v>7.1741465923583006E-2</v>
      </c>
      <c r="X9" s="43">
        <f>(X33*$I$6*((1+$I$6)^Technology!$E$8)*(1/(((1+$I$6)^Technology!$E$8)-1))*(1/8760*(1/(Trend!X41/100))))+Trend!X59+Trend!X23-(Technology!$E$10*(Technology!$D$7-Technology!$E$7))</f>
        <v>7.1867835077315076E-2</v>
      </c>
      <c r="Y9" s="43">
        <f>(Y33*$I$6*((1+$I$6)^Technology!$E$8)*(1/(((1+$I$6)^Technology!$E$8)-1))*(1/8760*(1/(Trend!Y41/100))))+Trend!Y59+Trend!Y23-(Technology!$E$10*(Technology!$D$7-Technology!$E$7))</f>
        <v>7.1994204231047174E-2</v>
      </c>
      <c r="Z9" s="43">
        <f>(Z33*$I$6*((1+$I$6)^Technology!$E$8)*(1/(((1+$I$6)^Technology!$E$8)-1))*(1/8760*(1/(Trend!Z41/100))))+Trend!Z59+Trend!Z23-(Technology!$E$10*(Technology!$D$7-Technology!$E$7))</f>
        <v>7.2120573384779244E-2</v>
      </c>
      <c r="AA9" s="43">
        <f>(AA33*$I$6*((1+$I$6)^Technology!$E$8)*(1/(((1+$I$6)^Technology!$E$8)-1))*(1/8760*(1/(Trend!AA41/100))))+Trend!AA59+Trend!AA23-(Technology!$E$10*(Technology!$D$7-Technology!$E$7))</f>
        <v>7.2246942538511313E-2</v>
      </c>
      <c r="AB9" s="43">
        <f>(AB33*$I$6*((1+$I$6)^Technology!$E$8)*(1/(((1+$I$6)^Technology!$E$8)-1))*(1/8760*(1/(Trend!AB41/100))))+Trend!AB59+Trend!AB23-(Technology!$E$10*(Technology!$D$7-Technology!$E$7))</f>
        <v>7.2373311692243383E-2</v>
      </c>
      <c r="AC9" s="43">
        <f>(AC33*$I$6*((1+$I$6)^Technology!$E$8)*(1/(((1+$I$6)^Technology!$E$8)-1))*(1/8760*(1/(Trend!AC41/100))))+Trend!AC59+Trend!AC23-(Technology!$E$10*(Technology!$D$7-Technology!$E$7))</f>
        <v>7.2499680845975481E-2</v>
      </c>
      <c r="AD9" s="43">
        <f>(AD33*$I$6*((1+$I$6)^Technology!$E$8)*(1/(((1+$I$6)^Technology!$E$8)-1))*(1/8760*(1/(Trend!AD41/100))))+Trend!AD59+Trend!AD23-(Technology!$E$10*(Technology!$D$7-Technology!$E$7))</f>
        <v>7.2626049999707551E-2</v>
      </c>
      <c r="AE9" s="43">
        <f>(AE33*$I$6*((1+$I$6)^Technology!$E$8)*(1/(((1+$I$6)^Technology!$E$8)-1))*(1/8760*(1/(Trend!AE41/100))))+Trend!AE59+Trend!AE23-(Technology!$E$10*(Technology!$D$7-Technology!$E$7))</f>
        <v>7.2752419153439649E-2</v>
      </c>
      <c r="AF9" s="43">
        <f>(AF33*$I$6*((1+$I$6)^Technology!$E$8)*(1/(((1+$I$6)^Technology!$E$8)-1))*(1/8760*(1/(Trend!AF41/100))))+Trend!AF59+Trend!AF23-(Technology!$E$10*(Technology!$D$7-Technology!$E$7))</f>
        <v>7.2878788307171691E-2</v>
      </c>
      <c r="AG9" s="43">
        <f>(AG33*$I$6*((1+$I$6)^Technology!$E$8)*(1/(((1+$I$6)^Technology!$E$8)-1))*(1/8760*(1/(Trend!AG41/100))))+Trend!AG59+Trend!AG23-(Technology!$E$10*(Technology!$D$7-Technology!$E$7))</f>
        <v>7.3005157460903788E-2</v>
      </c>
      <c r="AH9" s="43">
        <f>(AH33*$I$6*((1+$I$6)^Technology!$E$8)*(1/(((1+$I$6)^Technology!$E$8)-1))*(1/8760*(1/(Trend!AH41/100))))+Trend!AH59+Trend!AH23-(Technology!$E$10*(Technology!$D$7-Technology!$E$7))</f>
        <v>7.3131526614635886E-2</v>
      </c>
      <c r="AI9" s="40" t="s">
        <v>96</v>
      </c>
      <c r="AJ9" s="1"/>
      <c r="AK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</row>
    <row r="10" spans="1:172">
      <c r="A10" s="1"/>
      <c r="B10" s="15" t="s">
        <v>89</v>
      </c>
      <c r="C10" s="43">
        <f>(C34*$I$6*((1+$I$6)^Technology!$F$8)*(1/(((1+$I$6)^Technology!$F$8)-1))*(1/8760*(1/(Trend!C42/100))))+Trend!C60+Trend!C24</f>
        <v>8.5364099644959654E-2</v>
      </c>
      <c r="D10" s="43">
        <f>(D34*$I$6*((1+$I$6)^Technology!$F$8)*(1/(((1+$I$6)^Technology!$F$8)-1))*(1/8760*(1/(Trend!D42/100))))+Trend!D60+Trend!D24</f>
        <v>8.6299020847180677E-2</v>
      </c>
      <c r="E10" s="43">
        <f>(E34*$I$6*((1+$I$6)^Technology!$F$8)*(1/(((1+$I$6)^Technology!$F$8)-1))*(1/8760*(1/(Trend!E42/100))))+Trend!E60+Trend!E24</f>
        <v>8.7233942049401686E-2</v>
      </c>
      <c r="F10" s="43">
        <f>(F34*$I$6*((1+$I$6)^Technology!$F$8)*(1/(((1+$I$6)^Technology!$F$8)-1))*(1/8760*(1/(Trend!F42/100))))+Trend!F60+Trend!F24</f>
        <v>8.8168863251622709E-2</v>
      </c>
      <c r="G10" s="43">
        <f>(G34*$I$6*((1+$I$6)^Technology!$F$8)*(1/(((1+$I$6)^Technology!$F$8)-1))*(1/8760*(1/(Trend!G42/100))))+Trend!G60+Trend!G24</f>
        <v>8.9103784453843732E-2</v>
      </c>
      <c r="H10" s="43">
        <f>(H34*$I$6*((1+$I$6)^Technology!$F$8)*(1/(((1+$I$6)^Technology!$F$8)-1))*(1/8760*(1/(Trend!H42/100))))+Trend!H60+Trend!H24</f>
        <v>9.0038705656064755E-2</v>
      </c>
      <c r="I10" s="43">
        <f>(I34*$I$6*((1+$I$6)^Technology!$F$8)*(1/(((1+$I$6)^Technology!$F$8)-1))*(1/8760*(1/(Trend!I42/100))))+Trend!I60+Trend!I24</f>
        <v>9.097362685828575E-2</v>
      </c>
      <c r="J10" s="43">
        <f>(J34*$I$6*((1+$I$6)^Technology!$F$8)*(1/(((1+$I$6)^Technology!$F$8)-1))*(1/8760*(1/(Trend!J42/100))))+Trend!J60+Trend!J24</f>
        <v>9.1908548060506773E-2</v>
      </c>
      <c r="K10" s="43">
        <f>(K34*$I$6*((1+$I$6)^Technology!$F$8)*(1/(((1+$I$6)^Technology!$F$8)-1))*(1/8760*(1/(Trend!K42/100))))+Trend!K60+Trend!K24</f>
        <v>9.284346926272781E-2</v>
      </c>
      <c r="L10" s="43">
        <f>(L34*$I$6*((1+$I$6)^Technology!$F$8)*(1/(((1+$I$6)^Technology!$F$8)-1))*(1/8760*(1/(Trend!L42/100))))+Trend!L60+Trend!L24</f>
        <v>9.3778390464948819E-2</v>
      </c>
      <c r="M10" s="43">
        <f>(M34*$I$6*((1+$I$6)^Technology!$F$8)*(1/(((1+$I$6)^Technology!$F$8)-1))*(1/8760*(1/(Trend!M42/100))))+Trend!M60+Trend!M24</f>
        <v>9.4713311667169842E-2</v>
      </c>
      <c r="N10" s="43">
        <f>(N34*$I$6*((1+$I$6)^Technology!$F$8)*(1/(((1+$I$6)^Technology!$F$8)-1))*(1/8760*(1/(Trend!N42/100))))+Trend!N60+Trend!N24</f>
        <v>9.5648232869390865E-2</v>
      </c>
      <c r="O10" s="43">
        <f>(O34*$I$6*((1+$I$6)^Technology!$F$8)*(1/(((1+$I$6)^Technology!$F$8)-1))*(1/8760*(1/(Trend!O42/100))))+Trend!O60+Trend!O24</f>
        <v>9.4818985662203328E-2</v>
      </c>
      <c r="P10" s="43">
        <f>(P34*$I$6*((1+$I$6)^Technology!$F$8)*(1/(((1+$I$6)^Technology!$F$8)-1))*(1/8760*(1/(Trend!P42/100))))+Trend!P60+Trend!P24</f>
        <v>9.3989738455015764E-2</v>
      </c>
      <c r="Q10" s="43">
        <f>(Q34*$I$6*((1+$I$6)^Technology!$F$8)*(1/(((1+$I$6)^Technology!$F$8)-1))*(1/8760*(1/(Trend!Q42/100))))+Trend!Q60+Trend!Q24</f>
        <v>9.3160491247828242E-2</v>
      </c>
      <c r="R10" s="43">
        <f>(R34*$I$6*((1+$I$6)^Technology!$F$8)*(1/(((1+$I$6)^Technology!$F$8)-1))*(1/8760*(1/(Trend!R42/100))))+Trend!R60+Trend!R24</f>
        <v>9.2331244040640692E-2</v>
      </c>
      <c r="S10" s="43">
        <f>(S34*$I$6*((1+$I$6)^Technology!$F$8)*(1/(((1+$I$6)^Technology!$F$8)-1))*(1/8760*(1/(Trend!S42/100))))+Trend!S60+Trend!S24</f>
        <v>9.1501996833453156E-2</v>
      </c>
      <c r="T10" s="43">
        <f>(T34*$I$6*((1+$I$6)^Technology!$F$8)*(1/(((1+$I$6)^Technology!$F$8)-1))*(1/8760*(1/(Trend!T42/100))))+Trend!T60+Trend!T24</f>
        <v>9.067274962626562E-2</v>
      </c>
      <c r="U10" s="43">
        <f>(U34*$I$6*((1+$I$6)^Technology!$F$8)*(1/(((1+$I$6)^Technology!$F$8)-1))*(1/8760*(1/(Trend!U42/100))))+Trend!U60+Trend!U24</f>
        <v>8.984350241907807E-2</v>
      </c>
      <c r="V10" s="43">
        <f>(V34*$I$6*((1+$I$6)^Technology!$F$8)*(1/(((1+$I$6)^Technology!$F$8)-1))*(1/8760*(1/(Trend!V42/100))))+Trend!V60+Trend!V24</f>
        <v>8.9014255211890533E-2</v>
      </c>
      <c r="W10" s="43">
        <f>(W34*$I$6*((1+$I$6)^Technology!$F$8)*(1/(((1+$I$6)^Technology!$F$8)-1))*(1/8760*(1/(Trend!W42/100))))+Trend!W60+Trend!W24</f>
        <v>8.8185008004702997E-2</v>
      </c>
      <c r="X10" s="43">
        <f>(X34*$I$6*((1+$I$6)^Technology!$F$8)*(1/(((1+$I$6)^Technology!$F$8)-1))*(1/8760*(1/(Trend!X42/100))))+Trend!X60+Trend!X24</f>
        <v>8.7355760797515447E-2</v>
      </c>
      <c r="Y10" s="43">
        <f>(Y34*$I$6*((1+$I$6)^Technology!$F$8)*(1/(((1+$I$6)^Technology!$F$8)-1))*(1/8760*(1/(Trend!Y42/100))))+Trend!Y60+Trend!Y24</f>
        <v>8.6526513590327925E-2</v>
      </c>
      <c r="Z10" s="43">
        <f>(Z34*$I$6*((1+$I$6)^Technology!$F$8)*(1/(((1+$I$6)^Technology!$F$8)-1))*(1/8760*(1/(Trend!Z42/100))))+Trend!Z60+Trend!Z24</f>
        <v>8.5697266383140375E-2</v>
      </c>
      <c r="AA10" s="43">
        <f>(AA34*$I$6*((1+$I$6)^Technology!$F$8)*(1/(((1+$I$6)^Technology!$F$8)-1))*(1/8760*(1/(Trend!AA42/100))))+Trend!AA60+Trend!AA24</f>
        <v>8.4868019175952825E-2</v>
      </c>
      <c r="AB10" s="43">
        <f>(AB34*$I$6*((1+$I$6)^Technology!$F$8)*(1/(((1+$I$6)^Technology!$F$8)-1))*(1/8760*(1/(Trend!AB42/100))))+Trend!AB60+Trend!AB24</f>
        <v>8.4038771968765288E-2</v>
      </c>
      <c r="AC10" s="43">
        <f>(AC34*$I$6*((1+$I$6)^Technology!$F$8)*(1/(((1+$I$6)^Technology!$F$8)-1))*(1/8760*(1/(Trend!AC42/100))))+Trend!AC60+Trend!AC24</f>
        <v>8.3209524761577752E-2</v>
      </c>
      <c r="AD10" s="43">
        <f>(AD34*$I$6*((1+$I$6)^Technology!$F$8)*(1/(((1+$I$6)^Technology!$F$8)-1))*(1/8760*(1/(Trend!AD42/100))))+Trend!AD60+Trend!AD24</f>
        <v>8.2380277554390216E-2</v>
      </c>
      <c r="AE10" s="43">
        <f>(AE34*$I$6*((1+$I$6)^Technology!$F$8)*(1/(((1+$I$6)^Technology!$F$8)-1))*(1/8760*(1/(Trend!AE42/100))))+Trend!AE60+Trend!AE24</f>
        <v>8.155103034720268E-2</v>
      </c>
      <c r="AF10" s="43">
        <f>(AF34*$I$6*((1+$I$6)^Technology!$F$8)*(1/(((1+$I$6)^Technology!$F$8)-1))*(1/8760*(1/(Trend!AF42/100))))+Trend!AF60+Trend!AF24</f>
        <v>8.072178314001513E-2</v>
      </c>
      <c r="AG10" s="43">
        <f>(AG34*$I$6*((1+$I$6)^Technology!$F$8)*(1/(((1+$I$6)^Technology!$F$8)-1))*(1/8760*(1/(Trend!AG42/100))))+Trend!AG60+Trend!AG24</f>
        <v>7.9892535932827594E-2</v>
      </c>
      <c r="AH10" s="43">
        <f>(AH34*$I$6*((1+$I$6)^Technology!$F$8)*(1/(((1+$I$6)^Technology!$F$8)-1))*(1/8760*(1/(Trend!AH42/100))))+Trend!AH60+Trend!AH24</f>
        <v>7.9063288725640057E-2</v>
      </c>
      <c r="AI10" s="40" t="s">
        <v>89</v>
      </c>
      <c r="AJ10" s="1"/>
      <c r="AK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</row>
    <row r="11" spans="1:172">
      <c r="A11" s="1"/>
      <c r="B11" s="15" t="s">
        <v>88</v>
      </c>
      <c r="C11" s="43">
        <f>(C35*$I$6*((1+$I$6)^Technology!$G$8)*(1/(((1+$I$6)^Technology!$G$8)-1))*(1/8760*(1/(Trend!C43/100))))+Trend!C61+Trend!C25</f>
        <v>3.8354964552685639E-2</v>
      </c>
      <c r="D11" s="43">
        <f>(D35*$I$6*((1+$I$6)^Technology!$G$8)*(1/(((1+$I$6)^Technology!$G$8)-1))*(1/8760*(1/(Trend!D43/100))))+Trend!D61+Trend!D25</f>
        <v>3.910360084402708E-2</v>
      </c>
      <c r="E11" s="43">
        <f>(E35*$I$6*((1+$I$6)^Technology!$G$8)*(1/(((1+$I$6)^Technology!$G$8)-1))*(1/8760*(1/(Trend!E43/100))))+Trend!E61+Trend!E25</f>
        <v>3.9852237135368521E-2</v>
      </c>
      <c r="F11" s="43">
        <f>(F35*$I$6*((1+$I$6)^Technology!$G$8)*(1/(((1+$I$6)^Technology!$G$8)-1))*(1/8760*(1/(Trend!F43/100))))+Trend!F61+Trend!F25</f>
        <v>4.0600873426709962E-2</v>
      </c>
      <c r="G11" s="43">
        <f>(G35*$I$6*((1+$I$6)^Technology!$G$8)*(1/(((1+$I$6)^Technology!$G$8)-1))*(1/8760*(1/(Trend!G43/100))))+Trend!G61+Trend!G25</f>
        <v>4.134950971805141E-2</v>
      </c>
      <c r="H11" s="43">
        <f>(H35*$I$6*((1+$I$6)^Technology!$G$8)*(1/(((1+$I$6)^Technology!$G$8)-1))*(1/8760*(1/(Trend!H43/100))))+Trend!H61+Trend!H25</f>
        <v>4.2098146009392851E-2</v>
      </c>
      <c r="I11" s="43">
        <f>(I35*$I$6*((1+$I$6)^Technology!$G$8)*(1/(((1+$I$6)^Technology!$G$8)-1))*(1/8760*(1/(Trend!I43/100))))+Trend!I61+Trend!I25</f>
        <v>4.2846782300734285E-2</v>
      </c>
      <c r="J11" s="43">
        <f>(J35*$I$6*((1+$I$6)^Technology!$G$8)*(1/(((1+$I$6)^Technology!$G$8)-1))*(1/8760*(1/(Trend!J43/100))))+Trend!J61+Trend!J25</f>
        <v>4.3595418592075733E-2</v>
      </c>
      <c r="K11" s="43">
        <f>(K35*$I$6*((1+$I$6)^Technology!$G$8)*(1/(((1+$I$6)^Technology!$G$8)-1))*(1/8760*(1/(Trend!K43/100))))+Trend!K61+Trend!K25</f>
        <v>4.4344054883417174E-2</v>
      </c>
      <c r="L11" s="43">
        <f>(L35*$I$6*((1+$I$6)^Technology!$G$8)*(1/(((1+$I$6)^Technology!$G$8)-1))*(1/8760*(1/(Trend!L43/100))))+Trend!L61+Trend!L25</f>
        <v>4.5092691174758615E-2</v>
      </c>
      <c r="M11" s="43">
        <f>(M35*$I$6*((1+$I$6)^Technology!$G$8)*(1/(((1+$I$6)^Technology!$G$8)-1))*(1/8760*(1/(Trend!M43/100))))+Trend!M61+Trend!M25</f>
        <v>4.5841327466100062E-2</v>
      </c>
      <c r="N11" s="43">
        <f>(N35*$I$6*((1+$I$6)^Technology!$G$8)*(1/(((1+$I$6)^Technology!$G$8)-1))*(1/8760*(1/(Trend!N43/100))))+Trend!N61+Trend!N25</f>
        <v>4.6589963757441503E-2</v>
      </c>
      <c r="O11" s="43">
        <f>(O35*$I$6*((1+$I$6)^Technology!$G$8)*(1/(((1+$I$6)^Technology!$G$8)-1))*(1/8760*(1/(Trend!O43/100))))+Trend!O61+Trend!O25</f>
        <v>4.6086558041547106E-2</v>
      </c>
      <c r="P11" s="43">
        <f>(P35*$I$6*((1+$I$6)^Technology!$G$8)*(1/(((1+$I$6)^Technology!$G$8)-1))*(1/8760*(1/(Trend!P43/100))))+Trend!P61+Trend!P25</f>
        <v>4.5583152325652701E-2</v>
      </c>
      <c r="Q11" s="43">
        <f>(Q35*$I$6*((1+$I$6)^Technology!$G$8)*(1/(((1+$I$6)^Technology!$G$8)-1))*(1/8760*(1/(Trend!Q43/100))))+Trend!Q61+Trend!Q25</f>
        <v>4.5079746609758296E-2</v>
      </c>
      <c r="R11" s="43">
        <f>(R35*$I$6*((1+$I$6)^Technology!$G$8)*(1/(((1+$I$6)^Technology!$G$8)-1))*(1/8760*(1/(Trend!R43/100))))+Trend!R61+Trend!R25</f>
        <v>4.4576340893863899E-2</v>
      </c>
      <c r="S11" s="43">
        <f>(S35*$I$6*((1+$I$6)^Technology!$G$8)*(1/(((1+$I$6)^Technology!$G$8)-1))*(1/8760*(1/(Trend!S43/100))))+Trend!S61+Trend!S25</f>
        <v>4.4072935177969501E-2</v>
      </c>
      <c r="T11" s="43">
        <f>(T35*$I$6*((1+$I$6)^Technology!$G$8)*(1/(((1+$I$6)^Technology!$G$8)-1))*(1/8760*(1/(Trend!T43/100))))+Trend!T61+Trend!T25</f>
        <v>4.3569529462075096E-2</v>
      </c>
      <c r="U11" s="43">
        <f>(U35*$I$6*((1+$I$6)^Technology!$G$8)*(1/(((1+$I$6)^Technology!$G$8)-1))*(1/8760*(1/(Trend!U43/100))))+Trend!U61+Trend!U25</f>
        <v>4.3066123746180691E-2</v>
      </c>
      <c r="V11" s="43">
        <f>(V35*$I$6*((1+$I$6)^Technology!$G$8)*(1/(((1+$I$6)^Technology!$G$8)-1))*(1/8760*(1/(Trend!V43/100))))+Trend!V61+Trend!V25</f>
        <v>4.2562718030286294E-2</v>
      </c>
      <c r="W11" s="43">
        <f>(W35*$I$6*((1+$I$6)^Technology!$G$8)*(1/(((1+$I$6)^Technology!$G$8)-1))*(1/8760*(1/(Trend!W43/100))))+Trend!W61+Trend!W25</f>
        <v>4.2059312314391889E-2</v>
      </c>
      <c r="X11" s="43">
        <f>(X35*$I$6*((1+$I$6)^Technology!$G$8)*(1/(((1+$I$6)^Technology!$G$8)-1))*(1/8760*(1/(Trend!X43/100))))+Trend!X61+Trend!X25</f>
        <v>4.1555906598497484E-2</v>
      </c>
      <c r="Y11" s="43">
        <f>(Y35*$I$6*((1+$I$6)^Technology!$G$8)*(1/(((1+$I$6)^Technology!$G$8)-1))*(1/8760*(1/(Trend!Y43/100))))+Trend!Y61+Trend!Y25</f>
        <v>4.1052500882603087E-2</v>
      </c>
      <c r="Z11" s="43">
        <f>(Z35*$I$6*((1+$I$6)^Technology!$G$8)*(1/(((1+$I$6)^Technology!$G$8)-1))*(1/8760*(1/(Trend!Z43/100))))+Trend!Z61+Trend!Z25</f>
        <v>4.0549095166708682E-2</v>
      </c>
      <c r="AA11" s="43">
        <f>(AA35*$I$6*((1+$I$6)^Technology!$G$8)*(1/(((1+$I$6)^Technology!$G$8)-1))*(1/8760*(1/(Trend!AA43/100))))+Trend!AA61+Trend!AA25</f>
        <v>4.0045689450814284E-2</v>
      </c>
      <c r="AB11" s="43">
        <f>(AB35*$I$6*((1+$I$6)^Technology!$G$8)*(1/(((1+$I$6)^Technology!$G$8)-1))*(1/8760*(1/(Trend!AB43/100))))+Trend!AB61+Trend!AB25</f>
        <v>3.9542283734919879E-2</v>
      </c>
      <c r="AC11" s="43">
        <f>(AC35*$I$6*((1+$I$6)^Technology!$G$8)*(1/(((1+$I$6)^Technology!$G$8)-1))*(1/8760*(1/(Trend!AC43/100))))+Trend!AC61+Trend!AC25</f>
        <v>3.9038878019025475E-2</v>
      </c>
      <c r="AD11" s="43">
        <f>(AD35*$I$6*((1+$I$6)^Technology!$G$8)*(1/(((1+$I$6)^Technology!$G$8)-1))*(1/8760*(1/(Trend!AD43/100))))+Trend!AD61+Trend!AD25</f>
        <v>3.8535472303131077E-2</v>
      </c>
      <c r="AE11" s="43">
        <f>(AE35*$I$6*((1+$I$6)^Technology!$G$8)*(1/(((1+$I$6)^Technology!$G$8)-1))*(1/8760*(1/(Trend!AE43/100))))+Trend!AE61+Trend!AE25</f>
        <v>3.8032066587236679E-2</v>
      </c>
      <c r="AF11" s="43">
        <f>(AF35*$I$6*((1+$I$6)^Technology!$G$8)*(1/(((1+$I$6)^Technology!$G$8)-1))*(1/8760*(1/(Trend!AF43/100))))+Trend!AF61+Trend!AF25</f>
        <v>3.7528660871342268E-2</v>
      </c>
      <c r="AG11" s="43">
        <f>(AG35*$I$6*((1+$I$6)^Technology!$G$8)*(1/(((1+$I$6)^Technology!$G$8)-1))*(1/8760*(1/(Trend!AG43/100))))+Trend!AG61+Trend!AG25</f>
        <v>3.7025255155447877E-2</v>
      </c>
      <c r="AH11" s="43">
        <f>(AH35*$I$6*((1+$I$6)^Technology!$G$8)*(1/(((1+$I$6)^Technology!$G$8)-1))*(1/8760*(1/(Trend!AH43/100))))+Trend!AH61+Trend!AH25</f>
        <v>3.6521849439553472E-2</v>
      </c>
      <c r="AI11" s="40" t="s">
        <v>88</v>
      </c>
      <c r="AJ11" s="1"/>
      <c r="AK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</row>
    <row r="12" spans="1:172">
      <c r="A12" s="1"/>
      <c r="B12" s="15" t="s">
        <v>90</v>
      </c>
      <c r="C12" s="43">
        <f>(C36*$I$6*((1+$I$6)^Technology!$H$8)*(1/(((1+$I$6)^Technology!$H$8)-1))*(1/8760*(1/(Trend!C44/100))))+Trend!C62+Trend!C26-(Technology!$H$10*(Technology!$G$7-Technology!$H$7))</f>
        <v>4.7403457256205872E-2</v>
      </c>
      <c r="D12" s="43">
        <f>(D36*$I$6*((1+$I$6)^Technology!$H$8)*(1/(((1+$I$6)^Technology!$H$8)-1))*(1/8760*(1/(Trend!D44/100))))+Trend!D62+Trend!D26-(Technology!$H$10*(Technology!$G$7-Technology!$H$7))</f>
        <v>4.8218808599256868E-2</v>
      </c>
      <c r="E12" s="43">
        <f>(E36*$I$6*((1+$I$6)^Technology!$H$8)*(1/(((1+$I$6)^Technology!$H$8)-1))*(1/8760*(1/(Trend!E44/100))))+Trend!E62+Trend!E26-(Technology!$H$10*(Technology!$G$7-Technology!$H$7))</f>
        <v>4.9034159942307864E-2</v>
      </c>
      <c r="F12" s="43">
        <f>(F36*$I$6*((1+$I$6)^Technology!$H$8)*(1/(((1+$I$6)^Technology!$H$8)-1))*(1/8760*(1/(Trend!F44/100))))+Trend!F62+Trend!F26-(Technology!$H$10*(Technology!$G$7-Technology!$H$7))</f>
        <v>4.9849511285358861E-2</v>
      </c>
      <c r="G12" s="43">
        <f>(G36*$I$6*((1+$I$6)^Technology!$H$8)*(1/(((1+$I$6)^Technology!$H$8)-1))*(1/8760*(1/(Trend!G44/100))))+Trend!G62+Trend!G26-(Technology!$H$10*(Technology!$G$7-Technology!$H$7))</f>
        <v>5.0664862628409857E-2</v>
      </c>
      <c r="H12" s="43">
        <f>(H36*$I$6*((1+$I$6)^Technology!$H$8)*(1/(((1+$I$6)^Technology!$H$8)-1))*(1/8760*(1/(Trend!H44/100))))+Trend!H62+Trend!H26-(Technology!$H$10*(Technology!$G$7-Technology!$H$7))</f>
        <v>5.1480213971460867E-2</v>
      </c>
      <c r="I12" s="43">
        <f>(I36*$I$6*((1+$I$6)^Technology!$H$8)*(1/(((1+$I$6)^Technology!$H$8)-1))*(1/8760*(1/(Trend!I44/100))))+Trend!I62+Trend!I26-(Technology!$H$10*(Technology!$G$7-Technology!$H$7))</f>
        <v>5.2295565314511863E-2</v>
      </c>
      <c r="J12" s="43">
        <f>(J36*$I$6*((1+$I$6)^Technology!$H$8)*(1/(((1+$I$6)^Technology!$H$8)-1))*(1/8760*(1/(Trend!J44/100))))+Trend!J62+Trend!J26-(Technology!$H$10*(Technology!$G$7-Technology!$H$7))</f>
        <v>5.3110916657562859E-2</v>
      </c>
      <c r="K12" s="43">
        <f>(K36*$I$6*((1+$I$6)^Technology!$H$8)*(1/(((1+$I$6)^Technology!$H$8)-1))*(1/8760*(1/(Trend!K44/100))))+Trend!K62+Trend!K26-(Technology!$H$10*(Technology!$G$7-Technology!$H$7))</f>
        <v>5.3926268000613856E-2</v>
      </c>
      <c r="L12" s="43">
        <f>(L36*$I$6*((1+$I$6)^Technology!$H$8)*(1/(((1+$I$6)^Technology!$H$8)-1))*(1/8760*(1/(Trend!L44/100))))+Trend!L62+Trend!L26-(Technology!$H$10*(Technology!$G$7-Technology!$H$7))</f>
        <v>5.4741619343664852E-2</v>
      </c>
      <c r="M12" s="43">
        <f>(M36*$I$6*((1+$I$6)^Technology!$H$8)*(1/(((1+$I$6)^Technology!$H$8)-1))*(1/8760*(1/(Trend!M44/100))))+Trend!M62+Trend!M26-(Technology!$H$10*(Technology!$G$7-Technology!$H$7))</f>
        <v>5.5556970686715848E-2</v>
      </c>
      <c r="N12" s="43">
        <f>(N36*$I$6*((1+$I$6)^Technology!$H$8)*(1/(((1+$I$6)^Technology!$H$8)-1))*(1/8760*(1/(Trend!N44/100))))+Trend!N62+Trend!N26-(Technology!$H$10*(Technology!$G$7-Technology!$H$7))</f>
        <v>5.6372322029766858E-2</v>
      </c>
      <c r="O12" s="43">
        <f>(O36*$I$6*((1+$I$6)^Technology!$H$8)*(1/(((1+$I$6)^Technology!$H$8)-1))*(1/8760*(1/(Trend!O44/100))))+Trend!O62+Trend!O26-(Technology!$H$10*(Technology!$G$7-Technology!$H$7))</f>
        <v>5.5560142563916129E-2</v>
      </c>
      <c r="P12" s="43">
        <f>(P36*$I$6*((1+$I$6)^Technology!$H$8)*(1/(((1+$I$6)^Technology!$H$8)-1))*(1/8760*(1/(Trend!P44/100))))+Trend!P62+Trend!P26-(Technology!$H$10*(Technology!$G$7-Technology!$H$7))</f>
        <v>5.4747963098065386E-2</v>
      </c>
      <c r="Q12" s="43">
        <f>(Q36*$I$6*((1+$I$6)^Technology!$H$8)*(1/(((1+$I$6)^Technology!$H$8)-1))*(1/8760*(1/(Trend!Q44/100))))+Trend!Q62+Trend!Q26-(Technology!$H$10*(Technology!$G$7-Technology!$H$7))</f>
        <v>5.3935783632214657E-2</v>
      </c>
      <c r="R12" s="43">
        <f>(R36*$I$6*((1+$I$6)^Technology!$H$8)*(1/(((1+$I$6)^Technology!$H$8)-1))*(1/8760*(1/(Trend!R44/100))))+Trend!R62+Trend!R26-(Technology!$H$10*(Technology!$G$7-Technology!$H$7))</f>
        <v>5.3123604166363941E-2</v>
      </c>
      <c r="S12" s="43">
        <f>(S36*$I$6*((1+$I$6)^Technology!$H$8)*(1/(((1+$I$6)^Technology!$H$8)-1))*(1/8760*(1/(Trend!S44/100))))+Trend!S62+Trend!S26-(Technology!$H$10*(Technology!$G$7-Technology!$H$7))</f>
        <v>5.2311424700513198E-2</v>
      </c>
      <c r="T12" s="43">
        <f>(T36*$I$6*((1+$I$6)^Technology!$H$8)*(1/(((1+$I$6)^Technology!$H$8)-1))*(1/8760*(1/(Trend!T44/100))))+Trend!T62+Trend!T26-(Technology!$H$10*(Technology!$G$7-Technology!$H$7))</f>
        <v>5.1499245234662469E-2</v>
      </c>
      <c r="U12" s="43">
        <f>(U36*$I$6*((1+$I$6)^Technology!$H$8)*(1/(((1+$I$6)^Technology!$H$8)-1))*(1/8760*(1/(Trend!U44/100))))+Trend!U62+Trend!U26-(Technology!$H$10*(Technology!$G$7-Technology!$H$7))</f>
        <v>5.068706576881174E-2</v>
      </c>
      <c r="V12" s="43">
        <f>(V36*$I$6*((1+$I$6)^Technology!$H$8)*(1/(((1+$I$6)^Technology!$H$8)-1))*(1/8760*(1/(Trend!V44/100))))+Trend!V62+Trend!V26-(Technology!$H$10*(Technology!$G$7-Technology!$H$7))</f>
        <v>4.9874886302960997E-2</v>
      </c>
      <c r="W12" s="43">
        <f>(W36*$I$6*((1+$I$6)^Technology!$H$8)*(1/(((1+$I$6)^Technology!$H$8)-1))*(1/8760*(1/(Trend!W44/100))))+Trend!W62+Trend!W26-(Technology!$H$10*(Technology!$G$7-Technology!$H$7))</f>
        <v>4.9062706837110268E-2</v>
      </c>
      <c r="X12" s="43">
        <f>(X36*$I$6*((1+$I$6)^Technology!$H$8)*(1/(((1+$I$6)^Technology!$H$8)-1))*(1/8760*(1/(Trend!X44/100))))+Trend!X62+Trend!X26-(Technology!$H$10*(Technology!$G$7-Technology!$H$7))</f>
        <v>4.8250527371259552E-2</v>
      </c>
      <c r="Y12" s="43">
        <f>(Y36*$I$6*((1+$I$6)^Technology!$H$8)*(1/(((1+$I$6)^Technology!$H$8)-1))*(1/8760*(1/(Trend!Y44/100))))+Trend!Y62+Trend!Y26-(Technology!$H$10*(Technology!$G$7-Technology!$H$7))</f>
        <v>4.7438347905408809E-2</v>
      </c>
      <c r="Z12" s="43">
        <f>(Z36*$I$6*((1+$I$6)^Technology!$H$8)*(1/(((1+$I$6)^Technology!$H$8)-1))*(1/8760*(1/(Trend!Z44/100))))+Trend!Z62+Trend!Z26-(Technology!$H$10*(Technology!$G$7-Technology!$H$7))</f>
        <v>4.662616843955808E-2</v>
      </c>
      <c r="AA12" s="43">
        <f>(AA36*$I$6*((1+$I$6)^Technology!$H$8)*(1/(((1+$I$6)^Technology!$H$8)-1))*(1/8760*(1/(Trend!AA44/100))))+Trend!AA62+Trend!AA26-(Technology!$H$10*(Technology!$G$7-Technology!$H$7))</f>
        <v>4.5813988973707351E-2</v>
      </c>
      <c r="AB12" s="43">
        <f>(AB36*$I$6*((1+$I$6)^Technology!$H$8)*(1/(((1+$I$6)^Technology!$H$8)-1))*(1/8760*(1/(Trend!AB44/100))))+Trend!AB62+Trend!AB26-(Technology!$H$10*(Technology!$G$7-Technology!$H$7))</f>
        <v>4.5001809507856622E-2</v>
      </c>
      <c r="AC12" s="43">
        <f>(AC36*$I$6*((1+$I$6)^Technology!$H$8)*(1/(((1+$I$6)^Technology!$H$8)-1))*(1/8760*(1/(Trend!AC44/100))))+Trend!AC62+Trend!AC26-(Technology!$H$10*(Technology!$G$7-Technology!$H$7))</f>
        <v>4.4189630042005892E-2</v>
      </c>
      <c r="AD12" s="43">
        <f>(AD36*$I$6*((1+$I$6)^Technology!$H$8)*(1/(((1+$I$6)^Technology!$H$8)-1))*(1/8760*(1/(Trend!AD44/100))))+Trend!AD62+Trend!AD26-(Technology!$H$10*(Technology!$G$7-Technology!$H$7))</f>
        <v>4.3377450576155149E-2</v>
      </c>
      <c r="AE12" s="43">
        <f>(AE36*$I$6*((1+$I$6)^Technology!$H$8)*(1/(((1+$I$6)^Technology!$H$8)-1))*(1/8760*(1/(Trend!AE44/100))))+Trend!AE62+Trend!AE26-(Technology!$H$10*(Technology!$G$7-Technology!$H$7))</f>
        <v>4.2565271110304434E-2</v>
      </c>
      <c r="AF12" s="43">
        <f>(AF36*$I$6*((1+$I$6)^Technology!$H$8)*(1/(((1+$I$6)^Technology!$H$8)-1))*(1/8760*(1/(Trend!AF44/100))))+Trend!AF62+Trend!AF26-(Technology!$H$10*(Technology!$G$7-Technology!$H$7))</f>
        <v>4.1753091644453691E-2</v>
      </c>
      <c r="AG12" s="43">
        <f>(AG36*$I$6*((1+$I$6)^Technology!$H$8)*(1/(((1+$I$6)^Technology!$H$8)-1))*(1/8760*(1/(Trend!AG44/100))))+Trend!AG62+Trend!AG26-(Technology!$H$10*(Technology!$G$7-Technology!$H$7))</f>
        <v>4.0940912178602962E-2</v>
      </c>
      <c r="AH12" s="43">
        <f>(AH36*$I$6*((1+$I$6)^Technology!$H$8)*(1/(((1+$I$6)^Technology!$H$8)-1))*(1/8760*(1/(Trend!AH44/100))))+Trend!AH62+Trend!AH26-(Technology!$H$10*(Technology!$G$7-Technology!$H$7))</f>
        <v>4.0128732712752233E-2</v>
      </c>
      <c r="AI12" s="40" t="s">
        <v>97</v>
      </c>
      <c r="AJ12" s="1"/>
      <c r="AK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</row>
    <row r="13" spans="1:172">
      <c r="A13" s="1"/>
      <c r="B13" s="15" t="s">
        <v>48</v>
      </c>
      <c r="C13" s="43">
        <f>(C37*$I$6*((1+$I$6)^Technology!$I$8)*(1/(((1+$I$6)^Technology!$I$8)-1))*(1/8760*(1/(Trend!C45/100))))+Trend!C63+Trend!C27-Technology!$I$10</f>
        <v>3.9486097761880674E-2</v>
      </c>
      <c r="D13" s="43">
        <f>(D37*$I$6*((1+$I$6)^Technology!$I$8)*(1/(((1+$I$6)^Technology!$I$8)-1))*(1/8760*(1/(Trend!D45/100))))+Trend!D63+Trend!D27-Technology!$I$10</f>
        <v>3.5602289613857717E-2</v>
      </c>
      <c r="E13" s="43">
        <f>(E37*$I$6*((1+$I$6)^Technology!$I$8)*(1/(((1+$I$6)^Technology!$I$8)-1))*(1/8760*(1/(Trend!E45/100))))+Trend!E63+Trend!E27-Technology!$I$10</f>
        <v>3.1718481465834759E-2</v>
      </c>
      <c r="F13" s="43">
        <f>(F37*$I$6*((1+$I$6)^Technology!$I$8)*(1/(((1+$I$6)^Technology!$I$8)-1))*(1/8760*(1/(Trend!F45/100))))+Trend!F63+Trend!F27-Technology!$I$10</f>
        <v>2.7834673317811816E-2</v>
      </c>
      <c r="G13" s="43">
        <f>(G37*$I$6*((1+$I$6)^Technology!$I$8)*(1/(((1+$I$6)^Technology!$I$8)-1))*(1/8760*(1/(Trend!G45/100))))+Trend!G63+Trend!G27-Technology!$I$10</f>
        <v>2.3950865169788831E-2</v>
      </c>
      <c r="H13" s="43">
        <f>(H37*$I$6*((1+$I$6)^Technology!$I$8)*(1/(((1+$I$6)^Technology!$I$8)-1))*(1/8760*(1/(Trend!H45/100))))+Trend!H63+Trend!H27-Technology!$I$10</f>
        <v>2.0067057021765887E-2</v>
      </c>
      <c r="I13" s="43">
        <f>(I37*$I$6*((1+$I$6)^Technology!$I$8)*(1/(((1+$I$6)^Technology!$I$8)-1))*(1/8760*(1/(Trend!I45/100))))+Trend!I63+Trend!I27-Technology!$I$10</f>
        <v>1.6183248873742923E-2</v>
      </c>
      <c r="J13" s="43">
        <f>(J37*$I$6*((1+$I$6)^Technology!$I$8)*(1/(((1+$I$6)^Technology!$I$8)-1))*(1/8760*(1/(Trend!J45/100))))+Trend!J63+Trend!J27-Technology!$I$10</f>
        <v>1.2299440725719958E-2</v>
      </c>
      <c r="K13" s="43">
        <f>(K37*$I$6*((1+$I$6)^Technology!$I$8)*(1/(((1+$I$6)^Technology!$I$8)-1))*(1/8760*(1/(Trend!K45/100))))+Trend!K63+Trend!K27-Technology!$I$10</f>
        <v>8.4156325776970076E-3</v>
      </c>
      <c r="L13" s="43">
        <f>(L37*$I$6*((1+$I$6)^Technology!$I$8)*(1/(((1+$I$6)^Technology!$I$8)-1))*(1/8760*(1/(Trend!L45/100))))+Trend!L63+Trend!L27-Technology!$I$10</f>
        <v>4.5318244296740431E-3</v>
      </c>
      <c r="M13" s="43">
        <f>(M37*$I$6*((1+$I$6)^Technology!$I$8)*(1/(((1+$I$6)^Technology!$I$8)-1))*(1/8760*(1/(Trend!M45/100))))+Trend!M63+Trend!M27-Technology!$I$10</f>
        <v>6.4801628165107872E-4</v>
      </c>
      <c r="N13" s="43">
        <f>(N37*$I$6*((1+$I$6)^Technology!$I$8)*(1/(((1+$I$6)^Technology!$I$8)-1))*(1/8760*(1/(Trend!N45/100))))+Trend!N63+Trend!N27</f>
        <v>3.6764208133628115E-2</v>
      </c>
      <c r="O13" s="43">
        <f>(O37*$I$6*((1+$I$6)^Technology!$I$8)*(1/(((1+$I$6)^Technology!$I$8)-1))*(1/8760*(1/(Trend!O45/100))))+Trend!O63+Trend!O27</f>
        <v>3.6425571111077325E-2</v>
      </c>
      <c r="P13" s="43">
        <f>(P37*$I$6*((1+$I$6)^Technology!$I$8)*(1/(((1+$I$6)^Technology!$I$8)-1))*(1/8760*(1/(Trend!P45/100))))+Trend!P63+Trend!P27</f>
        <v>3.6086934088526527E-2</v>
      </c>
      <c r="Q13" s="43">
        <f>(Q37*$I$6*((1+$I$6)^Technology!$I$8)*(1/(((1+$I$6)^Technology!$I$8)-1))*(1/8760*(1/(Trend!Q45/100))))+Trend!Q63+Trend!Q27</f>
        <v>3.574829706597573E-2</v>
      </c>
      <c r="R13" s="43">
        <f>(R37*$I$6*((1+$I$6)^Technology!$I$8)*(1/(((1+$I$6)^Technology!$I$8)-1))*(1/8760*(1/(Trend!R45/100))))+Trend!R63+Trend!R27</f>
        <v>3.540966004342494E-2</v>
      </c>
      <c r="S13" s="43">
        <f>(S37*$I$6*((1+$I$6)^Technology!$I$8)*(1/(((1+$I$6)^Technology!$I$8)-1))*(1/8760*(1/(Trend!S45/100))))+Trend!S63+Trend!S27</f>
        <v>3.5071023020874136E-2</v>
      </c>
      <c r="T13" s="43">
        <f>(T37*$I$6*((1+$I$6)^Technology!$I$8)*(1/(((1+$I$6)^Technology!$I$8)-1))*(1/8760*(1/(Trend!T45/100))))+Trend!T63+Trend!T27</f>
        <v>3.4732385998323345E-2</v>
      </c>
      <c r="U13" s="43">
        <f>(U37*$I$6*((1+$I$6)^Technology!$I$8)*(1/(((1+$I$6)^Technology!$I$8)-1))*(1/8760*(1/(Trend!U45/100))))+Trend!U63+Trend!U27</f>
        <v>3.4393748975772548E-2</v>
      </c>
      <c r="V13" s="43">
        <f>(V37*$I$6*((1+$I$6)^Technology!$I$8)*(1/(((1+$I$6)^Technology!$I$8)-1))*(1/8760*(1/(Trend!V45/100))))+Trend!V63+Trend!V27</f>
        <v>3.4055111953221744E-2</v>
      </c>
      <c r="W13" s="43">
        <f>(W37*$I$6*((1+$I$6)^Technology!$I$8)*(1/(((1+$I$6)^Technology!$I$8)-1))*(1/8760*(1/(Trend!W45/100))))+Trend!W63+Trend!W27</f>
        <v>3.371647493067096E-2</v>
      </c>
      <c r="X13" s="43">
        <f>(X37*$I$6*((1+$I$6)^Technology!$I$8)*(1/(((1+$I$6)^Technology!$I$8)-1))*(1/8760*(1/(Trend!X45/100))))+Trend!X63+Trend!X27</f>
        <v>3.3377837908120156E-2</v>
      </c>
      <c r="Y13" s="43">
        <f>(Y37*$I$6*((1+$I$6)^Technology!$I$8)*(1/(((1+$I$6)^Technology!$I$8)-1))*(1/8760*(1/(Trend!Y45/100))))+Trend!Y63+Trend!Y27</f>
        <v>3.3039200885569359E-2</v>
      </c>
      <c r="Z13" s="43">
        <f>(Z37*$I$6*((1+$I$6)^Technology!$I$8)*(1/(((1+$I$6)^Technology!$I$8)-1))*(1/8760*(1/(Trend!Z45/100))))+Trend!Z63+Trend!Z27</f>
        <v>3.2700563863018561E-2</v>
      </c>
      <c r="AA13" s="43">
        <f>(AA37*$I$6*((1+$I$6)^Technology!$I$8)*(1/(((1+$I$6)^Technology!$I$8)-1))*(1/8760*(1/(Trend!AA45/100))))+Trend!AA63+Trend!AA27</f>
        <v>3.2361926840467764E-2</v>
      </c>
      <c r="AB13" s="43">
        <f>(AB37*$I$6*((1+$I$6)^Technology!$I$8)*(1/(((1+$I$6)^Technology!$I$8)-1))*(1/8760*(1/(Trend!AB45/100))))+Trend!AB63+Trend!AB27</f>
        <v>3.2023289817916974E-2</v>
      </c>
      <c r="AC13" s="43">
        <f>(AC37*$I$6*((1+$I$6)^Technology!$I$8)*(1/(((1+$I$6)^Technology!$I$8)-1))*(1/8760*(1/(Trend!AC45/100))))+Trend!AC63+Trend!AC27</f>
        <v>3.1684652795366169E-2</v>
      </c>
      <c r="AD13" s="43">
        <f>(AD37*$I$6*((1+$I$6)^Technology!$I$8)*(1/(((1+$I$6)^Technology!$I$8)-1))*(1/8760*(1/(Trend!AD45/100))))+Trend!AD63+Trend!AD27</f>
        <v>3.1346015772815379E-2</v>
      </c>
      <c r="AE13" s="43">
        <f>(AE37*$I$6*((1+$I$6)^Technology!$I$8)*(1/(((1+$I$6)^Technology!$I$8)-1))*(1/8760*(1/(Trend!AE45/100))))+Trend!AE63+Trend!AE27</f>
        <v>3.1007378750264578E-2</v>
      </c>
      <c r="AF13" s="43">
        <f>(AF37*$I$6*((1+$I$6)^Technology!$I$8)*(1/(((1+$I$6)^Technology!$I$8)-1))*(1/8760*(1/(Trend!AF45/100))))+Trend!AF63+Trend!AF27</f>
        <v>3.0668741727713784E-2</v>
      </c>
      <c r="AG13" s="43">
        <f>(AG37*$I$6*((1+$I$6)^Technology!$I$8)*(1/(((1+$I$6)^Technology!$I$8)-1))*(1/8760*(1/(Trend!AG45/100))))+Trend!AG63+Trend!AG27</f>
        <v>3.0330104705162994E-2</v>
      </c>
      <c r="AH13" s="43">
        <f>(AH37*$I$6*((1+$I$6)^Technology!$I$8)*(1/(((1+$I$6)^Technology!$I$8)-1))*(1/8760*(1/(Trend!AH45/100))))+Trend!AH63+Trend!AH27</f>
        <v>2.9991467682612193E-2</v>
      </c>
      <c r="AI13" s="40" t="s">
        <v>98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</row>
    <row r="14" spans="1:172">
      <c r="A14" s="1"/>
      <c r="B14" s="15" t="s">
        <v>51</v>
      </c>
      <c r="C14" s="43">
        <f>(C38*$I$6*((1+$I$6)^Technology!$J$8)*(1/(((1+$I$6)^Technology!$J$8)-1))*(1/8760*(1/(Trend!C46/100))))+Trend!C64+Trend!C28</f>
        <v>0.1509125764926825</v>
      </c>
      <c r="D14" s="43">
        <f>(D38*$I$6*((1+$I$6)^Technology!$J$8)*(1/(((1+$I$6)^Technology!$J$8)-1))*(1/8760*(1/(Trend!D46/100))))+Trend!D64+Trend!D28</f>
        <v>0.1474134484301694</v>
      </c>
      <c r="E14" s="43">
        <f>(E38*$I$6*((1+$I$6)^Technology!$J$8)*(1/(((1+$I$6)^Technology!$J$8)-1))*(1/8760*(1/(Trend!E46/100))))+Trend!E64+Trend!E28</f>
        <v>0.14391432036765631</v>
      </c>
      <c r="F14" s="43">
        <f>(F38*$I$6*((1+$I$6)^Technology!$J$8)*(1/(((1+$I$6)^Technology!$J$8)-1))*(1/8760*(1/(Trend!F46/100))))+Trend!F64+Trend!F28</f>
        <v>0.14041519230514324</v>
      </c>
      <c r="G14" s="43">
        <f>(G38*$I$6*((1+$I$6)^Technology!$J$8)*(1/(((1+$I$6)^Technology!$J$8)-1))*(1/8760*(1/(Trend!G46/100))))+Trend!G64+Trend!G28</f>
        <v>0.13691606424263014</v>
      </c>
      <c r="H14" s="43">
        <f>(H38*$I$6*((1+$I$6)^Technology!$J$8)*(1/(((1+$I$6)^Technology!$J$8)-1))*(1/8760*(1/(Trend!H46/100))))+Trend!H64+Trend!H28</f>
        <v>0.13341693618011705</v>
      </c>
      <c r="I14" s="43">
        <f>(I38*$I$6*((1+$I$6)^Technology!$J$8)*(1/(((1+$I$6)^Technology!$J$8)-1))*(1/8760*(1/(Trend!I46/100))))+Trend!I64+Trend!I28</f>
        <v>0.12991780811760398</v>
      </c>
      <c r="J14" s="43">
        <f>(J38*$I$6*((1+$I$6)^Technology!$J$8)*(1/(((1+$I$6)^Technology!$J$8)-1))*(1/8760*(1/(Trend!J46/100))))+Trend!J64+Trend!J28</f>
        <v>0.12641868005509088</v>
      </c>
      <c r="K14" s="43">
        <f>(K38*$I$6*((1+$I$6)^Technology!$J$8)*(1/(((1+$I$6)^Technology!$J$8)-1))*(1/8760*(1/(Trend!K46/100))))+Trend!K64+Trend!K28</f>
        <v>0.1229195519925778</v>
      </c>
      <c r="L14" s="43">
        <f>(L38*$I$6*((1+$I$6)^Technology!$J$8)*(1/(((1+$I$6)^Technology!$J$8)-1))*(1/8760*(1/(Trend!L46/100))))+Trend!L64+Trend!L28</f>
        <v>0.11942042393006473</v>
      </c>
      <c r="M14" s="43">
        <f>(M38*$I$6*((1+$I$6)^Technology!$J$8)*(1/(((1+$I$6)^Technology!$J$8)-1))*(1/8760*(1/(Trend!M46/100))))+Trend!M64+Trend!M28</f>
        <v>0.11592129586755164</v>
      </c>
      <c r="N14" s="43">
        <f>(N38*$I$6*((1+$I$6)^Technology!$J$8)*(1/(((1+$I$6)^Technology!$J$8)-1))*(1/8760*(1/(Trend!N46/100))))+Trend!N64+Trend!N28</f>
        <v>0.11242216780503854</v>
      </c>
      <c r="O14" s="43">
        <f>(O38*$I$6*((1+$I$6)^Technology!$J$8)*(1/(((1+$I$6)^Technology!$J$8)-1))*(1/8760*(1/(Trend!O46/100))))+Trend!O64+Trend!O28</f>
        <v>0.11139520066334992</v>
      </c>
      <c r="P14" s="43">
        <f>(P38*$I$6*((1+$I$6)^Technology!$J$8)*(1/(((1+$I$6)^Technology!$J$8)-1))*(1/8760*(1/(Trend!P46/100))))+Trend!P64+Trend!P28</f>
        <v>0.11036823352166128</v>
      </c>
      <c r="Q14" s="43">
        <f>(Q38*$I$6*((1+$I$6)^Technology!$J$8)*(1/(((1+$I$6)^Technology!$J$8)-1))*(1/8760*(1/(Trend!Q46/100))))+Trend!Q64+Trend!Q28</f>
        <v>0.10934126637997268</v>
      </c>
      <c r="R14" s="43">
        <f>(R38*$I$6*((1+$I$6)^Technology!$J$8)*(1/(((1+$I$6)^Technology!$J$8)-1))*(1/8760*(1/(Trend!R46/100))))+Trend!R64+Trend!R28</f>
        <v>0.10831429923828408</v>
      </c>
      <c r="S14" s="43">
        <f>(S38*$I$6*((1+$I$6)^Technology!$J$8)*(1/(((1+$I$6)^Technology!$J$8)-1))*(1/8760*(1/(Trend!S46/100))))+Trend!S64+Trend!S28</f>
        <v>0.10728733209659544</v>
      </c>
      <c r="T14" s="43">
        <f>(T38*$I$6*((1+$I$6)^Technology!$J$8)*(1/(((1+$I$6)^Technology!$J$8)-1))*(1/8760*(1/(Trend!T46/100))))+Trend!T64+Trend!T28</f>
        <v>0.10626036495490683</v>
      </c>
      <c r="U14" s="43">
        <f>(U38*$I$6*((1+$I$6)^Technology!$J$8)*(1/(((1+$I$6)^Technology!$J$8)-1))*(1/8760*(1/(Trend!U46/100))))+Trend!U64+Trend!U28</f>
        <v>0.10523339781321819</v>
      </c>
      <c r="V14" s="43">
        <f>(V38*$I$6*((1+$I$6)^Technology!$J$8)*(1/(((1+$I$6)^Technology!$J$8)-1))*(1/8760*(1/(Trend!V46/100))))+Trend!V64+Trend!V28</f>
        <v>0.10420643067152957</v>
      </c>
      <c r="W14" s="43">
        <f>(W38*$I$6*((1+$I$6)^Technology!$J$8)*(1/(((1+$I$6)^Technology!$J$8)-1))*(1/8760*(1/(Trend!W46/100))))+Trend!W64+Trend!W28</f>
        <v>0.10317946352984096</v>
      </c>
      <c r="X14" s="43">
        <f>(X38*$I$6*((1+$I$6)^Technology!$J$8)*(1/(((1+$I$6)^Technology!$J$8)-1))*(1/8760*(1/(Trend!X46/100))))+Trend!X64+Trend!X28</f>
        <v>0.10215249638815234</v>
      </c>
      <c r="Y14" s="43">
        <f>(Y38*$I$6*((1+$I$6)^Technology!$J$8)*(1/(((1+$I$6)^Technology!$J$8)-1))*(1/8760*(1/(Trend!Y46/100))))+Trend!Y64+Trend!Y28</f>
        <v>0.10112552924646373</v>
      </c>
      <c r="Z14" s="43">
        <f>(Z38*$I$6*((1+$I$6)^Technology!$J$8)*(1/(((1+$I$6)^Technology!$J$8)-1))*(1/8760*(1/(Trend!Z46/100))))+Trend!Z64+Trend!Z28</f>
        <v>0.10009856210477509</v>
      </c>
      <c r="AA14" s="43">
        <f>(AA38*$I$6*((1+$I$6)^Technology!$J$8)*(1/(((1+$I$6)^Technology!$J$8)-1))*(1/8760*(1/(Trend!AA46/100))))+Trend!AA64+Trend!AA28</f>
        <v>9.9071594963086484E-2</v>
      </c>
      <c r="AB14" s="43">
        <f>(AB38*$I$6*((1+$I$6)^Technology!$J$8)*(1/(((1+$I$6)^Technology!$J$8)-1))*(1/8760*(1/(Trend!AB46/100))))+Trend!AB64+Trend!AB28</f>
        <v>9.8044627821397848E-2</v>
      </c>
      <c r="AC14" s="43">
        <f>(AC38*$I$6*((1+$I$6)^Technology!$J$8)*(1/(((1+$I$6)^Technology!$J$8)-1))*(1/8760*(1/(Trend!AC46/100))))+Trend!AC64+Trend!AC28</f>
        <v>9.7017660679709239E-2</v>
      </c>
      <c r="AD14" s="43">
        <f>(AD38*$I$6*((1+$I$6)^Technology!$J$8)*(1/(((1+$I$6)^Technology!$J$8)-1))*(1/8760*(1/(Trend!AD46/100))))+Trend!AD64+Trend!AD28</f>
        <v>9.5990693538020602E-2</v>
      </c>
      <c r="AE14" s="43">
        <f>(AE38*$I$6*((1+$I$6)^Technology!$J$8)*(1/(((1+$I$6)^Technology!$J$8)-1))*(1/8760*(1/(Trend!AE46/100))))+Trend!AE64+Trend!AE28</f>
        <v>9.4963726396331993E-2</v>
      </c>
      <c r="AF14" s="43">
        <f>(AF38*$I$6*((1+$I$6)^Technology!$J$8)*(1/(((1+$I$6)^Technology!$J$8)-1))*(1/8760*(1/(Trend!AF46/100))))+Trend!AF64+Trend!AF28</f>
        <v>9.3936759254643384E-2</v>
      </c>
      <c r="AG14" s="43">
        <f>(AG38*$I$6*((1+$I$6)^Technology!$J$8)*(1/(((1+$I$6)^Technology!$J$8)-1))*(1/8760*(1/(Trend!AG46/100))))+Trend!AG64+Trend!AG28</f>
        <v>9.2909792112954762E-2</v>
      </c>
      <c r="AH14" s="43">
        <f>(AH38*$I$6*((1+$I$6)^Technology!$J$8)*(1/(((1+$I$6)^Technology!$J$8)-1))*(1/8760*(1/(Trend!AH46/100))))+Trend!AH64+Trend!AH28</f>
        <v>9.1882824971266125E-2</v>
      </c>
      <c r="AI14" s="40" t="s">
        <v>99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</row>
    <row r="15" spans="1:172">
      <c r="A15" s="1"/>
      <c r="B15" s="15" t="s">
        <v>56</v>
      </c>
      <c r="C15" s="43">
        <f>(C39*$I$6*((1+$I$6)^Technology!$K$8)*(1/(((1+$I$6)^Technology!$K$8)-1))*(1/8760*(1/(Trend!C47/100))))+Trend!C65+Trend!C29</f>
        <v>6.0279486201490443E-2</v>
      </c>
      <c r="D15" s="43">
        <f>(D39*$I$6*((1+$I$6)^Technology!$K$8)*(1/(((1+$I$6)^Technology!$K$8)-1))*(1/8760*(1/(Trend!D47/100))))+Trend!D65+Trend!D29</f>
        <v>5.9691165578208277E-2</v>
      </c>
      <c r="E15" s="43">
        <f>(E39*$I$6*((1+$I$6)^Technology!$K$8)*(1/(((1+$I$6)^Technology!$K$8)-1))*(1/8760*(1/(Trend!E47/100))))+Trend!E65+Trend!E29</f>
        <v>5.9116001276679292E-2</v>
      </c>
      <c r="F15" s="43">
        <f>(F39*$I$6*((1+$I$6)^Technology!$K$8)*(1/(((1+$I$6)^Technology!$K$8)-1))*(1/8760*(1/(Trend!F47/100))))+Trend!F65+Trend!F29</f>
        <v>5.8553524126439799E-2</v>
      </c>
      <c r="G15" s="43">
        <f>(G39*$I$6*((1+$I$6)^Technology!$K$8)*(1/(((1+$I$6)^Technology!$K$8)-1))*(1/8760*(1/(Trend!G47/100))))+Trend!G65+Trend!G29</f>
        <v>5.8003287003215269E-2</v>
      </c>
      <c r="H15" s="43">
        <f>(H39*$I$6*((1+$I$6)^Technology!$K$8)*(1/(((1+$I$6)^Technology!$K$8)-1))*(1/8760*(1/(Trend!H47/100))))+Trend!H65+Trend!H29</f>
        <v>5.746486354902549E-2</v>
      </c>
      <c r="I15" s="43">
        <f>(I39*$I$6*((1+$I$6)^Technology!$K$8)*(1/(((1+$I$6)^Technology!$K$8)-1))*(1/8760*(1/(Trend!I47/100))))+Trend!I65+Trend!I29</f>
        <v>5.6937846980431708E-2</v>
      </c>
      <c r="J15" s="43">
        <f>(J39*$I$6*((1+$I$6)^Technology!$K$8)*(1/(((1+$I$6)^Technology!$K$8)-1))*(1/8760*(1/(Trend!J47/100))))+Trend!J65+Trend!J29</f>
        <v>5.6421848977924224E-2</v>
      </c>
      <c r="K15" s="43">
        <f>(K39*$I$6*((1+$I$6)^Technology!$K$8)*(1/(((1+$I$6)^Technology!$K$8)-1))*(1/8760*(1/(Trend!K47/100))))+Trend!K65+Trend!K29</f>
        <v>5.5916498650078021E-2</v>
      </c>
      <c r="L15" s="43">
        <f>(L39*$I$6*((1+$I$6)^Technology!$K$8)*(1/(((1+$I$6)^Technology!$K$8)-1))*(1/8760*(1/(Trend!L47/100))))+Trend!L65+Trend!L29</f>
        <v>5.5421441566668547E-2</v>
      </c>
      <c r="M15" s="43">
        <f>(M39*$I$6*((1+$I$6)^Technology!$K$8)*(1/(((1+$I$6)^Technology!$K$8)-1))*(1/8760*(1/(Trend!M47/100))))+Trend!M65+Trend!M29</f>
        <v>5.493633885545101E-2</v>
      </c>
      <c r="N15" s="43">
        <f>(N39*$I$6*((1+$I$6)^Technology!$K$8)*(1/(((1+$I$6)^Technology!$K$8)-1))*(1/8760*(1/(Trend!N47/100))))+Trend!N65+Trend!N29</f>
        <v>5.4460866357765141E-2</v>
      </c>
      <c r="O15" s="43">
        <f>(O39*$I$6*((1+$I$6)^Technology!$K$8)*(1/(((1+$I$6)^Technology!$K$8)-1))*(1/8760*(1/(Trend!O47/100))))+Trend!O65+Trend!O29</f>
        <v>5.4233565409267097E-2</v>
      </c>
      <c r="P15" s="43">
        <f>(P39*$I$6*((1+$I$6)^Technology!$K$8)*(1/(((1+$I$6)^Technology!$K$8)-1))*(1/8760*(1/(Trend!P47/100))))+Trend!P65+Trend!P29</f>
        <v>5.4008407692014392E-2</v>
      </c>
      <c r="Q15" s="43">
        <f>(Q39*$I$6*((1+$I$6)^Technology!$K$8)*(1/(((1+$I$6)^Technology!$K$8)-1))*(1/8760*(1/(Trend!Q47/100))))+Trend!Q65+Trend!Q29</f>
        <v>5.3785355495193289E-2</v>
      </c>
      <c r="R15" s="43">
        <f>(R39*$I$6*((1+$I$6)^Technology!$K$8)*(1/(((1+$I$6)^Technology!$K$8)-1))*(1/8760*(1/(Trend!R47/100))))+Trend!R65+Trend!R29</f>
        <v>5.3564371987542644E-2</v>
      </c>
      <c r="S15" s="43">
        <f>(S39*$I$6*((1+$I$6)^Technology!$K$8)*(1/(((1+$I$6)^Technology!$K$8)-1))*(1/8760*(1/(Trend!S47/100))))+Trend!S65+Trend!S29</f>
        <v>5.3345421191859463E-2</v>
      </c>
      <c r="T15" s="43">
        <f>(T39*$I$6*((1+$I$6)^Technology!$K$8)*(1/(((1+$I$6)^Technology!$K$8)-1))*(1/8760*(1/(Trend!T47/100))))+Trend!T65+Trend!T29</f>
        <v>5.312846796038638E-2</v>
      </c>
      <c r="U15" s="43">
        <f>(U39*$I$6*((1+$I$6)^Technology!$K$8)*(1/(((1+$I$6)^Technology!$K$8)-1))*(1/8760*(1/(Trend!U47/100))))+Trend!U65+Trend!U29</f>
        <v>5.2913477951045271E-2</v>
      </c>
      <c r="V15" s="43">
        <f>(V39*$I$6*((1+$I$6)^Technology!$K$8)*(1/(((1+$I$6)^Technology!$K$8)-1))*(1/8760*(1/(Trend!V47/100))))+Trend!V65+Trend!V29</f>
        <v>5.2700417604483497E-2</v>
      </c>
      <c r="W15" s="43">
        <f>(W39*$I$6*((1+$I$6)^Technology!$K$8)*(1/(((1+$I$6)^Technology!$K$8)-1))*(1/8760*(1/(Trend!W47/100))))+Trend!W65+Trend!W29</f>
        <v>5.2489254121900246E-2</v>
      </c>
      <c r="X15" s="43">
        <f>(X39*$I$6*((1+$I$6)^Technology!$K$8)*(1/(((1+$I$6)^Technology!$K$8)-1))*(1/8760*(1/(Trend!X47/100))))+Trend!X65+Trend!X29</f>
        <v>5.2279955443622655E-2</v>
      </c>
      <c r="Y15" s="43">
        <f>(Y39*$I$6*((1+$I$6)^Technology!$K$8)*(1/(((1+$I$6)^Technology!$K$8)-1))*(1/8760*(1/(Trend!Y47/100))))+Trend!Y65+Trend!Y29</f>
        <v>5.2072490228401866E-2</v>
      </c>
      <c r="Z15" s="43">
        <f>(Z39*$I$6*((1+$I$6)^Technology!$K$8)*(1/(((1+$I$6)^Technology!$K$8)-1))*(1/8760*(1/(Trend!Z47/100))))+Trend!Z65+Trend!Z29</f>
        <v>5.1866827833401304E-2</v>
      </c>
      <c r="AA15" s="43">
        <f>(AA39*$I$6*((1+$I$6)^Technology!$K$8)*(1/(((1+$I$6)^Technology!$K$8)-1))*(1/8760*(1/(Trend!AA47/100))))+Trend!AA65+Trend!AA29</f>
        <v>5.1662938294849969E-2</v>
      </c>
      <c r="AB15" s="43">
        <f>(AB39*$I$6*((1+$I$6)^Technology!$K$8)*(1/(((1+$I$6)^Technology!$K$8)-1))*(1/8760*(1/(Trend!AB47/100))))+Trend!AB65+Trend!AB29</f>
        <v>5.1460792309335493E-2</v>
      </c>
      <c r="AC15" s="43">
        <f>(AC39*$I$6*((1+$I$6)^Technology!$K$8)*(1/(((1+$I$6)^Technology!$K$8)-1))*(1/8760*(1/(Trend!AC47/100))))+Trend!AC65+Trend!AC29</f>
        <v>5.1260361215712064E-2</v>
      </c>
      <c r="AD15" s="43">
        <f>(AD39*$I$6*((1+$I$6)^Technology!$K$8)*(1/(((1+$I$6)^Technology!$K$8)-1))*(1/8760*(1/(Trend!AD47/100))))+Trend!AD65+Trend!AD29</f>
        <v>5.1061616977599998E-2</v>
      </c>
      <c r="AE15" s="43">
        <f>(AE39*$I$6*((1+$I$6)^Technology!$K$8)*(1/(((1+$I$6)^Technology!$K$8)-1))*(1/8760*(1/(Trend!AE47/100))))+Trend!AE65+Trend!AE29</f>
        <v>5.0864532166454375E-2</v>
      </c>
      <c r="AF15" s="43">
        <f>(AF39*$I$6*((1+$I$6)^Technology!$K$8)*(1/(((1+$I$6)^Technology!$K$8)-1))*(1/8760*(1/(Trend!AF47/100))))+Trend!AF65+Trend!AF29</f>
        <v>5.0669079945181425E-2</v>
      </c>
      <c r="AG15" s="43">
        <f>(AG39*$I$6*((1+$I$6)^Technology!$K$8)*(1/(((1+$I$6)^Technology!$K$8)-1))*(1/8760*(1/(Trend!AG47/100))))+Trend!AG65+Trend!AG29</f>
        <v>5.0475234052281825E-2</v>
      </c>
      <c r="AH15" s="43">
        <f>(AH39*$I$6*((1+$I$6)^Technology!$K$8)*(1/(((1+$I$6)^Technology!$K$8)-1))*(1/8760*(1/(Trend!AH47/100))))+Trend!AH65+Trend!AH29</f>
        <v>5.0282968786501625E-2</v>
      </c>
      <c r="AI15" s="40" t="s">
        <v>100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</row>
    <row r="16" spans="1:172">
      <c r="A16" s="1"/>
      <c r="B16" s="15" t="s">
        <v>59</v>
      </c>
      <c r="C16" s="43">
        <f>(C40*$I$6*((1+$I$6)^Technology!$L$8)*(1/(((1+$I$6)^Technology!$L$8)-1))*(1/8760*(1/(Trend!C48/100))))+Trend!C66+Trend!C30</f>
        <v>0.17269638609840202</v>
      </c>
      <c r="D16" s="43">
        <f>(D40*$I$6*((1+$I$6)^Technology!$L$8)*(1/(((1+$I$6)^Technology!$L$8)-1))*(1/8760*(1/(Trend!D48/100))))+Trend!D66+Trend!D30</f>
        <v>0.16793133449039258</v>
      </c>
      <c r="E16" s="43">
        <f>(E40*$I$6*((1+$I$6)^Technology!$L$8)*(1/(((1+$I$6)^Technology!$L$8)-1))*(1/8760*(1/(Trend!E48/100))))+Trend!E66+Trend!E30</f>
        <v>0.16319749570578129</v>
      </c>
      <c r="F16" s="43">
        <f>(F40*$I$6*((1+$I$6)^Technology!$L$8)*(1/(((1+$I$6)^Technology!$L$8)-1))*(1/8760*(1/(Trend!F48/100))))+Trend!F66+Trend!F30</f>
        <v>0.15849456138517126</v>
      </c>
      <c r="G16" s="43">
        <f>(G40*$I$6*((1+$I$6)^Technology!$L$8)*(1/(((1+$I$6)^Technology!$L$8)-1))*(1/8760*(1/(Trend!G48/100))))+Trend!G66+Trend!G30</f>
        <v>0.15382222721764793</v>
      </c>
      <c r="H16" s="43">
        <f>(H40*$I$6*((1+$I$6)^Technology!$L$8)*(1/(((1+$I$6)^Technology!$L$8)-1))*(1/8760*(1/(Trend!H48/100))))+Trend!H66+Trend!H30</f>
        <v>0.14918019287455495</v>
      </c>
      <c r="I16" s="43">
        <f>(I40*$I$6*((1+$I$6)^Technology!$L$8)*(1/(((1+$I$6)^Technology!$L$8)-1))*(1/8760*(1/(Trend!I48/100))))+Trend!I66+Trend!I30</f>
        <v>0.14456816194456634</v>
      </c>
      <c r="J16" s="43">
        <f>(J40*$I$6*((1+$I$6)^Technology!$L$8)*(1/(((1+$I$6)^Technology!$L$8)-1))*(1/8760*(1/(Trend!J48/100))))+Trend!J66+Trend!J30</f>
        <v>0.13998584187002464</v>
      </c>
      <c r="K16" s="43">
        <f>(K40*$I$6*((1+$I$6)^Technology!$L$8)*(1/(((1+$I$6)^Technology!$L$8)-1))*(1/8760*(1/(Trend!K48/100))))+Trend!K66+Trend!K30</f>
        <v>0.1354329438845161</v>
      </c>
      <c r="L16" s="43">
        <f>(L40*$I$6*((1+$I$6)^Technology!$L$8)*(1/(((1+$I$6)^Technology!$L$8)-1))*(1/8760*(1/(Trend!L48/100))))+Trend!L66+Trend!L30</f>
        <v>0.13090918295165627</v>
      </c>
      <c r="M16" s="43">
        <f>(M40*$I$6*((1+$I$6)^Technology!$L$8)*(1/(((1+$I$6)^Technology!$L$8)-1))*(1/8760*(1/(Trend!M48/100))))+Trend!M66+Trend!M30</f>
        <v>0.12641427770505667</v>
      </c>
      <c r="N16" s="43">
        <f>(N40*$I$6*((1+$I$6)^Technology!$L$8)*(1/(((1+$I$6)^Technology!$L$8)-1))*(1/8760*(1/(Trend!N48/100))))+Trend!N66+Trend!N30</f>
        <v>0.12194795038944874</v>
      </c>
      <c r="O16" s="43">
        <f>(O40*$I$6*((1+$I$6)^Technology!$L$8)*(1/(((1+$I$6)^Technology!$L$8)-1))*(1/8760*(1/(Trend!O48/100))))+Trend!O66+Trend!O30</f>
        <v>0.12092149438740138</v>
      </c>
      <c r="P16" s="43">
        <f>(P40*$I$6*((1+$I$6)^Technology!$L$8)*(1/(((1+$I$6)^Technology!$L$8)-1))*(1/8760*(1/(Trend!P48/100))))+Trend!P66+Trend!P30</f>
        <v>0.11989854805893881</v>
      </c>
      <c r="Q16" s="43">
        <f>(Q40*$I$6*((1+$I$6)^Technology!$L$8)*(1/(((1+$I$6)^Technology!$L$8)-1))*(1/8760*(1/(Trend!Q48/100))))+Trend!Q66+Trend!Q30</f>
        <v>0.11887909292128604</v>
      </c>
      <c r="R16" s="43">
        <f>(R40*$I$6*((1+$I$6)^Technology!$L$8)*(1/(((1+$I$6)^Technology!$L$8)-1))*(1/8760*(1/(Trend!R48/100))))+Trend!R66+Trend!R30</f>
        <v>0.11786311062122047</v>
      </c>
      <c r="S16" s="43">
        <f>(S40*$I$6*((1+$I$6)^Technology!$L$8)*(1/(((1+$I$6)^Technology!$L$8)-1))*(1/8760*(1/(Trend!S48/100))))+Trend!S66+Trend!S30</f>
        <v>0.11685058293393838</v>
      </c>
      <c r="T16" s="43">
        <f>(T40*$I$6*((1+$I$6)^Technology!$L$8)*(1/(((1+$I$6)^Technology!$L$8)-1))*(1/8760*(1/(Trend!T48/100))))+Trend!T66+Trend!T30</f>
        <v>0.11584149176193392</v>
      </c>
      <c r="U16" s="43">
        <f>(U40*$I$6*((1+$I$6)^Technology!$L$8)*(1/(((1+$I$6)^Technology!$L$8)-1))*(1/8760*(1/(Trend!U48/100))))+Trend!U66+Trend!U30</f>
        <v>0.1148358191338896</v>
      </c>
      <c r="V16" s="43">
        <f>(V40*$I$6*((1+$I$6)^Technology!$L$8)*(1/(((1+$I$6)^Technology!$L$8)-1))*(1/8760*(1/(Trend!V48/100))))+Trend!V66+Trend!V30</f>
        <v>0.11383354720357813</v>
      </c>
      <c r="W16" s="43">
        <f>(W40*$I$6*((1+$I$6)^Technology!$L$8)*(1/(((1+$I$6)^Technology!$L$8)-1))*(1/8760*(1/(Trend!W48/100))))+Trend!W66+Trend!W30</f>
        <v>0.11283465824877634</v>
      </c>
      <c r="X16" s="43">
        <f>(X40*$I$6*((1+$I$6)^Technology!$L$8)*(1/(((1+$I$6)^Technology!$L$8)-1))*(1/8760*(1/(Trend!X48/100))))+Trend!X66+Trend!X30</f>
        <v>0.11183913467018965</v>
      </c>
      <c r="Y16" s="43">
        <f>(Y40*$I$6*((1+$I$6)^Technology!$L$8)*(1/(((1+$I$6)^Technology!$L$8)-1))*(1/8760*(1/(Trend!Y48/100))))+Trend!Y66+Trend!Y30</f>
        <v>0.11084695899038817</v>
      </c>
      <c r="Z16" s="43">
        <f>(Z40*$I$6*((1+$I$6)^Technology!$L$8)*(1/(((1+$I$6)^Technology!$L$8)-1))*(1/8760*(1/(Trend!Z48/100))))+Trend!Z66+Trend!Z30</f>
        <v>0.10985811385275381</v>
      </c>
      <c r="AA16" s="43">
        <f>(AA40*$I$6*((1+$I$6)^Technology!$L$8)*(1/(((1+$I$6)^Technology!$L$8)-1))*(1/8760*(1/(Trend!AA48/100))))+Trend!AA66+Trend!AA30</f>
        <v>0.10887258202043804</v>
      </c>
      <c r="AB16" s="43">
        <f>(AB40*$I$6*((1+$I$6)^Technology!$L$8)*(1/(((1+$I$6)^Technology!$L$8)-1))*(1/8760*(1/(Trend!AB48/100))))+Trend!AB66+Trend!AB30</f>
        <v>0.10789034637533075</v>
      </c>
      <c r="AC16" s="43">
        <f>(AC40*$I$6*((1+$I$6)^Technology!$L$8)*(1/(((1+$I$6)^Technology!$L$8)-1))*(1/8760*(1/(Trend!AC48/100))))+Trend!AC66+Trend!AC30</f>
        <v>0.10691138991703951</v>
      </c>
      <c r="AD16" s="43">
        <f>(AD40*$I$6*((1+$I$6)^Technology!$L$8)*(1/(((1+$I$6)^Technology!$L$8)-1))*(1/8760*(1/(Trend!AD48/100))))+Trend!AD66+Trend!AD30</f>
        <v>0.10593569576187928</v>
      </c>
      <c r="AE16" s="43">
        <f>(AE40*$I$6*((1+$I$6)^Technology!$L$8)*(1/(((1+$I$6)^Technology!$L$8)-1))*(1/8760*(1/(Trend!AE48/100))))+Trend!AE66+Trend!AE30</f>
        <v>0.10496324714187283</v>
      </c>
      <c r="AF16" s="43">
        <f>(AF40*$I$6*((1+$I$6)^Technology!$L$8)*(1/(((1+$I$6)^Technology!$L$8)-1))*(1/8760*(1/(Trend!AF48/100))))+Trend!AF66+Trend!AF30</f>
        <v>0.10399402740376107</v>
      </c>
      <c r="AG16" s="43">
        <f>(AG40*$I$6*((1+$I$6)^Technology!$L$8)*(1/(((1+$I$6)^Technology!$L$8)-1))*(1/8760*(1/(Trend!AG48/100))))+Trend!AG66+Trend!AG30</f>
        <v>0.1030280200080238</v>
      </c>
      <c r="AH16" s="43">
        <f>(AH40*$I$6*((1+$I$6)^Technology!$L$8)*(1/(((1+$I$6)^Technology!$L$8)-1))*(1/8760*(1/(Trend!AH48/100))))+Trend!AH66+Trend!AH30</f>
        <v>0.10206520852791025</v>
      </c>
      <c r="AI16" s="40" t="s">
        <v>101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</row>
    <row r="17" spans="1:172">
      <c r="A17" s="1"/>
      <c r="B17" s="15" t="s">
        <v>5</v>
      </c>
      <c r="C17" s="43">
        <f>(C41*$I$6*((1+$I$6)^Technology!$M$8)*(1/(((1+$I$6)^Technology!$M$8)-1))*(1/8760*(1/(Trend!C49/100))))+Trend!C67+Trend!C31-Technology!$M$10</f>
        <v>5.6727314203533816E-2</v>
      </c>
      <c r="D17" s="43">
        <f>(D41*$I$6*((1+$I$6)^Technology!$M$8)*(1/(((1+$I$6)^Technology!$M$8)-1))*(1/8760*(1/(Trend!D49/100))))+Trend!D67+Trend!D31-Technology!$M$10</f>
        <v>5.6509571859262031E-2</v>
      </c>
      <c r="E17" s="43">
        <f>(E41*$I$6*((1+$I$6)^Technology!$M$8)*(1/(((1+$I$6)^Technology!$M$8)-1))*(1/8760*(1/(Trend!E49/100))))+Trend!E67+Trend!E31-Technology!$M$10</f>
        <v>5.6291829514990274E-2</v>
      </c>
      <c r="F17" s="43">
        <f>(F41*$I$6*((1+$I$6)^Technology!$M$8)*(1/(((1+$I$6)^Technology!$M$8)-1))*(1/8760*(1/(Trend!F49/100))))+Trend!F67+Trend!F31-Technology!$M$10</f>
        <v>5.6074087170718517E-2</v>
      </c>
      <c r="G17" s="43">
        <f>(G41*$I$6*((1+$I$6)^Technology!$M$8)*(1/(((1+$I$6)^Technology!$M$8)-1))*(1/8760*(1/(Trend!G49/100))))+Trend!G67+Trend!G31-Technology!$M$10</f>
        <v>5.5856344826446747E-2</v>
      </c>
      <c r="H17" s="43">
        <f>(H41*$I$6*((1+$I$6)^Technology!$M$8)*(1/(((1+$I$6)^Technology!$M$8)-1))*(1/8760*(1/(Trend!H49/100))))+Trend!H67+Trend!H31-Technology!$M$10</f>
        <v>5.5638602482174976E-2</v>
      </c>
      <c r="I17" s="43">
        <f>(I41*$I$6*((1+$I$6)^Technology!$M$8)*(1/(((1+$I$6)^Technology!$M$8)-1))*(1/8760*(1/(Trend!I49/100))))+Trend!I67+Trend!I31-Technology!$M$10</f>
        <v>5.5420860137903205E-2</v>
      </c>
      <c r="J17" s="43">
        <f>(J41*$I$6*((1+$I$6)^Technology!$M$8)*(1/(((1+$I$6)^Technology!$M$8)-1))*(1/8760*(1/(Trend!J49/100))))+Trend!J67+Trend!J31-Technology!$M$10</f>
        <v>5.5203117793631448E-2</v>
      </c>
      <c r="K17" s="43">
        <f>(K41*$I$6*((1+$I$6)^Technology!$M$8)*(1/(((1+$I$6)^Technology!$M$8)-1))*(1/8760*(1/(Trend!K49/100))))+Trend!K67+Trend!K31-Technology!$M$10</f>
        <v>5.4985375449359677E-2</v>
      </c>
      <c r="L17" s="43">
        <f>(L41*$I$6*((1+$I$6)^Technology!$M$8)*(1/(((1+$I$6)^Technology!$M$8)-1))*(1/8760*(1/(Trend!L49/100))))+Trend!L67+Trend!L31-Technology!$M$10</f>
        <v>5.4767633105087907E-2</v>
      </c>
      <c r="M17" s="43">
        <f>(M41*$I$6*((1+$I$6)^Technology!$M$8)*(1/(((1+$I$6)^Technology!$M$8)-1))*(1/8760*(1/(Trend!M49/100))))+Trend!M67+Trend!M31-Technology!$M$10</f>
        <v>5.4549890760816136E-2</v>
      </c>
      <c r="N17" s="43">
        <f>(N41*$I$6*((1+$I$6)^Technology!$M$8)*(1/(((1+$I$6)^Technology!$M$8)-1))*(1/8760*(1/(Trend!N49/100))))+Trend!N67+Trend!N31-Technology!$M$10</f>
        <v>5.4332148416544379E-2</v>
      </c>
      <c r="O17" s="43">
        <f>(O41*$I$6*((1+$I$6)^Technology!$M$8)*(1/(((1+$I$6)^Technology!$M$8)-1))*(1/8760*(1/(Trend!O49/100))))+Trend!O67+Trend!O31-Technology!$M$10</f>
        <v>5.4033415561930934E-2</v>
      </c>
      <c r="P17" s="43">
        <f>(P41*$I$6*((1+$I$6)^Technology!$M$8)*(1/(((1+$I$6)^Technology!$M$8)-1))*(1/8760*(1/(Trend!P49/100))))+Trend!P67+Trend!P31-Technology!$M$10</f>
        <v>5.3734682707317474E-2</v>
      </c>
      <c r="Q17" s="43">
        <f>(Q41*$I$6*((1+$I$6)^Technology!$M$8)*(1/(((1+$I$6)^Technology!$M$8)-1))*(1/8760*(1/(Trend!Q49/100))))+Trend!Q67+Trend!Q31-Technology!$M$10</f>
        <v>5.3435949852704057E-2</v>
      </c>
      <c r="R17" s="43">
        <f>(R41*$I$6*((1+$I$6)^Technology!$M$8)*(1/(((1+$I$6)^Technology!$M$8)-1))*(1/8760*(1/(Trend!R49/100))))+Trend!R67+Trend!R31-Technology!$M$10</f>
        <v>5.3137216998090611E-2</v>
      </c>
      <c r="S17" s="43">
        <f>(S41*$I$6*((1+$I$6)^Technology!$M$8)*(1/(((1+$I$6)^Technology!$M$8)-1))*(1/8760*(1/(Trend!S49/100))))+Trend!S67+Trend!S31-Technology!$M$10</f>
        <v>5.2838484143477166E-2</v>
      </c>
      <c r="T17" s="43">
        <f>(T41*$I$6*((1+$I$6)^Technology!$M$8)*(1/(((1+$I$6)^Technology!$M$8)-1))*(1/8760*(1/(Trend!T49/100))))+Trend!T67+Trend!T31-Technology!$M$10</f>
        <v>5.2539751288863706E-2</v>
      </c>
      <c r="U17" s="43">
        <f>(U41*$I$6*((1+$I$6)^Technology!$M$8)*(1/(((1+$I$6)^Technology!$M$8)-1))*(1/8760*(1/(Trend!U49/100))))+Trend!U67+Trend!U31-Technology!$M$10</f>
        <v>5.2241018434250261E-2</v>
      </c>
      <c r="V17" s="43">
        <f>(V41*$I$6*((1+$I$6)^Technology!$M$8)*(1/(((1+$I$6)^Technology!$M$8)-1))*(1/8760*(1/(Trend!V49/100))))+Trend!V67+Trend!V31-Technology!$M$10</f>
        <v>5.1942285579636843E-2</v>
      </c>
      <c r="W17" s="43">
        <f>(W41*$I$6*((1+$I$6)^Technology!$M$8)*(1/(((1+$I$6)^Technology!$M$8)-1))*(1/8760*(1/(Trend!W49/100))))+Trend!W67+Trend!W31-Technology!$M$10</f>
        <v>5.1643552725023398E-2</v>
      </c>
      <c r="X17" s="43">
        <f>(X41*$I$6*((1+$I$6)^Technology!$M$8)*(1/(((1+$I$6)^Technology!$M$8)-1))*(1/8760*(1/(Trend!X49/100))))+Trend!X67+Trend!X31-Technology!$M$10</f>
        <v>5.1344819870409952E-2</v>
      </c>
      <c r="Y17" s="43">
        <f>(Y41*$I$6*((1+$I$6)^Technology!$M$8)*(1/(((1+$I$6)^Technology!$M$8)-1))*(1/8760*(1/(Trend!Y49/100))))+Trend!Y67+Trend!Y31-Technology!$M$10</f>
        <v>5.1046087015796507E-2</v>
      </c>
      <c r="Z17" s="43">
        <f>(Z41*$I$6*((1+$I$6)^Technology!$M$8)*(1/(((1+$I$6)^Technology!$M$8)-1))*(1/8760*(1/(Trend!Z49/100))))+Trend!Z67+Trend!Z31-Technology!$M$10</f>
        <v>5.0747354161183061E-2</v>
      </c>
      <c r="AA17" s="43">
        <f>(AA41*$I$6*((1+$I$6)^Technology!$M$8)*(1/(((1+$I$6)^Technology!$M$8)-1))*(1/8760*(1/(Trend!AA49/100))))+Trend!AA67+Trend!AA31-Technology!$M$10</f>
        <v>5.0448621306569616E-2</v>
      </c>
      <c r="AB17" s="43">
        <f>(AB41*$I$6*((1+$I$6)^Technology!$M$8)*(1/(((1+$I$6)^Technology!$M$8)-1))*(1/8760*(1/(Trend!AB49/100))))+Trend!AB67+Trend!AB31-Technology!$M$10</f>
        <v>5.0149888451956184E-2</v>
      </c>
      <c r="AC17" s="43">
        <f>(AC41*$I$6*((1+$I$6)^Technology!$M$8)*(1/(((1+$I$6)^Technology!$M$8)-1))*(1/8760*(1/(Trend!AC49/100))))+Trend!AC67+Trend!AC31-Technology!$M$10</f>
        <v>4.9851155597342739E-2</v>
      </c>
      <c r="AD17" s="43">
        <f>(AD41*$I$6*((1+$I$6)^Technology!$M$8)*(1/(((1+$I$6)^Technology!$M$8)-1))*(1/8760*(1/(Trend!AD49/100))))+Trend!AD67+Trend!AD31-Technology!$M$10</f>
        <v>4.9552422742729293E-2</v>
      </c>
      <c r="AE17" s="43">
        <f>(AE41*$I$6*((1+$I$6)^Technology!$M$8)*(1/(((1+$I$6)^Technology!$M$8)-1))*(1/8760*(1/(Trend!AE49/100))))+Trend!AE67+Trend!AE31-Technology!$M$10</f>
        <v>4.9253689888115848E-2</v>
      </c>
      <c r="AF17" s="43">
        <f>(AF41*$I$6*((1+$I$6)^Technology!$M$8)*(1/(((1+$I$6)^Technology!$M$8)-1))*(1/8760*(1/(Trend!AF49/100))))+Trend!AF67+Trend!AF31-Technology!$M$10</f>
        <v>4.8954957033502416E-2</v>
      </c>
      <c r="AG17" s="43">
        <f>(AG41*$I$6*((1+$I$6)^Technology!$M$8)*(1/(((1+$I$6)^Technology!$M$8)-1))*(1/8760*(1/(Trend!AG49/100))))+Trend!AG67+Trend!AG31-Technology!$M$10</f>
        <v>4.8656224178888957E-2</v>
      </c>
      <c r="AH17" s="43">
        <f>(AH41*$I$6*((1+$I$6)^Technology!$M$8)*(1/(((1+$I$6)^Technology!$M$8)-1))*(1/8760*(1/(Trend!AH49/100))))+Trend!AH67+Trend!AH31-Technology!$M$10</f>
        <v>4.8357491324275526E-2</v>
      </c>
      <c r="AI17" s="40" t="s">
        <v>5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</row>
    <row r="18" spans="1:172">
      <c r="A18" s="1"/>
      <c r="B18" s="15" t="s">
        <v>6</v>
      </c>
      <c r="C18" s="43">
        <f>(C42*$I$6*((1+$I$6)^Technology!$N$8)*(1/(((1+$I$6)^Technology!$N$8)-1))*(1/8760*(1/(Trend!C50/100))))+Trend!C68+Trend!C32</f>
        <v>0.44188166288937103</v>
      </c>
      <c r="D18" s="43">
        <f>(D42*$I$6*((1+$I$6)^Technology!$N$8)*(1/(((1+$I$6)^Technology!$N$8)-1))*(1/8760*(1/(Trend!D50/100))))+Trend!D68+Trend!D32</f>
        <v>0.44153750306094591</v>
      </c>
      <c r="E18" s="43">
        <f>(E42*$I$6*((1+$I$6)^Technology!$N$8)*(1/(((1+$I$6)^Technology!$N$8)-1))*(1/8760*(1/(Trend!E50/100))))+Trend!E68+Trend!E32</f>
        <v>0.4411933432325208</v>
      </c>
      <c r="F18" s="43">
        <f>(F42*$I$6*((1+$I$6)^Technology!$N$8)*(1/(((1+$I$6)^Technology!$N$8)-1))*(1/8760*(1/(Trend!F50/100))))+Trend!F68+Trend!F32</f>
        <v>0.44084918340409562</v>
      </c>
      <c r="G18" s="43">
        <f>(G42*$I$6*((1+$I$6)^Technology!$N$8)*(1/(((1+$I$6)^Technology!$N$8)-1))*(1/8760*(1/(Trend!G50/100))))+Trend!G68+Trend!G32</f>
        <v>0.44050502357567056</v>
      </c>
      <c r="H18" s="43">
        <f>(H42*$I$6*((1+$I$6)^Technology!$N$8)*(1/(((1+$I$6)^Technology!$N$8)-1))*(1/8760*(1/(Trend!H50/100))))+Trend!H68+Trend!H32</f>
        <v>0.44016086374724539</v>
      </c>
      <c r="I18" s="43">
        <f>(I42*$I$6*((1+$I$6)^Technology!$N$8)*(1/(((1+$I$6)^Technology!$N$8)-1))*(1/8760*(1/(Trend!I50/100))))+Trend!I68+Trend!I32</f>
        <v>0.43981670391882027</v>
      </c>
      <c r="J18" s="43">
        <f>(J42*$I$6*((1+$I$6)^Technology!$N$8)*(1/(((1+$I$6)^Technology!$N$8)-1))*(1/8760*(1/(Trend!J50/100))))+Trend!J68+Trend!J32</f>
        <v>0.43947254409039516</v>
      </c>
      <c r="K18" s="43">
        <f>(K42*$I$6*((1+$I$6)^Technology!$N$8)*(1/(((1+$I$6)^Technology!$N$8)-1))*(1/8760*(1/(Trend!K50/100))))+Trend!K68+Trend!K32</f>
        <v>0.43912838426196998</v>
      </c>
      <c r="L18" s="43">
        <f>(L42*$I$6*((1+$I$6)^Technology!$N$8)*(1/(((1+$I$6)^Technology!$N$8)-1))*(1/8760*(1/(Trend!L50/100))))+Trend!L68+Trend!L32</f>
        <v>0.43878422443354487</v>
      </c>
      <c r="M18" s="43">
        <f>(M42*$I$6*((1+$I$6)^Technology!$N$8)*(1/(((1+$I$6)^Technology!$N$8)-1))*(1/8760*(1/(Trend!M50/100))))+Trend!M68+Trend!M32</f>
        <v>0.43844006460511975</v>
      </c>
      <c r="N18" s="43">
        <f>(N42*$I$6*((1+$I$6)^Technology!$N$8)*(1/(((1+$I$6)^Technology!$N$8)-1))*(1/8760*(1/(Trend!N50/100))))+Trend!N68+Trend!N32</f>
        <v>0.43809590477669463</v>
      </c>
      <c r="O18" s="43">
        <f>(O42*$I$6*((1+$I$6)^Technology!$N$8)*(1/(((1+$I$6)^Technology!$N$8)-1))*(1/8760*(1/(Trend!O50/100))))+Trend!O68+Trend!O32</f>
        <v>0.43782508189801</v>
      </c>
      <c r="P18" s="43">
        <f>(P42*$I$6*((1+$I$6)^Technology!$N$8)*(1/(((1+$I$6)^Technology!$N$8)-1))*(1/8760*(1/(Trend!P50/100))))+Trend!P68+Trend!P32</f>
        <v>0.43755425901932538</v>
      </c>
      <c r="Q18" s="43">
        <f>(Q42*$I$6*((1+$I$6)^Technology!$N$8)*(1/(((1+$I$6)^Technology!$N$8)-1))*(1/8760*(1/(Trend!Q50/100))))+Trend!Q68+Trend!Q32</f>
        <v>0.4372834361406408</v>
      </c>
      <c r="R18" s="43">
        <f>(R42*$I$6*((1+$I$6)^Technology!$N$8)*(1/(((1+$I$6)^Technology!$N$8)-1))*(1/8760*(1/(Trend!R50/100))))+Trend!R68+Trend!R32</f>
        <v>0.43701261326195617</v>
      </c>
      <c r="S18" s="43">
        <f>(S42*$I$6*((1+$I$6)^Technology!$N$8)*(1/(((1+$I$6)^Technology!$N$8)-1))*(1/8760*(1/(Trend!S50/100))))+Trend!S68+Trend!S32</f>
        <v>0.43674179038327154</v>
      </c>
      <c r="T18" s="43">
        <f>(T42*$I$6*((1+$I$6)^Technology!$N$8)*(1/(((1+$I$6)^Technology!$N$8)-1))*(1/8760*(1/(Trend!T50/100))))+Trend!T68+Trend!T32</f>
        <v>0.43647096750458692</v>
      </c>
      <c r="U18" s="43">
        <f>(U42*$I$6*((1+$I$6)^Technology!$N$8)*(1/(((1+$I$6)^Technology!$N$8)-1))*(1/8760*(1/(Trend!U50/100))))+Trend!U68+Trend!U32</f>
        <v>0.43620014462590229</v>
      </c>
      <c r="V18" s="43">
        <f>(V42*$I$6*((1+$I$6)^Technology!$N$8)*(1/(((1+$I$6)^Technology!$N$8)-1))*(1/8760*(1/(Trend!V50/100))))+Trend!V68+Trend!V32</f>
        <v>0.43592932174721771</v>
      </c>
      <c r="W18" s="43">
        <f>(W42*$I$6*((1+$I$6)^Technology!$N$8)*(1/(((1+$I$6)^Technology!$N$8)-1))*(1/8760*(1/(Trend!W50/100))))+Trend!W68+Trend!W32</f>
        <v>0.43565849886853308</v>
      </c>
      <c r="X18" s="43">
        <f>(X42*$I$6*((1+$I$6)^Technology!$N$8)*(1/(((1+$I$6)^Technology!$N$8)-1))*(1/8760*(1/(Trend!X50/100))))+Trend!X68+Trend!X32</f>
        <v>0.43538767598984851</v>
      </c>
      <c r="Y18" s="43">
        <f>(Y42*$I$6*((1+$I$6)^Technology!$N$8)*(1/(((1+$I$6)^Technology!$N$8)-1))*(1/8760*(1/(Trend!Y50/100))))+Trend!Y68+Trend!Y32</f>
        <v>0.43511685311116388</v>
      </c>
      <c r="Z18" s="43">
        <f>(Z42*$I$6*((1+$I$6)^Technology!$N$8)*(1/(((1+$I$6)^Technology!$N$8)-1))*(1/8760*(1/(Trend!Z50/100))))+Trend!Z68+Trend!Z32</f>
        <v>0.43484603023247925</v>
      </c>
      <c r="AA18" s="43">
        <f>(AA42*$I$6*((1+$I$6)^Technology!$N$8)*(1/(((1+$I$6)^Technology!$N$8)-1))*(1/8760*(1/(Trend!AA50/100))))+Trend!AA68+Trend!AA32</f>
        <v>0.43457520735379462</v>
      </c>
      <c r="AB18" s="43">
        <f>(AB42*$I$6*((1+$I$6)^Technology!$N$8)*(1/(((1+$I$6)^Technology!$N$8)-1))*(1/8760*(1/(Trend!AB50/100))))+Trend!AB68+Trend!AB32</f>
        <v>0.43430438447510999</v>
      </c>
      <c r="AC18" s="43">
        <f>(AC42*$I$6*((1+$I$6)^Technology!$N$8)*(1/(((1+$I$6)^Technology!$N$8)-1))*(1/8760*(1/(Trend!AC50/100))))+Trend!AC68+Trend!AC32</f>
        <v>0.43403356159642542</v>
      </c>
      <c r="AD18" s="43">
        <f>(AD42*$I$6*((1+$I$6)^Technology!$N$8)*(1/(((1+$I$6)^Technology!$N$8)-1))*(1/8760*(1/(Trend!AD50/100))))+Trend!AD68+Trend!AD32</f>
        <v>0.43376273871774079</v>
      </c>
      <c r="AE18" s="43">
        <f>(AE42*$I$6*((1+$I$6)^Technology!$N$8)*(1/(((1+$I$6)^Technology!$N$8)-1))*(1/8760*(1/(Trend!AE50/100))))+Trend!AE68+Trend!AE32</f>
        <v>0.43349191583905616</v>
      </c>
      <c r="AF18" s="43">
        <f>(AF42*$I$6*((1+$I$6)^Technology!$N$8)*(1/(((1+$I$6)^Technology!$N$8)-1))*(1/8760*(1/(Trend!AF50/100))))+Trend!AF68+Trend!AF32</f>
        <v>0.43322109296037159</v>
      </c>
      <c r="AG18" s="43">
        <f>(AG42*$I$6*((1+$I$6)^Technology!$N$8)*(1/(((1+$I$6)^Technology!$N$8)-1))*(1/8760*(1/(Trend!AG50/100))))+Trend!AG68+Trend!AG32</f>
        <v>0.43295027008168696</v>
      </c>
      <c r="AH18" s="43">
        <f>(AH42*$I$6*((1+$I$6)^Technology!$N$8)*(1/(((1+$I$6)^Technology!$N$8)-1))*(1/8760*(1/(Trend!AH50/100))))+Trend!AH68+Trend!AH32</f>
        <v>0.43267944720300233</v>
      </c>
      <c r="AI18" s="40" t="s">
        <v>102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</row>
    <row r="19" spans="1:172">
      <c r="A19" s="1"/>
      <c r="B19" s="15" t="s">
        <v>7</v>
      </c>
      <c r="C19" s="43">
        <f>(C43*$I$6*((1+$I$6)^Technology!$O$8)*(1/(((1+$I$6)^Technology!$O$8)-1))*(1/8760*(1/(Trend!C51/100))))+Trend!C69+Trend!C33-Technology!$O$10</f>
        <v>9.5631897624222501E-2</v>
      </c>
      <c r="D19" s="43">
        <f>(D43*$I$6*((1+$I$6)^Technology!$O$8)*(1/(((1+$I$6)^Technology!$O$8)-1))*(1/8760*(1/(Trend!D51/100))))+Trend!D69+Trend!D33-Technology!$O$10</f>
        <v>9.530820626721051E-2</v>
      </c>
      <c r="E19" s="43">
        <f>(E43*$I$6*((1+$I$6)^Technology!$O$8)*(1/(((1+$I$6)^Technology!$O$8)-1))*(1/8760*(1/(Trend!E51/100))))+Trend!E69+Trend!E33-Technology!$O$10</f>
        <v>9.4984514910198548E-2</v>
      </c>
      <c r="F19" s="43">
        <f>(F43*$I$6*((1+$I$6)^Technology!$O$8)*(1/(((1+$I$6)^Technology!$O$8)-1))*(1/8760*(1/(Trend!F51/100))))+Trend!F69+Trend!F33-Technology!$O$10</f>
        <v>9.4660823553186557E-2</v>
      </c>
      <c r="G19" s="43">
        <f>(G43*$I$6*((1+$I$6)^Technology!$O$8)*(1/(((1+$I$6)^Technology!$O$8)-1))*(1/8760*(1/(Trend!G51/100))))+Trend!G69+Trend!G33-Technology!$O$10</f>
        <v>9.4337132196174595E-2</v>
      </c>
      <c r="H19" s="43">
        <f>(H43*$I$6*((1+$I$6)^Technology!$O$8)*(1/(((1+$I$6)^Technology!$O$8)-1))*(1/8760*(1/(Trend!H51/100))))+Trend!H69+Trend!H33-Technology!$O$10</f>
        <v>9.401344083916266E-2</v>
      </c>
      <c r="I19" s="43">
        <f>(I43*$I$6*((1+$I$6)^Technology!$O$8)*(1/(((1+$I$6)^Technology!$O$8)-1))*(1/8760*(1/(Trend!I51/100))))+Trend!I69+Trend!I33-Technology!$O$10</f>
        <v>9.3689749482150697E-2</v>
      </c>
      <c r="J19" s="43">
        <f>(J43*$I$6*((1+$I$6)^Technology!$O$8)*(1/(((1+$I$6)^Technology!$O$8)-1))*(1/8760*(1/(Trend!J51/100))))+Trend!J69+Trend!J33-Technology!$O$10</f>
        <v>9.3366058125138734E-2</v>
      </c>
      <c r="K19" s="43">
        <f>(K43*$I$6*((1+$I$6)^Technology!$O$8)*(1/(((1+$I$6)^Technology!$O$8)-1))*(1/8760*(1/(Trend!K51/100))))+Trend!K69+Trend!K33-Technology!$O$10</f>
        <v>9.3042366768126772E-2</v>
      </c>
      <c r="L19" s="43">
        <f>(L43*$I$6*((1+$I$6)^Technology!$O$8)*(1/(((1+$I$6)^Technology!$O$8)-1))*(1/8760*(1/(Trend!L51/100))))+Trend!L69+Trend!L33-Technology!$O$10</f>
        <v>9.2718675411114782E-2</v>
      </c>
      <c r="M19" s="43">
        <f>(M43*$I$6*((1+$I$6)^Technology!$O$8)*(1/(((1+$I$6)^Technology!$O$8)-1))*(1/8760*(1/(Trend!M51/100))))+Trend!M69+Trend!M33-Technology!$O$10</f>
        <v>9.2394984054102847E-2</v>
      </c>
      <c r="N19" s="43">
        <f>(N43*$I$6*((1+$I$6)^Technology!$O$8)*(1/(((1+$I$6)^Technology!$O$8)-1))*(1/8760*(1/(Trend!N51/100))))+Trend!N69+Trend!N33-Technology!$O$10</f>
        <v>9.2071292697090856E-2</v>
      </c>
      <c r="O19" s="43">
        <f>(O43*$I$6*((1+$I$6)^Technology!$O$8)*(1/(((1+$I$6)^Technology!$O$8)-1))*(1/8760*(1/(Trend!O51/100))))+Trend!O69+Trend!O33-Technology!$O$10</f>
        <v>9.1836020466045137E-2</v>
      </c>
      <c r="P19" s="43">
        <f>(P43*$I$6*((1+$I$6)^Technology!$O$8)*(1/(((1+$I$6)^Technology!$O$8)-1))*(1/8760*(1/(Trend!P51/100))))+Trend!P69+Trend!P33-Technology!$O$10</f>
        <v>9.1600748234999391E-2</v>
      </c>
      <c r="Q19" s="43">
        <f>(Q43*$I$6*((1+$I$6)^Technology!$O$8)*(1/(((1+$I$6)^Technology!$O$8)-1))*(1/8760*(1/(Trend!Q51/100))))+Trend!Q69+Trend!Q33-Technology!$O$10</f>
        <v>9.1365476003953672E-2</v>
      </c>
      <c r="R19" s="43">
        <f>(R43*$I$6*((1+$I$6)^Technology!$O$8)*(1/(((1+$I$6)^Technology!$O$8)-1))*(1/8760*(1/(Trend!R51/100))))+Trend!R69+Trend!R33-Technology!$O$10</f>
        <v>9.1130203772907925E-2</v>
      </c>
      <c r="S19" s="43">
        <f>(S43*$I$6*((1+$I$6)^Technology!$O$8)*(1/(((1+$I$6)^Technology!$O$8)-1))*(1/8760*(1/(Trend!S51/100))))+Trend!S69+Trend!S33-Technology!$O$10</f>
        <v>9.0894931541862206E-2</v>
      </c>
      <c r="T19" s="43">
        <f>(T43*$I$6*((1+$I$6)^Technology!$O$8)*(1/(((1+$I$6)^Technology!$O$8)-1))*(1/8760*(1/(Trend!T51/100))))+Trend!T69+Trend!T33-Technology!$O$10</f>
        <v>9.0659659310816487E-2</v>
      </c>
      <c r="U19" s="43">
        <f>(U43*$I$6*((1+$I$6)^Technology!$O$8)*(1/(((1+$I$6)^Technology!$O$8)-1))*(1/8760*(1/(Trend!U51/100))))+Trend!U69+Trend!U33-Technology!$O$10</f>
        <v>9.0424387079770741E-2</v>
      </c>
      <c r="V19" s="43">
        <f>(V43*$I$6*((1+$I$6)^Technology!$O$8)*(1/(((1+$I$6)^Technology!$O$8)-1))*(1/8760*(1/(Trend!V51/100))))+Trend!V69+Trend!V33-Technology!$O$10</f>
        <v>9.0189114848724994E-2</v>
      </c>
      <c r="W19" s="43">
        <f>(W43*$I$6*((1+$I$6)^Technology!$O$8)*(1/(((1+$I$6)^Technology!$O$8)-1))*(1/8760*(1/(Trend!W51/100))))+Trend!W69+Trend!W33-Technology!$O$10</f>
        <v>8.9953842617679247E-2</v>
      </c>
      <c r="X19" s="43">
        <f>(X43*$I$6*((1+$I$6)^Technology!$O$8)*(1/(((1+$I$6)^Technology!$O$8)-1))*(1/8760*(1/(Trend!X51/100))))+Trend!X69+Trend!X33-Technology!$O$10</f>
        <v>8.9718570386633556E-2</v>
      </c>
      <c r="Y19" s="43">
        <f>(Y43*$I$6*((1+$I$6)^Technology!$O$8)*(1/(((1+$I$6)^Technology!$O$8)-1))*(1/8760*(1/(Trend!Y51/100))))+Trend!Y69+Trend!Y33-Technology!$O$10</f>
        <v>8.9483298155587809E-2</v>
      </c>
      <c r="Z19" s="43">
        <f>(Z43*$I$6*((1+$I$6)^Technology!$O$8)*(1/(((1+$I$6)^Technology!$O$8)-1))*(1/8760*(1/(Trend!Z51/100))))+Trend!Z69+Trend!Z33-Technology!$O$10</f>
        <v>8.9248025924542063E-2</v>
      </c>
      <c r="AA19" s="43">
        <f>(AA43*$I$6*((1+$I$6)^Technology!$O$8)*(1/(((1+$I$6)^Technology!$O$8)-1))*(1/8760*(1/(Trend!AA51/100))))+Trend!AA69+Trend!AA33-Technology!$O$10</f>
        <v>8.9012753693496344E-2</v>
      </c>
      <c r="AB19" s="43">
        <f>(AB43*$I$6*((1+$I$6)^Technology!$O$8)*(1/(((1+$I$6)^Technology!$O$8)-1))*(1/8760*(1/(Trend!AB51/100))))+Trend!AB69+Trend!AB33-Technology!$O$10</f>
        <v>8.8777481462450597E-2</v>
      </c>
      <c r="AC19" s="43">
        <f>(AC43*$I$6*((1+$I$6)^Technology!$O$8)*(1/(((1+$I$6)^Technology!$O$8)-1))*(1/8760*(1/(Trend!AC51/100))))+Trend!AC69+Trend!AC33-Technology!$O$10</f>
        <v>8.8542209231404878E-2</v>
      </c>
      <c r="AD19" s="43">
        <f>(AD43*$I$6*((1+$I$6)^Technology!$O$8)*(1/(((1+$I$6)^Technology!$O$8)-1))*(1/8760*(1/(Trend!AD51/100))))+Trend!AD69+Trend!AD33-Technology!$O$10</f>
        <v>8.8306937000359131E-2</v>
      </c>
      <c r="AE19" s="43">
        <f>(AE43*$I$6*((1+$I$6)^Technology!$O$8)*(1/(((1+$I$6)^Technology!$O$8)-1))*(1/8760*(1/(Trend!AE51/100))))+Trend!AE69+Trend!AE33-Technology!$O$10</f>
        <v>8.8071664769313385E-2</v>
      </c>
      <c r="AF19" s="43">
        <f>(AF43*$I$6*((1+$I$6)^Technology!$O$8)*(1/(((1+$I$6)^Technology!$O$8)-1))*(1/8760*(1/(Trend!AF51/100))))+Trend!AF69+Trend!AF33-Technology!$O$10</f>
        <v>8.7836392538267666E-2</v>
      </c>
      <c r="AG19" s="43">
        <f>(AG43*$I$6*((1+$I$6)^Technology!$O$8)*(1/(((1+$I$6)^Technology!$O$8)-1))*(1/8760*(1/(Trend!AG51/100))))+Trend!AG69+Trend!AG33-Technology!$O$10</f>
        <v>8.7601120307221919E-2</v>
      </c>
      <c r="AH19" s="43">
        <f>(AH43*$I$6*((1+$I$6)^Technology!$O$8)*(1/(((1+$I$6)^Technology!$O$8)-1))*(1/8760*(1/(Trend!AH51/100))))+Trend!AH69+Trend!AH33-Technology!$O$10</f>
        <v>8.7365848076176172E-2</v>
      </c>
      <c r="AI19" s="40" t="s">
        <v>7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</row>
    <row r="20" spans="1:172">
      <c r="A20" s="1"/>
      <c r="B20" s="15" t="s">
        <v>72</v>
      </c>
      <c r="C20" s="43">
        <f>(C44*$I$6*((1+$I$6)^Technology!$P$8)*(1/(((1+$I$6)^Technology!$P$8)-1))*(1/8760*(1/(Trend!C52/100))))+Trend!C70+Trend!C34-Technology!$P$10</f>
        <v>6.4907703423693036E-2</v>
      </c>
      <c r="D20" s="43">
        <f>(D44*$I$6*((1+$I$6)^Technology!$P$8)*(1/(((1+$I$6)^Technology!$P$8)-1))*(1/8760*(1/(Trend!D52/100))))+Trend!D70+Trend!D34-Technology!$P$10</f>
        <v>6.4740598932342075E-2</v>
      </c>
      <c r="E20" s="43">
        <f>(E44*$I$6*((1+$I$6)^Technology!$P$8)*(1/(((1+$I$6)^Technology!$P$8)-1))*(1/8760*(1/(Trend!E52/100))))+Trend!E70+Trend!E34-Technology!$P$10</f>
        <v>6.4573494440991086E-2</v>
      </c>
      <c r="F20" s="43">
        <f>(F44*$I$6*((1+$I$6)^Technology!$P$8)*(1/(((1+$I$6)^Technology!$P$8)-1))*(1/8760*(1/(Trend!F52/100))))+Trend!F70+Trend!F34-Technology!$P$10</f>
        <v>6.4406389949640125E-2</v>
      </c>
      <c r="G20" s="43">
        <f>(G44*$I$6*((1+$I$6)^Technology!$P$8)*(1/(((1+$I$6)^Technology!$P$8)-1))*(1/8760*(1/(Trend!G52/100))))+Trend!G70+Trend!G34-Technology!$P$10</f>
        <v>6.423928545828915E-2</v>
      </c>
      <c r="H20" s="43">
        <f>(H44*$I$6*((1+$I$6)^Technology!$P$8)*(1/(((1+$I$6)^Technology!$P$8)-1))*(1/8760*(1/(Trend!H52/100))))+Trend!H70+Trend!H34-Technology!$P$10</f>
        <v>6.4072180966938175E-2</v>
      </c>
      <c r="I20" s="43">
        <f>(I44*$I$6*((1+$I$6)^Technology!$P$8)*(1/(((1+$I$6)^Technology!$P$8)-1))*(1/8760*(1/(Trend!I52/100))))+Trend!I70+Trend!I34-Technology!$P$10</f>
        <v>6.3905076475587214E-2</v>
      </c>
      <c r="J20" s="43">
        <f>(J44*$I$6*((1+$I$6)^Technology!$P$8)*(1/(((1+$I$6)^Technology!$P$8)-1))*(1/8760*(1/(Trend!J52/100))))+Trend!J70+Trend!J34-Technology!$P$10</f>
        <v>6.3737971984236252E-2</v>
      </c>
      <c r="K20" s="43">
        <f>(K44*$I$6*((1+$I$6)^Technology!$P$8)*(1/(((1+$I$6)^Technology!$P$8)-1))*(1/8760*(1/(Trend!K52/100))))+Trend!K70+Trend!K34-Technology!$P$10</f>
        <v>6.3570867492885277E-2</v>
      </c>
      <c r="L20" s="43">
        <f>(L44*$I$6*((1+$I$6)^Technology!$P$8)*(1/(((1+$I$6)^Technology!$P$8)-1))*(1/8760*(1/(Trend!L52/100))))+Trend!L70+Trend!L34-Technology!$P$10</f>
        <v>6.3403763001534288E-2</v>
      </c>
      <c r="M20" s="43">
        <f>(M44*$I$6*((1+$I$6)^Technology!$P$8)*(1/(((1+$I$6)^Technology!$P$8)-1))*(1/8760*(1/(Trend!M52/100))))+Trend!M70+Trend!M34-Technology!$P$10</f>
        <v>6.3236658510183341E-2</v>
      </c>
      <c r="N20" s="43">
        <f>(N44*$I$6*((1+$I$6)^Technology!$P$8)*(1/(((1+$I$6)^Technology!$P$8)-1))*(1/8760*(1/(Trend!N52/100))))+Trend!N70+Trend!N34-Technology!$P$10</f>
        <v>6.3069554018832352E-2</v>
      </c>
      <c r="O20" s="43">
        <f>(O44*$I$6*((1+$I$6)^Technology!$P$8)*(1/(((1+$I$6)^Technology!$P$8)-1))*(1/8760*(1/(Trend!O52/100))))+Trend!O70+Trend!O34-Technology!$P$10</f>
        <v>6.2952700235237649E-2</v>
      </c>
      <c r="P20" s="43">
        <f>(P44*$I$6*((1+$I$6)^Technology!$P$8)*(1/(((1+$I$6)^Technology!$P$8)-1))*(1/8760*(1/(Trend!P52/100))))+Trend!P70+Trend!P34-Technology!$P$10</f>
        <v>6.2835846451642932E-2</v>
      </c>
      <c r="Q20" s="43">
        <f>(Q44*$I$6*((1+$I$6)^Technology!$P$8)*(1/(((1+$I$6)^Technology!$P$8)-1))*(1/8760*(1/(Trend!Q52/100))))+Trend!Q70+Trend!Q34-Technology!$P$10</f>
        <v>6.2718992668048229E-2</v>
      </c>
      <c r="R20" s="43">
        <f>(R44*$I$6*((1+$I$6)^Technology!$P$8)*(1/(((1+$I$6)^Technology!$P$8)-1))*(1/8760*(1/(Trend!R52/100))))+Trend!R70+Trend!R34-Technology!$P$10</f>
        <v>6.2602138884453498E-2</v>
      </c>
      <c r="S20" s="43">
        <f>(S44*$I$6*((1+$I$6)^Technology!$P$8)*(1/(((1+$I$6)^Technology!$P$8)-1))*(1/8760*(1/(Trend!S52/100))))+Trend!S70+Trend!S34-Technology!$P$10</f>
        <v>6.2485285100858781E-2</v>
      </c>
      <c r="T20" s="43">
        <f>(T44*$I$6*((1+$I$6)^Technology!$P$8)*(1/(((1+$I$6)^Technology!$P$8)-1))*(1/8760*(1/(Trend!T52/100))))+Trend!T70+Trend!T34-Technology!$P$10</f>
        <v>6.2368431317264092E-2</v>
      </c>
      <c r="U20" s="43">
        <f>(U44*$I$6*((1+$I$6)^Technology!$P$8)*(1/(((1+$I$6)^Technology!$P$8)-1))*(1/8760*(1/(Trend!U52/100))))+Trend!U70+Trend!U34-Technology!$P$10</f>
        <v>6.2251577533669361E-2</v>
      </c>
      <c r="V20" s="43">
        <f>(V44*$I$6*((1+$I$6)^Technology!$P$8)*(1/(((1+$I$6)^Technology!$P$8)-1))*(1/8760*(1/(Trend!V52/100))))+Trend!V70+Trend!V34-Technology!$P$10</f>
        <v>6.2134723750074658E-2</v>
      </c>
      <c r="W20" s="43">
        <f>(W44*$I$6*((1+$I$6)^Technology!$P$8)*(1/(((1+$I$6)^Technology!$P$8)-1))*(1/8760*(1/(Trend!W52/100))))+Trend!W70+Trend!W34-Technology!$P$10</f>
        <v>6.2017869966479927E-2</v>
      </c>
      <c r="X20" s="43">
        <f>(X44*$I$6*((1+$I$6)^Technology!$P$8)*(1/(((1+$I$6)^Technology!$P$8)-1))*(1/8760*(1/(Trend!X52/100))))+Trend!X70+Trend!X34-Technology!$P$10</f>
        <v>6.1901016182885224E-2</v>
      </c>
      <c r="Y20" s="43">
        <f>(Y44*$I$6*((1+$I$6)^Technology!$P$8)*(1/(((1+$I$6)^Technology!$P$8)-1))*(1/8760*(1/(Trend!Y52/100))))+Trend!Y70+Trend!Y34-Technology!$P$10</f>
        <v>6.1784162399290507E-2</v>
      </c>
      <c r="Z20" s="43">
        <f>(Z44*$I$6*((1+$I$6)^Technology!$P$8)*(1/(((1+$I$6)^Technology!$P$8)-1))*(1/8760*(1/(Trend!Z52/100))))+Trend!Z70+Trend!Z34-Technology!$P$10</f>
        <v>6.166730861569579E-2</v>
      </c>
      <c r="AA20" s="43">
        <f>(AA44*$I$6*((1+$I$6)^Technology!$P$8)*(1/(((1+$I$6)^Technology!$P$8)-1))*(1/8760*(1/(Trend!AA52/100))))+Trend!AA70+Trend!AA34-Technology!$P$10</f>
        <v>6.1550454832101073E-2</v>
      </c>
      <c r="AB20" s="43">
        <f>(AB44*$I$6*((1+$I$6)^Technology!$P$8)*(1/(((1+$I$6)^Technology!$P$8)-1))*(1/8760*(1/(Trend!AB52/100))))+Trend!AB70+Trend!AB34-Technology!$P$10</f>
        <v>6.143360104850637E-2</v>
      </c>
      <c r="AC20" s="43">
        <f>(AC44*$I$6*((1+$I$6)^Technology!$P$8)*(1/(((1+$I$6)^Technology!$P$8)-1))*(1/8760*(1/(Trend!AC52/100))))+Trend!AC70+Trend!AC34-Technology!$P$10</f>
        <v>6.1316747264911653E-2</v>
      </c>
      <c r="AD20" s="43">
        <f>(AD44*$I$6*((1+$I$6)^Technology!$P$8)*(1/(((1+$I$6)^Technology!$P$8)-1))*(1/8760*(1/(Trend!AD52/100))))+Trend!AD70+Trend!AD34-Technology!$P$10</f>
        <v>6.1199893481316936E-2</v>
      </c>
      <c r="AE20" s="43">
        <f>(AE44*$I$6*((1+$I$6)^Technology!$P$8)*(1/(((1+$I$6)^Technology!$P$8)-1))*(1/8760*(1/(Trend!AE52/100))))+Trend!AE70+Trend!AE34-Technology!$P$10</f>
        <v>6.1083039697722219E-2</v>
      </c>
      <c r="AF20" s="43">
        <f>(AF44*$I$6*((1+$I$6)^Technology!$P$8)*(1/(((1+$I$6)^Technology!$P$8)-1))*(1/8760*(1/(Trend!AF52/100))))+Trend!AF70+Trend!AF34-Technology!$P$10</f>
        <v>6.0966185914127516E-2</v>
      </c>
      <c r="AG20" s="43">
        <f>(AG44*$I$6*((1+$I$6)^Technology!$P$8)*(1/(((1+$I$6)^Technology!$P$8)-1))*(1/8760*(1/(Trend!AG52/100))))+Trend!AG70+Trend!AG34-Technology!$P$10</f>
        <v>6.0849332130532799E-2</v>
      </c>
      <c r="AH20" s="43">
        <f>(AH44*$I$6*((1+$I$6)^Technology!$P$8)*(1/(((1+$I$6)^Technology!$P$8)-1))*(1/8760*(1/(Trend!AH52/100))))+Trend!AH70+Trend!AH34-Technology!$P$10</f>
        <v>6.0732478346938068E-2</v>
      </c>
      <c r="AI20" s="40" t="s">
        <v>103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</row>
    <row r="21" spans="1:172">
      <c r="A21" s="1"/>
      <c r="B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</row>
    <row r="22" spans="1:172">
      <c r="A22" s="1"/>
      <c r="B22" s="41" t="s">
        <v>95</v>
      </c>
      <c r="C22" s="41">
        <v>2019</v>
      </c>
      <c r="D22" s="41">
        <v>2020</v>
      </c>
      <c r="E22" s="41">
        <v>2021</v>
      </c>
      <c r="F22" s="41">
        <v>2022</v>
      </c>
      <c r="G22" s="41">
        <v>2023</v>
      </c>
      <c r="H22" s="41">
        <v>2024</v>
      </c>
      <c r="I22" s="41">
        <v>2025</v>
      </c>
      <c r="J22" s="41">
        <v>2026</v>
      </c>
      <c r="K22" s="41">
        <v>2027</v>
      </c>
      <c r="L22" s="41">
        <v>2028</v>
      </c>
      <c r="M22" s="41">
        <v>2029</v>
      </c>
      <c r="N22" s="41">
        <v>2030</v>
      </c>
      <c r="O22" s="41">
        <v>2031</v>
      </c>
      <c r="P22" s="41">
        <v>2032</v>
      </c>
      <c r="Q22" s="41">
        <v>2033</v>
      </c>
      <c r="R22" s="41">
        <v>2034</v>
      </c>
      <c r="S22" s="41">
        <v>2035</v>
      </c>
      <c r="T22" s="41">
        <v>2036</v>
      </c>
      <c r="U22" s="41">
        <v>2037</v>
      </c>
      <c r="V22" s="41">
        <v>2038</v>
      </c>
      <c r="W22" s="41">
        <v>2039</v>
      </c>
      <c r="X22" s="41">
        <v>2040</v>
      </c>
      <c r="Y22" s="41">
        <v>2041</v>
      </c>
      <c r="Z22" s="41">
        <v>2042</v>
      </c>
      <c r="AA22" s="41">
        <v>2043</v>
      </c>
      <c r="AB22" s="41">
        <v>2044</v>
      </c>
      <c r="AC22" s="41">
        <v>2045</v>
      </c>
      <c r="AD22" s="41">
        <v>2046</v>
      </c>
      <c r="AE22" s="41">
        <v>2047</v>
      </c>
      <c r="AF22" s="41">
        <v>2048</v>
      </c>
      <c r="AG22" s="41">
        <v>2049</v>
      </c>
      <c r="AH22" s="41">
        <v>2050</v>
      </c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</row>
    <row r="23" spans="1:172">
      <c r="A23" s="1"/>
      <c r="B23" s="41">
        <v>1</v>
      </c>
      <c r="C23" s="45" t="str">
        <f>VLOOKUP(SMALL($C$8:$C$20,1),$C$8:$AI$20,33,FALSE)</f>
        <v>Gas - CC</v>
      </c>
      <c r="D23" s="45" t="str">
        <f>VLOOKUP(SMALL($D$8:$D$20,1),$D$8:$AI$20,32,FALSE)</f>
        <v>Solar PV</v>
      </c>
      <c r="E23" s="45" t="str">
        <f>VLOOKUP(SMALL($E$8:$E$20,1),$E$8:$AI$20,31,FALSE)</f>
        <v>Solar PV</v>
      </c>
      <c r="F23" s="45" t="str">
        <f>VLOOKUP(SMALL($F$8:$F$20,1),$F$8:$AI$20,30,FALSE)</f>
        <v>Solar PV</v>
      </c>
      <c r="G23" s="45" t="str">
        <f>VLOOKUP(SMALL($G$8:$G$20,1),$G$8:$AI$20,29,FALSE)</f>
        <v>Solar PV</v>
      </c>
      <c r="H23" s="45" t="str">
        <f>VLOOKUP(SMALL($H$8:$H$20,1),$H$8:$AI$20,28,FALSE)</f>
        <v>Solar PV</v>
      </c>
      <c r="I23" s="45" t="str">
        <f>VLOOKUP(SMALL($I$8:$I$20,1),$I$8:$AI$20,27,FALSE)</f>
        <v>Solar PV</v>
      </c>
      <c r="J23" s="45" t="str">
        <f>VLOOKUP(SMALL($J$8:$J$20,1),$J$8:$AI$20,26,FALSE)</f>
        <v>Solar PV</v>
      </c>
      <c r="K23" s="45" t="str">
        <f>VLOOKUP(SMALL($K$8:$K$20,1),$K$8:$AI$20,25,FALSE)</f>
        <v>Solar PV</v>
      </c>
      <c r="L23" s="45" t="str">
        <f>VLOOKUP(SMALL($L$8:$L$20,1),$L$8:$AI$20,24,FALSE)</f>
        <v>Solar PV</v>
      </c>
      <c r="M23" s="45" t="str">
        <f>VLOOKUP(SMALL($M$8:$M$20,1),$M$8:$AI$20,23,FALSE)</f>
        <v>Solar PV</v>
      </c>
      <c r="N23" s="45" t="str">
        <f>VLOOKUP(SMALL($N$8:$N$20,1),$N$8:$AI$20,22,FALSE)</f>
        <v>Solar PV</v>
      </c>
      <c r="O23" s="45" t="str">
        <f>VLOOKUP(SMALL($O$8:$O$20,1),$O$8:$AI$20,21,FALSE)</f>
        <v>Solar PV</v>
      </c>
      <c r="P23" s="45" t="str">
        <f>VLOOKUP(SMALL($P$8:$P$20,1),$P$8:$AI$20,20,FALSE)</f>
        <v>Solar PV</v>
      </c>
      <c r="Q23" s="45" t="str">
        <f>VLOOKUP(SMALL($Q$8:$Q$20,1),$Q$8:$AI$20,19,FALSE)</f>
        <v>Solar PV</v>
      </c>
      <c r="R23" s="45" t="str">
        <f>VLOOKUP(SMALL($R$8:$R$20,1),$R$8:$AI$20,18,FALSE)</f>
        <v>Solar PV</v>
      </c>
      <c r="S23" s="45" t="str">
        <f>VLOOKUP(SMALL($S$8:$S$20,1),$S$8:$AI$20,17,FALSE)</f>
        <v>Solar PV</v>
      </c>
      <c r="T23" s="45" t="str">
        <f>VLOOKUP(SMALL($T$8:$T$20,1),$T$8:$AI$20,16,FALSE)</f>
        <v>Solar PV</v>
      </c>
      <c r="U23" s="45" t="str">
        <f>VLOOKUP(SMALL($U$8:$U$20,1),$U$8:$AI$20,15,FALSE)</f>
        <v>Solar PV</v>
      </c>
      <c r="V23" s="45" t="str">
        <f>VLOOKUP(SMALL($V$8:$V$20,1),$V$8:$AI$20,14,FALSE)</f>
        <v>Solar PV</v>
      </c>
      <c r="W23" s="45" t="str">
        <f>VLOOKUP(SMALL($W$8:$W$20,1),$W$8:$AI$20,13,FALSE)</f>
        <v>Solar PV</v>
      </c>
      <c r="X23" s="45" t="str">
        <f>VLOOKUP(SMALL($X$8:$X$20,1),$X$8:$AI$20,12,FALSE)</f>
        <v>Solar PV</v>
      </c>
      <c r="Y23" s="45" t="str">
        <f>VLOOKUP(SMALL($Y$8:$Y$20,1),$Y$8:$AI$20,11,FALSE)</f>
        <v>Solar PV</v>
      </c>
      <c r="Z23" s="45" t="str">
        <f>VLOOKUP(SMALL($Z$8:$Z$20,1),$Z$8:$AI$20,10,FALSE)</f>
        <v>Solar PV</v>
      </c>
      <c r="AA23" s="45" t="str">
        <f>VLOOKUP(SMALL($AA$8:$AA$20,1),$AA$8:$AI$20,9,FALSE)</f>
        <v>Solar PV</v>
      </c>
      <c r="AB23" s="45" t="str">
        <f>VLOOKUP(SMALL($AB$8:$AB$20,1),$AB$8:$AI$20,8,FALSE)</f>
        <v>Solar PV</v>
      </c>
      <c r="AC23" s="45" t="str">
        <f>VLOOKUP(SMALL($AC$8:$AC$20,1),$AC$8:$AI$20,7,FALSE)</f>
        <v>Solar PV</v>
      </c>
      <c r="AD23" s="45" t="str">
        <f>VLOOKUP(SMALL($AD$8:$AD$20,1),$AD$8:$AI$20,6,FALSE)</f>
        <v>Solar PV</v>
      </c>
      <c r="AE23" s="45" t="str">
        <f>VLOOKUP(SMALL($AE$8:$AE$20,1),$AE$8:$AI$20,5,FALSE)</f>
        <v>Solar PV</v>
      </c>
      <c r="AF23" s="45" t="str">
        <f>VLOOKUP(SMALL($AF$8:$AF$20,1),$AF$8:$AI$20,4,FALSE)</f>
        <v>Solar PV</v>
      </c>
      <c r="AG23" s="45" t="str">
        <f>VLOOKUP(SMALL($AG$8:$AG$20,1),$AG$8:$AI$20,3,FALSE)</f>
        <v>Solar PV</v>
      </c>
      <c r="AH23" s="45" t="str">
        <f>VLOOKUP(SMALL($AH$8:$AH$20,1),$AH$8:$AI$20,2,FALSE)</f>
        <v>Solar PV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</row>
    <row r="24" spans="1:172">
      <c r="A24" s="1"/>
      <c r="B24" s="41">
        <v>2</v>
      </c>
      <c r="C24" s="45" t="str">
        <f>VLOOKUP(SMALL($C$8:$C$20,2),$C$8:$AI$20,33,FALSE)</f>
        <v>Solar PV</v>
      </c>
      <c r="D24" s="45" t="str">
        <f>VLOOKUP(SMALL($D$8:$D$20,2),$D$8:$AI$20,32,FALSE)</f>
        <v>Gas - CC</v>
      </c>
      <c r="E24" s="45" t="str">
        <f>VLOOKUP(SMALL($E$8:$E$20,2),$E$8:$AI$20,31,FALSE)</f>
        <v>Gas - CC</v>
      </c>
      <c r="F24" s="45" t="str">
        <f>VLOOKUP(SMALL($F$8:$F$20,2),$F$8:$AI$20,30,FALSE)</f>
        <v>Gas - CC</v>
      </c>
      <c r="G24" s="45" t="str">
        <f>VLOOKUP(SMALL($G$8:$G$20,2),$G$8:$AI$20,29,FALSE)</f>
        <v>Gas - CC</v>
      </c>
      <c r="H24" s="45" t="str">
        <f>VLOOKUP(SMALL($H$8:$H$20,2),$H$8:$AI$20,28,FALSE)</f>
        <v>Gas - CC</v>
      </c>
      <c r="I24" s="45" t="str">
        <f>VLOOKUP(SMALL($I$8:$I$20,2),$I$8:$AI$20,27,FALSE)</f>
        <v>Gas - CC</v>
      </c>
      <c r="J24" s="45" t="str">
        <f>VLOOKUP(SMALL($J$8:$J$20,2),$J$8:$AI$20,26,FALSE)</f>
        <v>Gas - CC</v>
      </c>
      <c r="K24" s="45" t="str">
        <f>VLOOKUP(SMALL($K$8:$K$20,2),$K$8:$AI$20,25,FALSE)</f>
        <v>Gas - CC</v>
      </c>
      <c r="L24" s="45" t="str">
        <f>VLOOKUP(SMALL($L$8:$L$20,2),$L$8:$AI$20,24,FALSE)</f>
        <v>Gas - CC</v>
      </c>
      <c r="M24" s="45" t="str">
        <f>VLOOKUP(SMALL($M$8:$M$20,2),$M$8:$AI$20,23,FALSE)</f>
        <v>Gas - CC</v>
      </c>
      <c r="N24" s="45" t="str">
        <f>VLOOKUP(SMALL($N$8:$N$20,2),$N$8:$AI$20,22,FALSE)</f>
        <v>Gas - CC</v>
      </c>
      <c r="O24" s="45" t="str">
        <f>VLOOKUP(SMALL($O$8:$O$20,2),$O$8:$AI$20,21,FALSE)</f>
        <v>Gas - CC</v>
      </c>
      <c r="P24" s="45" t="str">
        <f>VLOOKUP(SMALL($P$8:$P$20,2),$P$8:$AI$20,20,FALSE)</f>
        <v>Gas - CC</v>
      </c>
      <c r="Q24" s="45" t="str">
        <f>VLOOKUP(SMALL($Q$8:$Q$20,2),$Q$8:$AI$20,19,FALSE)</f>
        <v>Gas - CC</v>
      </c>
      <c r="R24" s="45" t="str">
        <f>VLOOKUP(SMALL($R$8:$R$20,2),$R$8:$AI$20,18,FALSE)</f>
        <v>Gas - CC</v>
      </c>
      <c r="S24" s="45" t="str">
        <f>VLOOKUP(SMALL($S$8:$S$20,2),$S$8:$AI$20,17,FALSE)</f>
        <v>Gas - CC</v>
      </c>
      <c r="T24" s="45" t="str">
        <f>VLOOKUP(SMALL($T$8:$T$20,2),$T$8:$AI$20,16,FALSE)</f>
        <v>Gas - CC</v>
      </c>
      <c r="U24" s="45" t="str">
        <f>VLOOKUP(SMALL($U$8:$U$20,2),$U$8:$AI$20,15,FALSE)</f>
        <v>Gas - CC</v>
      </c>
      <c r="V24" s="45" t="str">
        <f>VLOOKUP(SMALL($V$8:$V$20,2),$V$8:$AI$20,14,FALSE)</f>
        <v>Gas - CC</v>
      </c>
      <c r="W24" s="45" t="str">
        <f>VLOOKUP(SMALL($W$8:$W$20,2),$W$8:$AI$20,13,FALSE)</f>
        <v>Gas - CC</v>
      </c>
      <c r="X24" s="45" t="str">
        <f>VLOOKUP(SMALL($X$8:$X$20,2),$X$8:$AI$20,12,FALSE)</f>
        <v>Gas - CC</v>
      </c>
      <c r="Y24" s="45" t="str">
        <f>VLOOKUP(SMALL($Y$8:$Y$20,2),$Y$8:$AI$20,11,FALSE)</f>
        <v>Gas - CC</v>
      </c>
      <c r="Z24" s="45" t="str">
        <f>VLOOKUP(SMALL($Z$8:$Z$20,2),$Z$8:$AI$20,10,FALSE)</f>
        <v>Gas - CC</v>
      </c>
      <c r="AA24" s="45" t="str">
        <f>VLOOKUP(SMALL($AA$8:$AA$20,2),$AA$8:$AI$20,9,FALSE)</f>
        <v>Gas - CC</v>
      </c>
      <c r="AB24" s="45" t="str">
        <f>VLOOKUP(SMALL($AB$8:$AB$20,2),$AB$8:$AI$20,8,FALSE)</f>
        <v>Gas - CC</v>
      </c>
      <c r="AC24" s="45" t="str">
        <f>VLOOKUP(SMALL($AC$8:$AC$20,2),$AC$8:$AI$20,7,FALSE)</f>
        <v>Gas - CC</v>
      </c>
      <c r="AD24" s="45" t="str">
        <f>VLOOKUP(SMALL($AD$8:$AD$20,2),$AD$8:$AI$20,6,FALSE)</f>
        <v>Gas - CC</v>
      </c>
      <c r="AE24" s="45" t="str">
        <f>VLOOKUP(SMALL($AE$8:$AE$20,2),$AE$8:$AI$20,5,FALSE)</f>
        <v>Gas - CC</v>
      </c>
      <c r="AF24" s="45" t="str">
        <f>VLOOKUP(SMALL($AF$8:$AF$20,2),$AF$8:$AI$20,4,FALSE)</f>
        <v>Gas - CC</v>
      </c>
      <c r="AG24" s="45" t="str">
        <f>VLOOKUP(SMALL($AG$8:$AG$20,2),$AG$8:$AI$20,3,FALSE)</f>
        <v>Gas - CC</v>
      </c>
      <c r="AH24" s="45" t="str">
        <f>VLOOKUP(SMALL($AH$8:$AH$20,2),$AH$8:$AI$20,2,FALSE)</f>
        <v>Gas - CC</v>
      </c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</row>
    <row r="25" spans="1:172">
      <c r="A25" s="1"/>
      <c r="B25" s="41">
        <v>3</v>
      </c>
      <c r="C25" s="45" t="str">
        <f>VLOOKUP(SMALL($C$8:$C$20,3),$C$8:$AI$20,33,FALSE)</f>
        <v>Gas CCS</v>
      </c>
      <c r="D25" s="45" t="str">
        <f>VLOOKUP(SMALL($D$8:$D$20,3),$D$8:$AI$20,32,FALSE)</f>
        <v>Gas CCS</v>
      </c>
      <c r="E25" s="45" t="str">
        <f>VLOOKUP(SMALL($E$8:$E$20,3),$E$8:$AI$20,31,FALSE)</f>
        <v>Gas CCS</v>
      </c>
      <c r="F25" s="45" t="str">
        <f>VLOOKUP(SMALL($F$8:$F$20,3),$F$8:$AI$20,30,FALSE)</f>
        <v>Gas CCS</v>
      </c>
      <c r="G25" s="45" t="str">
        <f>VLOOKUP(SMALL($G$8:$G$20,3),$G$8:$AI$20,29,FALSE)</f>
        <v>Gas CCS</v>
      </c>
      <c r="H25" s="45" t="str">
        <f>VLOOKUP(SMALL($H$8:$H$20,3),$H$8:$AI$20,28,FALSE)</f>
        <v>Gas CCS</v>
      </c>
      <c r="I25" s="45" t="str">
        <f>VLOOKUP(SMALL($I$8:$I$20,3),$I$8:$AI$20,27,FALSE)</f>
        <v>Gas CCS</v>
      </c>
      <c r="J25" s="45" t="str">
        <f>VLOOKUP(SMALL($J$8:$J$20,3),$J$8:$AI$20,26,FALSE)</f>
        <v>Gas CCS</v>
      </c>
      <c r="K25" s="45" t="str">
        <f>VLOOKUP(SMALL($K$8:$K$20,3),$K$8:$AI$20,25,FALSE)</f>
        <v>Gas CCS</v>
      </c>
      <c r="L25" s="45" t="str">
        <f>VLOOKUP(SMALL($L$8:$L$20,3),$L$8:$AI$20,24,FALSE)</f>
        <v>Gas CCS</v>
      </c>
      <c r="M25" s="45" t="str">
        <f>VLOOKUP(SMALL($M$8:$M$20,3),$M$8:$AI$20,23,FALSE)</f>
        <v>Nuclear</v>
      </c>
      <c r="N25" s="45" t="str">
        <f>VLOOKUP(SMALL($N$8:$N$20,3),$N$8:$AI$20,22,FALSE)</f>
        <v>Nuclear</v>
      </c>
      <c r="O25" s="45" t="str">
        <f>VLOOKUP(SMALL($O$8:$O$20,3),$O$8:$AI$20,21,FALSE)</f>
        <v>Nuclear</v>
      </c>
      <c r="P25" s="45" t="str">
        <f>VLOOKUP(SMALL($P$8:$P$20,3),$P$8:$AI$20,20,FALSE)</f>
        <v>Nuclear</v>
      </c>
      <c r="Q25" s="45" t="str">
        <f>VLOOKUP(SMALL($Q$8:$Q$20,3),$Q$8:$AI$20,19,FALSE)</f>
        <v>Nuclear</v>
      </c>
      <c r="R25" s="45" t="str">
        <f>VLOOKUP(SMALL($R$8:$R$20,3),$R$8:$AI$20,18,FALSE)</f>
        <v>Gas CCS</v>
      </c>
      <c r="S25" s="45" t="str">
        <f>VLOOKUP(SMALL($S$8:$S$20,3),$S$8:$AI$20,17,FALSE)</f>
        <v>Gas CCS</v>
      </c>
      <c r="T25" s="45" t="str">
        <f>VLOOKUP(SMALL($T$8:$T$20,3),$T$8:$AI$20,16,FALSE)</f>
        <v>Gas CCS</v>
      </c>
      <c r="U25" s="45" t="str">
        <f>VLOOKUP(SMALL($U$8:$U$20,3),$U$8:$AI$20,15,FALSE)</f>
        <v>Gas CCS</v>
      </c>
      <c r="V25" s="45" t="str">
        <f>VLOOKUP(SMALL($V$8:$V$20,3),$V$8:$AI$20,14,FALSE)</f>
        <v>Gas CCS</v>
      </c>
      <c r="W25" s="45" t="str">
        <f>VLOOKUP(SMALL($W$8:$W$20,3),$W$8:$AI$20,13,FALSE)</f>
        <v>Gas CCS</v>
      </c>
      <c r="X25" s="45" t="str">
        <f>VLOOKUP(SMALL($X$8:$X$20,3),$X$8:$AI$20,12,FALSE)</f>
        <v>Gas CCS</v>
      </c>
      <c r="Y25" s="45" t="str">
        <f>VLOOKUP(SMALL($Y$8:$Y$20,3),$Y$8:$AI$20,11,FALSE)</f>
        <v>Gas CCS</v>
      </c>
      <c r="Z25" s="45" t="str">
        <f>VLOOKUP(SMALL($Z$8:$Z$20,3),$Z$8:$AI$20,10,FALSE)</f>
        <v>Gas CCS</v>
      </c>
      <c r="AA25" s="45" t="str">
        <f>VLOOKUP(SMALL($AA$8:$AA$20,3),$AA$8:$AI$20,9,FALSE)</f>
        <v>Gas CCS</v>
      </c>
      <c r="AB25" s="45" t="str">
        <f>VLOOKUP(SMALL($AB$8:$AB$20,3),$AB$8:$AI$20,8,FALSE)</f>
        <v>Gas CCS</v>
      </c>
      <c r="AC25" s="45" t="str">
        <f>VLOOKUP(SMALL($AC$8:$AC$20,3),$AC$8:$AI$20,7,FALSE)</f>
        <v>Gas CCS</v>
      </c>
      <c r="AD25" s="45" t="str">
        <f>VLOOKUP(SMALL($AD$8:$AD$20,3),$AD$8:$AI$20,6,FALSE)</f>
        <v>Gas CCS</v>
      </c>
      <c r="AE25" s="45" t="str">
        <f>VLOOKUP(SMALL($AE$8:$AE$20,3),$AE$8:$AI$20,5,FALSE)</f>
        <v>Gas CCS</v>
      </c>
      <c r="AF25" s="45" t="str">
        <f>VLOOKUP(SMALL($AF$8:$AF$20,3),$AF$8:$AI$20,4,FALSE)</f>
        <v>Gas CCS</v>
      </c>
      <c r="AG25" s="45" t="str">
        <f>VLOOKUP(SMALL($AG$8:$AG$20,3),$AG$8:$AI$20,3,FALSE)</f>
        <v>Gas CCS</v>
      </c>
      <c r="AH25" s="45" t="str">
        <f>VLOOKUP(SMALL($AH$8:$AH$20,3),$AH$8:$AI$20,2,FALSE)</f>
        <v>Gas CCS</v>
      </c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</row>
    <row r="26" spans="1:172">
      <c r="A26" s="1"/>
      <c r="B26" s="41">
        <v>4</v>
      </c>
      <c r="C26" s="45" t="str">
        <f>VLOOKUP(SMALL($C$8:$C$20,4),$C$8:$AI$20,33,FALSE)</f>
        <v>Nuclear</v>
      </c>
      <c r="D26" s="45" t="str">
        <f>VLOOKUP(SMALL($D$8:$D$20,4),$D$8:$AI$20,32,FALSE)</f>
        <v>Nuclear</v>
      </c>
      <c r="E26" s="45" t="str">
        <f>VLOOKUP(SMALL($E$8:$E$20,4),$E$8:$AI$20,31,FALSE)</f>
        <v>Nuclear</v>
      </c>
      <c r="F26" s="45" t="str">
        <f>VLOOKUP(SMALL($F$8:$F$20,4),$F$8:$AI$20,30,FALSE)</f>
        <v>Nuclear</v>
      </c>
      <c r="G26" s="45" t="str">
        <f>VLOOKUP(SMALL($G$8:$G$20,4),$G$8:$AI$20,29,FALSE)</f>
        <v>Nuclear</v>
      </c>
      <c r="H26" s="45" t="str">
        <f>VLOOKUP(SMALL($H$8:$H$20,4),$H$8:$AI$20,28,FALSE)</f>
        <v>Nuclear</v>
      </c>
      <c r="I26" s="45" t="str">
        <f>VLOOKUP(SMALL($I$8:$I$20,4),$I$8:$AI$20,27,FALSE)</f>
        <v>Nuclear</v>
      </c>
      <c r="J26" s="45" t="str">
        <f>VLOOKUP(SMALL($J$8:$J$20,4),$J$8:$AI$20,26,FALSE)</f>
        <v>Nuclear</v>
      </c>
      <c r="K26" s="45" t="str">
        <f>VLOOKUP(SMALL($K$8:$K$20,4),$K$8:$AI$20,25,FALSE)</f>
        <v>Nuclear</v>
      </c>
      <c r="L26" s="45" t="str">
        <f>VLOOKUP(SMALL($L$8:$L$20,4),$L$8:$AI$20,24,FALSE)</f>
        <v>Nuclear</v>
      </c>
      <c r="M26" s="45" t="str">
        <f>VLOOKUP(SMALL($M$8:$M$20,4),$M$8:$AI$20,23,FALSE)</f>
        <v>Wind On</v>
      </c>
      <c r="N26" s="45" t="str">
        <f>VLOOKUP(SMALL($N$8:$N$20,4),$N$8:$AI$20,22,FALSE)</f>
        <v>Wind On</v>
      </c>
      <c r="O26" s="45" t="str">
        <f>VLOOKUP(SMALL($O$8:$O$20,4),$O$8:$AI$20,21,FALSE)</f>
        <v>Wind On</v>
      </c>
      <c r="P26" s="45" t="str">
        <f>VLOOKUP(SMALL($P$8:$P$20,4),$P$8:$AI$20,20,FALSE)</f>
        <v>Wind On</v>
      </c>
      <c r="Q26" s="45" t="str">
        <f>VLOOKUP(SMALL($Q$8:$Q$20,4),$Q$8:$AI$20,19,FALSE)</f>
        <v>Wind On</v>
      </c>
      <c r="R26" s="45" t="str">
        <f>VLOOKUP(SMALL($R$8:$R$20,4),$R$8:$AI$20,18,FALSE)</f>
        <v>Nuclear</v>
      </c>
      <c r="S26" s="45" t="str">
        <f>VLOOKUP(SMALL($S$8:$S$20,4),$S$8:$AI$20,17,FALSE)</f>
        <v>Nuclear</v>
      </c>
      <c r="T26" s="45" t="str">
        <f>VLOOKUP(SMALL($T$8:$T$20,4),$T$8:$AI$20,16,FALSE)</f>
        <v>Nuclear</v>
      </c>
      <c r="U26" s="45" t="str">
        <f>VLOOKUP(SMALL($U$8:$U$20,4),$U$8:$AI$20,15,FALSE)</f>
        <v>Nuclear</v>
      </c>
      <c r="V26" s="45" t="str">
        <f>VLOOKUP(SMALL($V$8:$V$20,4),$V$8:$AI$20,14,FALSE)</f>
        <v>Nuclear</v>
      </c>
      <c r="W26" s="45" t="str">
        <f>VLOOKUP(SMALL($W$8:$W$20,4),$W$8:$AI$20,13,FALSE)</f>
        <v>Nuclear</v>
      </c>
      <c r="X26" s="45" t="str">
        <f>VLOOKUP(SMALL($X$8:$X$20,4),$X$8:$AI$20,12,FALSE)</f>
        <v>Nuclear</v>
      </c>
      <c r="Y26" s="45" t="str">
        <f>VLOOKUP(SMALL($Y$8:$Y$20,4),$Y$8:$AI$20,11,FALSE)</f>
        <v>Nuclear</v>
      </c>
      <c r="Z26" s="45" t="str">
        <f>VLOOKUP(SMALL($Z$8:$Z$20,4),$Z$8:$AI$20,10,FALSE)</f>
        <v>Nuclear</v>
      </c>
      <c r="AA26" s="45" t="str">
        <f>VLOOKUP(SMALL($AA$8:$AA$20,4),$AA$8:$AI$20,9,FALSE)</f>
        <v>Nuclear</v>
      </c>
      <c r="AB26" s="45" t="str">
        <f>VLOOKUP(SMALL($AB$8:$AB$20,4),$AB$8:$AI$20,8,FALSE)</f>
        <v>Nuclear</v>
      </c>
      <c r="AC26" s="45" t="str">
        <f>VLOOKUP(SMALL($AC$8:$AC$20,4),$AC$8:$AI$20,7,FALSE)</f>
        <v>Nuclear</v>
      </c>
      <c r="AD26" s="45" t="str">
        <f>VLOOKUP(SMALL($AD$8:$AD$20,4),$AD$8:$AI$20,6,FALSE)</f>
        <v>Nuclear</v>
      </c>
      <c r="AE26" s="45" t="str">
        <f>VLOOKUP(SMALL($AE$8:$AE$20,4),$AE$8:$AI$20,5,FALSE)</f>
        <v>Nuclear</v>
      </c>
      <c r="AF26" s="45" t="str">
        <f>VLOOKUP(SMALL($AF$8:$AF$20,4),$AF$8:$AI$20,4,FALSE)</f>
        <v>Nuclear</v>
      </c>
      <c r="AG26" s="45" t="str">
        <f>VLOOKUP(SMALL($AG$8:$AG$20,4),$AG$8:$AI$20,3,FALSE)</f>
        <v>Nuclear</v>
      </c>
      <c r="AH26" s="45" t="str">
        <f>VLOOKUP(SMALL($AH$8:$AH$20,4),$AH$8:$AI$20,2,FALSE)</f>
        <v>Nuclear</v>
      </c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</row>
    <row r="27" spans="1:172">
      <c r="A27" s="1"/>
      <c r="B27" s="41">
        <v>5</v>
      </c>
      <c r="C27" s="45" t="str">
        <f>VLOOKUP(SMALL($C$8:$C$20,5),$C$8:$AI$20,33,FALSE)</f>
        <v>Wind On</v>
      </c>
      <c r="D27" s="45" t="str">
        <f>VLOOKUP(SMALL($D$8:$D$20,5),$D$8:$AI$20,32,FALSE)</f>
        <v>Wind On</v>
      </c>
      <c r="E27" s="45" t="str">
        <f>VLOOKUP(SMALL($E$8:$E$20,5),$E$8:$AI$20,31,FALSE)</f>
        <v>Wind On</v>
      </c>
      <c r="F27" s="45" t="str">
        <f>VLOOKUP(SMALL($F$8:$F$20,5),$F$8:$AI$20,30,FALSE)</f>
        <v>Wind On</v>
      </c>
      <c r="G27" s="45" t="str">
        <f>VLOOKUP(SMALL($G$8:$G$20,5),$G$8:$AI$20,29,FALSE)</f>
        <v>Wind On</v>
      </c>
      <c r="H27" s="45" t="str">
        <f>VLOOKUP(SMALL($H$8:$H$20,5),$H$8:$AI$20,28,FALSE)</f>
        <v>Wind On</v>
      </c>
      <c r="I27" s="45" t="str">
        <f>VLOOKUP(SMALL($I$8:$I$20,5),$I$8:$AI$20,27,FALSE)</f>
        <v>Wind On</v>
      </c>
      <c r="J27" s="45" t="str">
        <f>VLOOKUP(SMALL($J$8:$J$20,5),$J$8:$AI$20,26,FALSE)</f>
        <v>Wind On</v>
      </c>
      <c r="K27" s="45" t="str">
        <f>VLOOKUP(SMALL($K$8:$K$20,5),$K$8:$AI$20,25,FALSE)</f>
        <v>Wind On</v>
      </c>
      <c r="L27" s="45" t="str">
        <f>VLOOKUP(SMALL($L$8:$L$20,5),$L$8:$AI$20,24,FALSE)</f>
        <v>Wind On</v>
      </c>
      <c r="M27" s="45" t="str">
        <f>VLOOKUP(SMALL($M$8:$M$20,5),$M$8:$AI$20,23,FALSE)</f>
        <v>Gas CCS</v>
      </c>
      <c r="N27" s="45" t="str">
        <f>VLOOKUP(SMALL($N$8:$N$20,5),$N$8:$AI$20,22,FALSE)</f>
        <v>Gas CCS</v>
      </c>
      <c r="O27" s="45" t="str">
        <f>VLOOKUP(SMALL($O$8:$O$20,5),$O$8:$AI$20,21,FALSE)</f>
        <v>Gas CCS</v>
      </c>
      <c r="P27" s="45" t="str">
        <f>VLOOKUP(SMALL($P$8:$P$20,5),$P$8:$AI$20,20,FALSE)</f>
        <v>Gas CCS</v>
      </c>
      <c r="Q27" s="45" t="str">
        <f>VLOOKUP(SMALL($Q$8:$Q$20,5),$Q$8:$AI$20,19,FALSE)</f>
        <v>Gas CCS</v>
      </c>
      <c r="R27" s="45" t="str">
        <f>VLOOKUP(SMALL($R$8:$R$20,5),$R$8:$AI$20,18,FALSE)</f>
        <v>Wind On</v>
      </c>
      <c r="S27" s="45" t="str">
        <f>VLOOKUP(SMALL($S$8:$S$20,5),$S$8:$AI$20,17,FALSE)</f>
        <v>Wind On</v>
      </c>
      <c r="T27" s="45" t="str">
        <f>VLOOKUP(SMALL($T$8:$T$20,5),$T$8:$AI$20,16,FALSE)</f>
        <v>Wind On</v>
      </c>
      <c r="U27" s="45" t="str">
        <f>VLOOKUP(SMALL($U$8:$U$20,5),$U$8:$AI$20,15,FALSE)</f>
        <v>Wind On</v>
      </c>
      <c r="V27" s="45" t="str">
        <f>VLOOKUP(SMALL($V$8:$V$20,5),$V$8:$AI$20,14,FALSE)</f>
        <v>Wind On</v>
      </c>
      <c r="W27" s="45" t="str">
        <f>VLOOKUP(SMALL($W$8:$W$20,5),$W$8:$AI$20,13,FALSE)</f>
        <v>Wind On</v>
      </c>
      <c r="X27" s="45" t="str">
        <f>VLOOKUP(SMALL($X$8:$X$20,5),$X$8:$AI$20,12,FALSE)</f>
        <v>Wind On</v>
      </c>
      <c r="Y27" s="45" t="str">
        <f>VLOOKUP(SMALL($Y$8:$Y$20,5),$Y$8:$AI$20,11,FALSE)</f>
        <v>Wind On</v>
      </c>
      <c r="Z27" s="45" t="str">
        <f>VLOOKUP(SMALL($Z$8:$Z$20,5),$Z$8:$AI$20,10,FALSE)</f>
        <v>Wind On</v>
      </c>
      <c r="AA27" s="45" t="str">
        <f>VLOOKUP(SMALL($AA$8:$AA$20,5),$AA$8:$AI$20,9,FALSE)</f>
        <v>Wind On</v>
      </c>
      <c r="AB27" s="45" t="str">
        <f>VLOOKUP(SMALL($AB$8:$AB$20,5),$AB$8:$AI$20,8,FALSE)</f>
        <v>Wind On</v>
      </c>
      <c r="AC27" s="45" t="str">
        <f>VLOOKUP(SMALL($AC$8:$AC$20,5),$AC$8:$AI$20,7,FALSE)</f>
        <v>Wind On</v>
      </c>
      <c r="AD27" s="45" t="str">
        <f>VLOOKUP(SMALL($AD$8:$AD$20,5),$AD$8:$AI$20,6,FALSE)</f>
        <v>Wind On</v>
      </c>
      <c r="AE27" s="45" t="str">
        <f>VLOOKUP(SMALL($AE$8:$AE$20,5),$AE$8:$AI$20,5,FALSE)</f>
        <v>Wind On</v>
      </c>
      <c r="AF27" s="45" t="str">
        <f>VLOOKUP(SMALL($AF$8:$AF$20,5),$AF$8:$AI$20,4,FALSE)</f>
        <v>Wind On</v>
      </c>
      <c r="AG27" s="45" t="str">
        <f>VLOOKUP(SMALL($AG$8:$AG$20,5),$AG$8:$AI$20,3,FALSE)</f>
        <v>Wind On</v>
      </c>
      <c r="AH27" s="45" t="str">
        <f>VLOOKUP(SMALL($AH$8:$AH$20,5),$AH$8:$AI$20,2,FALSE)</f>
        <v>Wind On</v>
      </c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</row>
    <row r="28" spans="1:172">
      <c r="A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</row>
    <row r="29" spans="1:172" ht="15" thickBot="1">
      <c r="A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</row>
    <row r="30" spans="1:172" ht="15" thickBot="1">
      <c r="A30" s="1"/>
      <c r="B30" s="262" t="s">
        <v>94</v>
      </c>
      <c r="C30" s="263"/>
      <c r="D30" s="263"/>
      <c r="E30" s="264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</row>
    <row r="31" spans="1:172">
      <c r="A31" s="1"/>
      <c r="B31" s="19" t="s">
        <v>77</v>
      </c>
      <c r="C31" s="19">
        <v>2019</v>
      </c>
      <c r="D31" s="19">
        <v>2020</v>
      </c>
      <c r="E31" s="19">
        <v>2021</v>
      </c>
      <c r="F31" s="41">
        <v>2022</v>
      </c>
      <c r="G31" s="41">
        <v>2023</v>
      </c>
      <c r="H31" s="41">
        <v>2024</v>
      </c>
      <c r="I31" s="41">
        <v>2025</v>
      </c>
      <c r="J31" s="41">
        <v>2026</v>
      </c>
      <c r="K31" s="41">
        <v>2027</v>
      </c>
      <c r="L31" s="41">
        <v>2028</v>
      </c>
      <c r="M31" s="41">
        <v>2029</v>
      </c>
      <c r="N31" s="41">
        <v>2030</v>
      </c>
      <c r="O31" s="41">
        <v>2031</v>
      </c>
      <c r="P31" s="41">
        <v>2032</v>
      </c>
      <c r="Q31" s="41">
        <v>2033</v>
      </c>
      <c r="R31" s="41">
        <v>2034</v>
      </c>
      <c r="S31" s="41">
        <v>2035</v>
      </c>
      <c r="T31" s="41">
        <v>2036</v>
      </c>
      <c r="U31" s="41">
        <v>2037</v>
      </c>
      <c r="V31" s="41">
        <v>2038</v>
      </c>
      <c r="W31" s="41">
        <v>2039</v>
      </c>
      <c r="X31" s="41">
        <v>2040</v>
      </c>
      <c r="Y31" s="41">
        <v>2041</v>
      </c>
      <c r="Z31" s="41">
        <v>2042</v>
      </c>
      <c r="AA31" s="41">
        <v>2043</v>
      </c>
      <c r="AB31" s="41">
        <v>2044</v>
      </c>
      <c r="AC31" s="41">
        <v>2045</v>
      </c>
      <c r="AD31" s="41">
        <v>2046</v>
      </c>
      <c r="AE31" s="41">
        <v>2047</v>
      </c>
      <c r="AF31" s="41">
        <v>2048</v>
      </c>
      <c r="AG31" s="41">
        <v>2049</v>
      </c>
      <c r="AH31" s="41">
        <v>2050</v>
      </c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</row>
    <row r="32" spans="1:172">
      <c r="A32" s="1"/>
      <c r="B32" s="41" t="s">
        <v>81</v>
      </c>
      <c r="C32" s="46">
        <f>Trend!C4</f>
        <v>4241</v>
      </c>
      <c r="D32" s="46">
        <f>Trend!D4</f>
        <v>4214.909090909091</v>
      </c>
      <c r="E32" s="46">
        <f>Trend!E4</f>
        <v>4188.818181818182</v>
      </c>
      <c r="F32" s="46">
        <f>Trend!F4</f>
        <v>4162.727272727273</v>
      </c>
      <c r="G32" s="46">
        <f>Trend!G4</f>
        <v>4136.636363636364</v>
      </c>
      <c r="H32" s="46">
        <f>Trend!H4</f>
        <v>4110.545454545455</v>
      </c>
      <c r="I32" s="46">
        <f>Trend!I4</f>
        <v>4084.4545454545455</v>
      </c>
      <c r="J32" s="46">
        <f>Trend!J4</f>
        <v>4058.3636363636365</v>
      </c>
      <c r="K32" s="46">
        <f>Trend!K4</f>
        <v>4032.2727272727275</v>
      </c>
      <c r="L32" s="46">
        <f>Trend!L4</f>
        <v>4006.181818181818</v>
      </c>
      <c r="M32" s="46">
        <f>Trend!M4</f>
        <v>3980.090909090909</v>
      </c>
      <c r="N32" s="46">
        <f>Trend!N4</f>
        <v>3954</v>
      </c>
      <c r="O32" s="46">
        <f>Trend!O4</f>
        <v>3951.7</v>
      </c>
      <c r="P32" s="46">
        <f>Trend!P4</f>
        <v>3949.4</v>
      </c>
      <c r="Q32" s="46">
        <f>Trend!Q4</f>
        <v>3947.1</v>
      </c>
      <c r="R32" s="46">
        <f>Trend!R4</f>
        <v>3944.8</v>
      </c>
      <c r="S32" s="46">
        <f>Trend!S4</f>
        <v>3942.5</v>
      </c>
      <c r="T32" s="46">
        <f>Trend!T4</f>
        <v>3940.2</v>
      </c>
      <c r="U32" s="46">
        <f>Trend!U4</f>
        <v>3937.9</v>
      </c>
      <c r="V32" s="46">
        <f>Trend!V4</f>
        <v>3935.6</v>
      </c>
      <c r="W32" s="46">
        <f>Trend!W4</f>
        <v>3933.3</v>
      </c>
      <c r="X32" s="46">
        <f>Trend!X4</f>
        <v>3931</v>
      </c>
      <c r="Y32" s="46">
        <f>Trend!Y4</f>
        <v>3928.7</v>
      </c>
      <c r="Z32" s="46">
        <f>Trend!Z4</f>
        <v>3926.4</v>
      </c>
      <c r="AA32" s="46">
        <f>Trend!AA4</f>
        <v>3924.1</v>
      </c>
      <c r="AB32" s="46">
        <f>Trend!AB4</f>
        <v>3921.8</v>
      </c>
      <c r="AC32" s="46">
        <f>Trend!AC4</f>
        <v>3919.5</v>
      </c>
      <c r="AD32" s="46">
        <f>Trend!AD4</f>
        <v>3917.2</v>
      </c>
      <c r="AE32" s="46">
        <f>Trend!AE4</f>
        <v>3914.9</v>
      </c>
      <c r="AF32" s="46">
        <f>Trend!AF4</f>
        <v>3912.6</v>
      </c>
      <c r="AG32" s="46">
        <f>Trend!AG4</f>
        <v>3910.3</v>
      </c>
      <c r="AH32" s="46">
        <f>Trend!AH4</f>
        <v>3908</v>
      </c>
      <c r="AI32" s="41" t="s">
        <v>81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</row>
    <row r="33" spans="1:172">
      <c r="A33" s="1"/>
      <c r="B33" s="41" t="s">
        <v>36</v>
      </c>
      <c r="C33" s="46">
        <f>Trend!C5</f>
        <v>6049</v>
      </c>
      <c r="D33" s="46">
        <f>Trend!D5</f>
        <v>6019.090909090909</v>
      </c>
      <c r="E33" s="46">
        <f>Trend!E5</f>
        <v>5989.181818181818</v>
      </c>
      <c r="F33" s="46">
        <f>Trend!F5</f>
        <v>5959.272727272727</v>
      </c>
      <c r="G33" s="46">
        <f>Trend!G5</f>
        <v>5929.363636363636</v>
      </c>
      <c r="H33" s="46">
        <f>Trend!H5</f>
        <v>5899.454545454545</v>
      </c>
      <c r="I33" s="46">
        <f>Trend!I5</f>
        <v>5869.545454545455</v>
      </c>
      <c r="J33" s="46">
        <f>Trend!J5</f>
        <v>5839.636363636364</v>
      </c>
      <c r="K33" s="46">
        <f>Trend!K5</f>
        <v>5809.727272727273</v>
      </c>
      <c r="L33" s="46">
        <f>Trend!L5</f>
        <v>5779.818181818182</v>
      </c>
      <c r="M33" s="46">
        <f>Trend!M5</f>
        <v>5749.909090909091</v>
      </c>
      <c r="N33" s="46">
        <f>Trend!N5</f>
        <v>5720</v>
      </c>
      <c r="O33" s="46">
        <f>Trend!O5</f>
        <v>5713.9250000000002</v>
      </c>
      <c r="P33" s="46">
        <f>Trend!P5</f>
        <v>5707.85</v>
      </c>
      <c r="Q33" s="46">
        <f>Trend!Q5</f>
        <v>5701.7749999999996</v>
      </c>
      <c r="R33" s="46">
        <f>Trend!R5</f>
        <v>5695.7</v>
      </c>
      <c r="S33" s="46">
        <f>Trend!S5</f>
        <v>5689.625</v>
      </c>
      <c r="T33" s="46">
        <f>Trend!T5</f>
        <v>5683.55</v>
      </c>
      <c r="U33" s="46">
        <f>Trend!U5</f>
        <v>5677.4750000000004</v>
      </c>
      <c r="V33" s="46">
        <f>Trend!V5</f>
        <v>5671.4</v>
      </c>
      <c r="W33" s="46">
        <f>Trend!W5</f>
        <v>5665.3249999999998</v>
      </c>
      <c r="X33" s="46">
        <f>Trend!X5</f>
        <v>5659.25</v>
      </c>
      <c r="Y33" s="46">
        <f>Trend!Y5</f>
        <v>5653.1750000000002</v>
      </c>
      <c r="Z33" s="46">
        <f>Trend!Z5</f>
        <v>5647.1</v>
      </c>
      <c r="AA33" s="46">
        <f>Trend!AA5</f>
        <v>5641.0249999999996</v>
      </c>
      <c r="AB33" s="46">
        <f>Trend!AB5</f>
        <v>5634.95</v>
      </c>
      <c r="AC33" s="46">
        <f>Trend!AC5</f>
        <v>5628.875</v>
      </c>
      <c r="AD33" s="46">
        <f>Trend!AD5</f>
        <v>5622.8</v>
      </c>
      <c r="AE33" s="46">
        <f>Trend!AE5</f>
        <v>5616.7250000000004</v>
      </c>
      <c r="AF33" s="46">
        <f>Trend!AF5</f>
        <v>5610.65</v>
      </c>
      <c r="AG33" s="46">
        <f>Trend!AG5</f>
        <v>5604.5749999999998</v>
      </c>
      <c r="AH33" s="46">
        <f>Trend!AH5</f>
        <v>5598.5</v>
      </c>
      <c r="AI33" s="41" t="s">
        <v>96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</row>
    <row r="34" spans="1:172">
      <c r="A34" s="1"/>
      <c r="B34" s="41" t="s">
        <v>89</v>
      </c>
      <c r="C34" s="46">
        <f>Trend!C6</f>
        <v>902</v>
      </c>
      <c r="D34" s="46">
        <f>Trend!D6</f>
        <v>897.4545454545455</v>
      </c>
      <c r="E34" s="46">
        <f>Trend!E6</f>
        <v>892.90909090909088</v>
      </c>
      <c r="F34" s="46">
        <f>Trend!F6</f>
        <v>888.36363636363637</v>
      </c>
      <c r="G34" s="46">
        <f>Trend!G6</f>
        <v>883.81818181818187</v>
      </c>
      <c r="H34" s="46">
        <f>Trend!H6</f>
        <v>879.27272727272725</v>
      </c>
      <c r="I34" s="46">
        <f>Trend!I6</f>
        <v>874.72727272727275</v>
      </c>
      <c r="J34" s="46">
        <f>Trend!J6</f>
        <v>870.18181818181813</v>
      </c>
      <c r="K34" s="46">
        <f>Trend!K6</f>
        <v>865.63636363636363</v>
      </c>
      <c r="L34" s="46">
        <f>Trend!L6</f>
        <v>861.09090909090912</v>
      </c>
      <c r="M34" s="46">
        <f>Trend!M6</f>
        <v>856.5454545454545</v>
      </c>
      <c r="N34" s="46">
        <f>Trend!N6</f>
        <v>852</v>
      </c>
      <c r="O34" s="46">
        <f>Trend!O6</f>
        <v>848.7</v>
      </c>
      <c r="P34" s="46">
        <f>Trend!P6</f>
        <v>845.4</v>
      </c>
      <c r="Q34" s="46">
        <f>Trend!Q6</f>
        <v>842.1</v>
      </c>
      <c r="R34" s="46">
        <f>Trend!R6</f>
        <v>838.8</v>
      </c>
      <c r="S34" s="46">
        <f>Trend!S6</f>
        <v>835.5</v>
      </c>
      <c r="T34" s="46">
        <f>Trend!T6</f>
        <v>832.2</v>
      </c>
      <c r="U34" s="46">
        <f>Trend!U6</f>
        <v>828.9</v>
      </c>
      <c r="V34" s="46">
        <f>Trend!V6</f>
        <v>825.6</v>
      </c>
      <c r="W34" s="46">
        <f>Trend!W6</f>
        <v>822.3</v>
      </c>
      <c r="X34" s="46">
        <f>Trend!X6</f>
        <v>819</v>
      </c>
      <c r="Y34" s="46">
        <f>Trend!Y6</f>
        <v>815.7</v>
      </c>
      <c r="Z34" s="46">
        <f>Trend!Z6</f>
        <v>812.4</v>
      </c>
      <c r="AA34" s="46">
        <f>Trend!AA6</f>
        <v>809.1</v>
      </c>
      <c r="AB34" s="46">
        <f>Trend!AB6</f>
        <v>805.8</v>
      </c>
      <c r="AC34" s="46">
        <f>Trend!AC6</f>
        <v>802.5</v>
      </c>
      <c r="AD34" s="46">
        <f>Trend!AD6</f>
        <v>799.2</v>
      </c>
      <c r="AE34" s="46">
        <f>Trend!AE6</f>
        <v>795.9</v>
      </c>
      <c r="AF34" s="46">
        <f>Trend!AF6</f>
        <v>792.6</v>
      </c>
      <c r="AG34" s="46">
        <f>Trend!AG6</f>
        <v>789.3</v>
      </c>
      <c r="AH34" s="46">
        <f>Trend!AH6</f>
        <v>786</v>
      </c>
      <c r="AI34" s="41" t="s">
        <v>89</v>
      </c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</row>
    <row r="35" spans="1:172">
      <c r="A35" s="1"/>
      <c r="B35" s="41" t="s">
        <v>88</v>
      </c>
      <c r="C35" s="46">
        <f>Trend!C7</f>
        <v>1054</v>
      </c>
      <c r="D35" s="46">
        <f>Trend!D7</f>
        <v>1049.1818181818182</v>
      </c>
      <c r="E35" s="46">
        <f>Trend!E7</f>
        <v>1044.3636363636363</v>
      </c>
      <c r="F35" s="46">
        <f>Trend!F7</f>
        <v>1039.5454545454545</v>
      </c>
      <c r="G35" s="46">
        <f>Trend!G7</f>
        <v>1034.7272727272727</v>
      </c>
      <c r="H35" s="46">
        <f>Trend!H7</f>
        <v>1029.909090909091</v>
      </c>
      <c r="I35" s="46">
        <f>Trend!I7</f>
        <v>1025.090909090909</v>
      </c>
      <c r="J35" s="46">
        <f>Trend!J7</f>
        <v>1020.2727272727273</v>
      </c>
      <c r="K35" s="46">
        <f>Trend!K7</f>
        <v>1015.4545454545455</v>
      </c>
      <c r="L35" s="46">
        <f>Trend!L7</f>
        <v>1010.6363636363636</v>
      </c>
      <c r="M35" s="46">
        <f>Trend!M7</f>
        <v>1005.8181818181819</v>
      </c>
      <c r="N35" s="46">
        <f>Trend!N7</f>
        <v>1001</v>
      </c>
      <c r="O35" s="46">
        <f>Trend!O7</f>
        <v>997.3</v>
      </c>
      <c r="P35" s="46">
        <f>Trend!P7</f>
        <v>993.6</v>
      </c>
      <c r="Q35" s="46">
        <f>Trend!Q7</f>
        <v>989.9</v>
      </c>
      <c r="R35" s="46">
        <f>Trend!R7</f>
        <v>986.2</v>
      </c>
      <c r="S35" s="46">
        <f>Trend!S7</f>
        <v>982.5</v>
      </c>
      <c r="T35" s="46">
        <f>Trend!T7</f>
        <v>978.8</v>
      </c>
      <c r="U35" s="46">
        <f>Trend!U7</f>
        <v>975.1</v>
      </c>
      <c r="V35" s="46">
        <f>Trend!V7</f>
        <v>971.4</v>
      </c>
      <c r="W35" s="46">
        <f>Trend!W7</f>
        <v>967.7</v>
      </c>
      <c r="X35" s="46">
        <f>Trend!X7</f>
        <v>964</v>
      </c>
      <c r="Y35" s="46">
        <f>Trend!Y7</f>
        <v>960.3</v>
      </c>
      <c r="Z35" s="46">
        <f>Trend!Z7</f>
        <v>956.6</v>
      </c>
      <c r="AA35" s="46">
        <f>Trend!AA7</f>
        <v>952.9</v>
      </c>
      <c r="AB35" s="46">
        <f>Trend!AB7</f>
        <v>949.2</v>
      </c>
      <c r="AC35" s="46">
        <f>Trend!AC7</f>
        <v>945.5</v>
      </c>
      <c r="AD35" s="46">
        <f>Trend!AD7</f>
        <v>941.8</v>
      </c>
      <c r="AE35" s="46">
        <f>Trend!AE7</f>
        <v>938.1</v>
      </c>
      <c r="AF35" s="46">
        <f>Trend!AF7</f>
        <v>934.4</v>
      </c>
      <c r="AG35" s="46">
        <f>Trend!AG7</f>
        <v>930.7</v>
      </c>
      <c r="AH35" s="46">
        <f>Trend!AH7</f>
        <v>927</v>
      </c>
      <c r="AI35" s="41" t="s">
        <v>88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</row>
    <row r="36" spans="1:172">
      <c r="A36" s="1"/>
      <c r="B36" s="41" t="s">
        <v>90</v>
      </c>
      <c r="C36" s="46">
        <f>Trend!C8</f>
        <v>2201</v>
      </c>
      <c r="D36" s="46">
        <f>Trend!D8</f>
        <v>2181.909090909091</v>
      </c>
      <c r="E36" s="46">
        <f>Trend!E8</f>
        <v>2162.818181818182</v>
      </c>
      <c r="F36" s="46">
        <f>Trend!F8</f>
        <v>2143.7272727272725</v>
      </c>
      <c r="G36" s="46">
        <f>Trend!G8</f>
        <v>2124.6363636363635</v>
      </c>
      <c r="H36" s="46">
        <f>Trend!H8</f>
        <v>2105.5454545454545</v>
      </c>
      <c r="I36" s="46">
        <f>Trend!I8</f>
        <v>2086.4545454545455</v>
      </c>
      <c r="J36" s="46">
        <f>Trend!J8</f>
        <v>2067.3636363636365</v>
      </c>
      <c r="K36" s="46">
        <f>Trend!K8</f>
        <v>2048.2727272727275</v>
      </c>
      <c r="L36" s="46">
        <f>Trend!L8</f>
        <v>2029.1818181818182</v>
      </c>
      <c r="M36" s="46">
        <f>Trend!M8</f>
        <v>2010.090909090909</v>
      </c>
      <c r="N36" s="46">
        <f>Trend!N8</f>
        <v>1991</v>
      </c>
      <c r="O36" s="46">
        <f>Trend!O8</f>
        <v>1976.3</v>
      </c>
      <c r="P36" s="46">
        <f>Trend!P8</f>
        <v>1961.6</v>
      </c>
      <c r="Q36" s="46">
        <f>Trend!Q8</f>
        <v>1946.9</v>
      </c>
      <c r="R36" s="46">
        <f>Trend!R8</f>
        <v>1932.2</v>
      </c>
      <c r="S36" s="46">
        <f>Trend!S8</f>
        <v>1917.5</v>
      </c>
      <c r="T36" s="46">
        <f>Trend!T8</f>
        <v>1902.8</v>
      </c>
      <c r="U36" s="46">
        <f>Trend!U8</f>
        <v>1888.1</v>
      </c>
      <c r="V36" s="46">
        <f>Trend!V8</f>
        <v>1873.4</v>
      </c>
      <c r="W36" s="46">
        <f>Trend!W8</f>
        <v>1858.7</v>
      </c>
      <c r="X36" s="46">
        <f>Trend!X8</f>
        <v>1844</v>
      </c>
      <c r="Y36" s="46">
        <f>Trend!Y8</f>
        <v>1829.3</v>
      </c>
      <c r="Z36" s="46">
        <f>Trend!Z8</f>
        <v>1814.6</v>
      </c>
      <c r="AA36" s="46">
        <f>Trend!AA8</f>
        <v>1799.9</v>
      </c>
      <c r="AB36" s="46">
        <f>Trend!AB8</f>
        <v>1785.2</v>
      </c>
      <c r="AC36" s="46">
        <f>Trend!AC8</f>
        <v>1770.5</v>
      </c>
      <c r="AD36" s="46">
        <f>Trend!AD8</f>
        <v>1755.8</v>
      </c>
      <c r="AE36" s="46">
        <f>Trend!AE8</f>
        <v>1741.1</v>
      </c>
      <c r="AF36" s="46">
        <f>Trend!AF8</f>
        <v>1726.4</v>
      </c>
      <c r="AG36" s="46">
        <f>Trend!AG8</f>
        <v>1711.7</v>
      </c>
      <c r="AH36" s="46">
        <f>Trend!AH8</f>
        <v>1697</v>
      </c>
      <c r="AI36" s="41" t="s">
        <v>97</v>
      </c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</row>
    <row r="37" spans="1:172">
      <c r="A37" s="1"/>
      <c r="B37" s="41" t="s">
        <v>48</v>
      </c>
      <c r="C37" s="46">
        <f>Trend!C9</f>
        <v>1778</v>
      </c>
      <c r="D37" s="46">
        <f>Trend!D9</f>
        <v>1691</v>
      </c>
      <c r="E37" s="46">
        <f>Trend!E9</f>
        <v>1604</v>
      </c>
      <c r="F37" s="46">
        <f>Trend!F9</f>
        <v>1517</v>
      </c>
      <c r="G37" s="46">
        <f>Trend!G9</f>
        <v>1430</v>
      </c>
      <c r="H37" s="46">
        <f>Trend!H9</f>
        <v>1343</v>
      </c>
      <c r="I37" s="46">
        <f>Trend!I9</f>
        <v>1256</v>
      </c>
      <c r="J37" s="46">
        <f>Trend!J9</f>
        <v>1169</v>
      </c>
      <c r="K37" s="46">
        <f>Trend!K9</f>
        <v>1082</v>
      </c>
      <c r="L37" s="46">
        <f>Trend!L9</f>
        <v>995</v>
      </c>
      <c r="M37" s="46">
        <f>Trend!M9</f>
        <v>908</v>
      </c>
      <c r="N37" s="46">
        <f>Trend!N9</f>
        <v>821</v>
      </c>
      <c r="O37" s="46">
        <f>Trend!O9</f>
        <v>813.4</v>
      </c>
      <c r="P37" s="46">
        <f>Trend!P9</f>
        <v>805.8</v>
      </c>
      <c r="Q37" s="46">
        <f>Trend!Q9</f>
        <v>798.2</v>
      </c>
      <c r="R37" s="46">
        <f>Trend!R9</f>
        <v>790.6</v>
      </c>
      <c r="S37" s="46">
        <f>Trend!S9</f>
        <v>783</v>
      </c>
      <c r="T37" s="46">
        <f>Trend!T9</f>
        <v>775.4</v>
      </c>
      <c r="U37" s="46">
        <f>Trend!U9</f>
        <v>767.8</v>
      </c>
      <c r="V37" s="46">
        <f>Trend!V9</f>
        <v>760.2</v>
      </c>
      <c r="W37" s="46">
        <f>Trend!W9</f>
        <v>752.6</v>
      </c>
      <c r="X37" s="46">
        <f>Trend!X9</f>
        <v>745</v>
      </c>
      <c r="Y37" s="46">
        <f>Trend!Y9</f>
        <v>737.4</v>
      </c>
      <c r="Z37" s="46">
        <f>Trend!Z9</f>
        <v>729.8</v>
      </c>
      <c r="AA37" s="46">
        <f>Trend!AA9</f>
        <v>722.2</v>
      </c>
      <c r="AB37" s="46">
        <f>Trend!AB9</f>
        <v>714.6</v>
      </c>
      <c r="AC37" s="46">
        <f>Trend!AC9</f>
        <v>707</v>
      </c>
      <c r="AD37" s="46">
        <f>Trend!AD9</f>
        <v>699.4</v>
      </c>
      <c r="AE37" s="46">
        <f>Trend!AE9</f>
        <v>691.8</v>
      </c>
      <c r="AF37" s="46">
        <f>Trend!AF9</f>
        <v>684.2</v>
      </c>
      <c r="AG37" s="46">
        <f>Trend!AG9</f>
        <v>676.6</v>
      </c>
      <c r="AH37" s="46">
        <f>Trend!AH9</f>
        <v>669</v>
      </c>
      <c r="AI37" s="41" t="s">
        <v>98</v>
      </c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</row>
    <row r="38" spans="1:172">
      <c r="A38" s="1"/>
      <c r="B38" s="41" t="s">
        <v>51</v>
      </c>
      <c r="C38" s="46">
        <f>Trend!C10</f>
        <v>7872</v>
      </c>
      <c r="D38" s="46">
        <f>Trend!D10</f>
        <v>7684.181818181818</v>
      </c>
      <c r="E38" s="46">
        <f>Trend!E10</f>
        <v>7496.363636363636</v>
      </c>
      <c r="F38" s="46">
        <f>Trend!F10</f>
        <v>7308.545454545454</v>
      </c>
      <c r="G38" s="46">
        <f>Trend!G10</f>
        <v>7120.727272727273</v>
      </c>
      <c r="H38" s="46">
        <f>Trend!H10</f>
        <v>6932.909090909091</v>
      </c>
      <c r="I38" s="46">
        <f>Trend!I10</f>
        <v>6745.090909090909</v>
      </c>
      <c r="J38" s="46">
        <f>Trend!J10</f>
        <v>6557.272727272727</v>
      </c>
      <c r="K38" s="46">
        <f>Trend!K10</f>
        <v>6369.454545454546</v>
      </c>
      <c r="L38" s="46">
        <f>Trend!L10</f>
        <v>6181.636363636364</v>
      </c>
      <c r="M38" s="46">
        <f>Trend!M10</f>
        <v>5993.818181818182</v>
      </c>
      <c r="N38" s="46">
        <f>Trend!N10</f>
        <v>5806</v>
      </c>
      <c r="O38" s="46">
        <f>Trend!O10</f>
        <v>5747.95</v>
      </c>
      <c r="P38" s="46">
        <f>Trend!P10</f>
        <v>5689.9</v>
      </c>
      <c r="Q38" s="46">
        <f>Trend!Q10</f>
        <v>5631.85</v>
      </c>
      <c r="R38" s="46">
        <f>Trend!R10</f>
        <v>5573.8</v>
      </c>
      <c r="S38" s="46">
        <f>Trend!S10</f>
        <v>5515.75</v>
      </c>
      <c r="T38" s="46">
        <f>Trend!T10</f>
        <v>5457.7</v>
      </c>
      <c r="U38" s="46">
        <f>Trend!U10</f>
        <v>5399.65</v>
      </c>
      <c r="V38" s="46">
        <f>Trend!V10</f>
        <v>5341.6</v>
      </c>
      <c r="W38" s="46">
        <f>Trend!W10</f>
        <v>5283.55</v>
      </c>
      <c r="X38" s="46">
        <f>Trend!X10</f>
        <v>5225.5</v>
      </c>
      <c r="Y38" s="46">
        <f>Trend!Y10</f>
        <v>5167.45</v>
      </c>
      <c r="Z38" s="46">
        <f>Trend!Z10</f>
        <v>5109.3999999999996</v>
      </c>
      <c r="AA38" s="46">
        <f>Trend!AA10</f>
        <v>5051.3500000000004</v>
      </c>
      <c r="AB38" s="46">
        <f>Trend!AB10</f>
        <v>4993.3</v>
      </c>
      <c r="AC38" s="46">
        <f>Trend!AC10</f>
        <v>4935.25</v>
      </c>
      <c r="AD38" s="46">
        <f>Trend!AD10</f>
        <v>4877.2</v>
      </c>
      <c r="AE38" s="46">
        <f>Trend!AE10</f>
        <v>4819.1499999999996</v>
      </c>
      <c r="AF38" s="46">
        <f>Trend!AF10</f>
        <v>4761.1000000000004</v>
      </c>
      <c r="AG38" s="46">
        <f>Trend!AG10</f>
        <v>4703.05</v>
      </c>
      <c r="AH38" s="46">
        <f>Trend!AH10</f>
        <v>4645</v>
      </c>
      <c r="AI38" s="41" t="s">
        <v>99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</row>
    <row r="39" spans="1:172">
      <c r="A39" s="1"/>
      <c r="B39" s="41" t="s">
        <v>56</v>
      </c>
      <c r="C39" s="46">
        <f>Trend!C11</f>
        <v>1640</v>
      </c>
      <c r="D39" s="46">
        <f>Trend!D11</f>
        <v>1643.5454545454545</v>
      </c>
      <c r="E39" s="46">
        <f>Trend!E11</f>
        <v>1647.090909090909</v>
      </c>
      <c r="F39" s="46">
        <f>Trend!F11</f>
        <v>1650.6363636363637</v>
      </c>
      <c r="G39" s="46">
        <f>Trend!G11</f>
        <v>1654.1818181818182</v>
      </c>
      <c r="H39" s="46">
        <f>Trend!H11</f>
        <v>1657.7272727272727</v>
      </c>
      <c r="I39" s="46">
        <f>Trend!I11</f>
        <v>1661.2727272727273</v>
      </c>
      <c r="J39" s="46">
        <f>Trend!J11</f>
        <v>1664.8181818181818</v>
      </c>
      <c r="K39" s="46">
        <f>Trend!K11</f>
        <v>1668.3636363636363</v>
      </c>
      <c r="L39" s="46">
        <f>Trend!L11</f>
        <v>1671.909090909091</v>
      </c>
      <c r="M39" s="46">
        <f>Trend!M11</f>
        <v>1675.4545454545455</v>
      </c>
      <c r="N39" s="46">
        <f>Trend!N11</f>
        <v>1679</v>
      </c>
      <c r="O39" s="46">
        <f>Trend!O11</f>
        <v>1682.7750000000001</v>
      </c>
      <c r="P39" s="46">
        <f>Trend!P11</f>
        <v>1686.55</v>
      </c>
      <c r="Q39" s="46">
        <f>Trend!Q11</f>
        <v>1690.325</v>
      </c>
      <c r="R39" s="46">
        <f>Trend!R11</f>
        <v>1694.1</v>
      </c>
      <c r="S39" s="46">
        <f>Trend!S11</f>
        <v>1697.875</v>
      </c>
      <c r="T39" s="46">
        <f>Trend!T11</f>
        <v>1701.65</v>
      </c>
      <c r="U39" s="46">
        <f>Trend!U11</f>
        <v>1705.425</v>
      </c>
      <c r="V39" s="46">
        <f>Trend!V11</f>
        <v>1709.2</v>
      </c>
      <c r="W39" s="46">
        <f>Trend!W11</f>
        <v>1712.9749999999999</v>
      </c>
      <c r="X39" s="46">
        <f>Trend!X11</f>
        <v>1716.75</v>
      </c>
      <c r="Y39" s="46">
        <f>Trend!Y11</f>
        <v>1720.5250000000001</v>
      </c>
      <c r="Z39" s="46">
        <f>Trend!Z11</f>
        <v>1724.3</v>
      </c>
      <c r="AA39" s="46">
        <f>Trend!AA11</f>
        <v>1728.075</v>
      </c>
      <c r="AB39" s="46">
        <f>Trend!AB11</f>
        <v>1731.85</v>
      </c>
      <c r="AC39" s="46">
        <f>Trend!AC11</f>
        <v>1735.625</v>
      </c>
      <c r="AD39" s="46">
        <f>Trend!AD11</f>
        <v>1739.4</v>
      </c>
      <c r="AE39" s="46">
        <f>Trend!AE11</f>
        <v>1743.175</v>
      </c>
      <c r="AF39" s="46">
        <f>Trend!AF11</f>
        <v>1746.95</v>
      </c>
      <c r="AG39" s="46">
        <f>Trend!AG11</f>
        <v>1750.7249999999999</v>
      </c>
      <c r="AH39" s="46">
        <f>Trend!AH11</f>
        <v>1754.5</v>
      </c>
      <c r="AI39" s="41" t="s">
        <v>100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</row>
    <row r="40" spans="1:172">
      <c r="A40" s="1"/>
      <c r="B40" s="41" t="s">
        <v>59</v>
      </c>
      <c r="C40" s="46">
        <f>Trend!C12</f>
        <v>6002</v>
      </c>
      <c r="D40" s="46">
        <f>Trend!D12</f>
        <v>5841.636363636364</v>
      </c>
      <c r="E40" s="46">
        <f>Trend!E12</f>
        <v>5681.272727272727</v>
      </c>
      <c r="F40" s="46">
        <f>Trend!F12</f>
        <v>5520.909090909091</v>
      </c>
      <c r="G40" s="46">
        <f>Trend!G12</f>
        <v>5360.545454545454</v>
      </c>
      <c r="H40" s="46">
        <f>Trend!H12</f>
        <v>5200.181818181818</v>
      </c>
      <c r="I40" s="46">
        <f>Trend!I12</f>
        <v>5039.818181818182</v>
      </c>
      <c r="J40" s="46">
        <f>Trend!J12</f>
        <v>4879.454545454546</v>
      </c>
      <c r="K40" s="46">
        <f>Trend!K12</f>
        <v>4719.090909090909</v>
      </c>
      <c r="L40" s="46">
        <f>Trend!L12</f>
        <v>4558.727272727273</v>
      </c>
      <c r="M40" s="46">
        <f>Trend!M12</f>
        <v>4398.363636363636</v>
      </c>
      <c r="N40" s="46">
        <f>Trend!N12</f>
        <v>4238</v>
      </c>
      <c r="O40" s="46">
        <f>Trend!O12</f>
        <v>4206.05</v>
      </c>
      <c r="P40" s="46">
        <f>Trend!P12</f>
        <v>4174.1000000000004</v>
      </c>
      <c r="Q40" s="46">
        <f>Trend!Q12</f>
        <v>4142.1499999999996</v>
      </c>
      <c r="R40" s="46">
        <f>Trend!R12</f>
        <v>4110.2</v>
      </c>
      <c r="S40" s="46">
        <f>Trend!S12</f>
        <v>4078.25</v>
      </c>
      <c r="T40" s="46">
        <f>Trend!T12</f>
        <v>4046.3</v>
      </c>
      <c r="U40" s="46">
        <f>Trend!U12</f>
        <v>4014.35</v>
      </c>
      <c r="V40" s="46">
        <f>Trend!V12</f>
        <v>3982.4</v>
      </c>
      <c r="W40" s="46">
        <f>Trend!W12</f>
        <v>3950.45</v>
      </c>
      <c r="X40" s="46">
        <f>Trend!X12</f>
        <v>3918.5</v>
      </c>
      <c r="Y40" s="46">
        <f>Trend!Y12</f>
        <v>3886.55</v>
      </c>
      <c r="Z40" s="46">
        <f>Trend!Z12</f>
        <v>3854.6</v>
      </c>
      <c r="AA40" s="46">
        <f>Trend!AA12</f>
        <v>3822.65</v>
      </c>
      <c r="AB40" s="46">
        <f>Trend!AB12</f>
        <v>3790.7</v>
      </c>
      <c r="AC40" s="46">
        <f>Trend!AC12</f>
        <v>3758.75</v>
      </c>
      <c r="AD40" s="46">
        <f>Trend!AD12</f>
        <v>3726.8</v>
      </c>
      <c r="AE40" s="46">
        <f>Trend!AE12</f>
        <v>3694.85</v>
      </c>
      <c r="AF40" s="46">
        <f>Trend!AF12</f>
        <v>3662.9</v>
      </c>
      <c r="AG40" s="46">
        <f>Trend!AG12</f>
        <v>3630.95</v>
      </c>
      <c r="AH40" s="46">
        <f>Trend!AH12</f>
        <v>3599</v>
      </c>
      <c r="AI40" s="41" t="s">
        <v>101</v>
      </c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</row>
    <row r="41" spans="1:172">
      <c r="A41" s="1"/>
      <c r="B41" s="41" t="s">
        <v>5</v>
      </c>
      <c r="C41" s="46">
        <f>Trend!C13</f>
        <v>6158</v>
      </c>
      <c r="D41" s="46">
        <f>Trend!D13</f>
        <v>6133.363636363636</v>
      </c>
      <c r="E41" s="46">
        <f>Trend!E13</f>
        <v>6108.727272727273</v>
      </c>
      <c r="F41" s="46">
        <f>Trend!F13</f>
        <v>6084.090909090909</v>
      </c>
      <c r="G41" s="46">
        <f>Trend!G13</f>
        <v>6059.454545454545</v>
      </c>
      <c r="H41" s="46">
        <f>Trend!H13</f>
        <v>6034.818181818182</v>
      </c>
      <c r="I41" s="46">
        <f>Trend!I13</f>
        <v>6010.181818181818</v>
      </c>
      <c r="J41" s="46">
        <f>Trend!J13</f>
        <v>5985.545454545455</v>
      </c>
      <c r="K41" s="46">
        <f>Trend!K13</f>
        <v>5960.909090909091</v>
      </c>
      <c r="L41" s="46">
        <f>Trend!L13</f>
        <v>5936.272727272727</v>
      </c>
      <c r="M41" s="46">
        <f>Trend!M13</f>
        <v>5911.636363636364</v>
      </c>
      <c r="N41" s="46">
        <f>Trend!N13</f>
        <v>5887</v>
      </c>
      <c r="O41" s="46">
        <f>Trend!O13</f>
        <v>5853.2</v>
      </c>
      <c r="P41" s="46">
        <f>Trend!P13</f>
        <v>5819.4</v>
      </c>
      <c r="Q41" s="46">
        <f>Trend!Q13</f>
        <v>5785.6</v>
      </c>
      <c r="R41" s="46">
        <f>Trend!R13</f>
        <v>5751.8</v>
      </c>
      <c r="S41" s="46">
        <f>Trend!S13</f>
        <v>5718</v>
      </c>
      <c r="T41" s="46">
        <f>Trend!T13</f>
        <v>5684.2</v>
      </c>
      <c r="U41" s="46">
        <f>Trend!U13</f>
        <v>5650.4</v>
      </c>
      <c r="V41" s="46">
        <f>Trend!V13</f>
        <v>5616.6</v>
      </c>
      <c r="W41" s="46">
        <f>Trend!W13</f>
        <v>5582.8</v>
      </c>
      <c r="X41" s="46">
        <f>Trend!X13</f>
        <v>5549</v>
      </c>
      <c r="Y41" s="46">
        <f>Trend!Y13</f>
        <v>5515.2</v>
      </c>
      <c r="Z41" s="46">
        <f>Trend!Z13</f>
        <v>5481.4</v>
      </c>
      <c r="AA41" s="46">
        <f>Trend!AA13</f>
        <v>5447.6</v>
      </c>
      <c r="AB41" s="46">
        <f>Trend!AB13</f>
        <v>5413.8</v>
      </c>
      <c r="AC41" s="46">
        <f>Trend!AC13</f>
        <v>5380</v>
      </c>
      <c r="AD41" s="46">
        <f>Trend!AD13</f>
        <v>5346.2</v>
      </c>
      <c r="AE41" s="46">
        <f>Trend!AE13</f>
        <v>5312.4</v>
      </c>
      <c r="AF41" s="46">
        <f>Trend!AF13</f>
        <v>5278.6</v>
      </c>
      <c r="AG41" s="46">
        <f>Trend!AG13</f>
        <v>5244.8</v>
      </c>
      <c r="AH41" s="46">
        <f>Trend!AH13</f>
        <v>5211</v>
      </c>
      <c r="AI41" s="41" t="s">
        <v>5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</row>
    <row r="42" spans="1:172">
      <c r="A42" s="1"/>
      <c r="B42" s="41" t="s">
        <v>6</v>
      </c>
      <c r="C42" s="46">
        <f>Trend!C14</f>
        <v>9400</v>
      </c>
      <c r="D42" s="46">
        <f>Trend!D14</f>
        <v>9370.136363636364</v>
      </c>
      <c r="E42" s="46">
        <f>Trend!E14</f>
        <v>9340.2727272727279</v>
      </c>
      <c r="F42" s="46">
        <f>Trend!F14</f>
        <v>9310.4090909090901</v>
      </c>
      <c r="G42" s="46">
        <f>Trend!G14</f>
        <v>9280.545454545454</v>
      </c>
      <c r="H42" s="46">
        <f>Trend!H14</f>
        <v>9250.681818181818</v>
      </c>
      <c r="I42" s="46">
        <f>Trend!I14</f>
        <v>9220.818181818182</v>
      </c>
      <c r="J42" s="46">
        <f>Trend!J14</f>
        <v>9190.954545454546</v>
      </c>
      <c r="K42" s="46">
        <f>Trend!K14</f>
        <v>9161.0909090909099</v>
      </c>
      <c r="L42" s="46">
        <f>Trend!L14</f>
        <v>9131.2272727272721</v>
      </c>
      <c r="M42" s="46">
        <f>Trend!M14</f>
        <v>9101.363636363636</v>
      </c>
      <c r="N42" s="46">
        <f>Trend!N14</f>
        <v>9071.5</v>
      </c>
      <c r="O42" s="46">
        <f>Trend!O14</f>
        <v>9048</v>
      </c>
      <c r="P42" s="46">
        <f>Trend!P14</f>
        <v>9024.5</v>
      </c>
      <c r="Q42" s="46">
        <f>Trend!Q14</f>
        <v>9001</v>
      </c>
      <c r="R42" s="46">
        <f>Trend!R14</f>
        <v>8977.5</v>
      </c>
      <c r="S42" s="46">
        <f>Trend!S14</f>
        <v>8954</v>
      </c>
      <c r="T42" s="46">
        <f>Trend!T14</f>
        <v>8930.5</v>
      </c>
      <c r="U42" s="46">
        <f>Trend!U14</f>
        <v>8907</v>
      </c>
      <c r="V42" s="46">
        <f>Trend!V14</f>
        <v>8883.5</v>
      </c>
      <c r="W42" s="46">
        <f>Trend!W14</f>
        <v>8860</v>
      </c>
      <c r="X42" s="46">
        <f>Trend!X14</f>
        <v>8836.5</v>
      </c>
      <c r="Y42" s="46">
        <f>Trend!Y14</f>
        <v>8813</v>
      </c>
      <c r="Z42" s="46">
        <f>Trend!Z14</f>
        <v>8789.5</v>
      </c>
      <c r="AA42" s="46">
        <f>Trend!AA14</f>
        <v>8766</v>
      </c>
      <c r="AB42" s="46">
        <f>Trend!AB14</f>
        <v>8742.5</v>
      </c>
      <c r="AC42" s="46">
        <f>Trend!AC14</f>
        <v>8719</v>
      </c>
      <c r="AD42" s="46">
        <f>Trend!AD14</f>
        <v>8695.5</v>
      </c>
      <c r="AE42" s="46">
        <f>Trend!AE14</f>
        <v>8672</v>
      </c>
      <c r="AF42" s="46">
        <f>Trend!AF14</f>
        <v>8648.5</v>
      </c>
      <c r="AG42" s="46">
        <f>Trend!AG14</f>
        <v>8625</v>
      </c>
      <c r="AH42" s="46">
        <f>Trend!AH14</f>
        <v>8601.5</v>
      </c>
      <c r="AI42" s="41" t="s">
        <v>102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</row>
    <row r="43" spans="1:172">
      <c r="A43" s="1"/>
      <c r="B43" s="41" t="s">
        <v>7</v>
      </c>
      <c r="C43" s="46">
        <f>Trend!C15</f>
        <v>4035</v>
      </c>
      <c r="D43" s="46">
        <f>Trend!D15</f>
        <v>4017.681818181818</v>
      </c>
      <c r="E43" s="46">
        <f>Trend!E15</f>
        <v>4000.3636363636365</v>
      </c>
      <c r="F43" s="46">
        <f>Trend!F15</f>
        <v>3983.0454545454545</v>
      </c>
      <c r="G43" s="46">
        <f>Trend!G15</f>
        <v>3965.7272727272725</v>
      </c>
      <c r="H43" s="46">
        <f>Trend!H15</f>
        <v>3948.409090909091</v>
      </c>
      <c r="I43" s="46">
        <f>Trend!I15</f>
        <v>3931.090909090909</v>
      </c>
      <c r="J43" s="46">
        <f>Trend!J15</f>
        <v>3913.7727272727275</v>
      </c>
      <c r="K43" s="46">
        <f>Trend!K15</f>
        <v>3896.4545454545455</v>
      </c>
      <c r="L43" s="46">
        <f>Trend!L15</f>
        <v>3879.1363636363635</v>
      </c>
      <c r="M43" s="46">
        <f>Trend!M15</f>
        <v>3861.818181818182</v>
      </c>
      <c r="N43" s="46">
        <f>Trend!N15</f>
        <v>3844.5</v>
      </c>
      <c r="O43" s="46">
        <f>Trend!O15</f>
        <v>3831.05</v>
      </c>
      <c r="P43" s="46">
        <f>Trend!P15</f>
        <v>3817.6</v>
      </c>
      <c r="Q43" s="46">
        <f>Trend!Q15</f>
        <v>3804.15</v>
      </c>
      <c r="R43" s="46">
        <f>Trend!R15</f>
        <v>3790.7</v>
      </c>
      <c r="S43" s="46">
        <f>Trend!S15</f>
        <v>3777.25</v>
      </c>
      <c r="T43" s="46">
        <f>Trend!T15</f>
        <v>3763.8</v>
      </c>
      <c r="U43" s="46">
        <f>Trend!U15</f>
        <v>3750.35</v>
      </c>
      <c r="V43" s="46">
        <f>Trend!V15</f>
        <v>3736.9</v>
      </c>
      <c r="W43" s="46">
        <f>Trend!W15</f>
        <v>3723.45</v>
      </c>
      <c r="X43" s="46">
        <f>Trend!X15</f>
        <v>3710</v>
      </c>
      <c r="Y43" s="46">
        <f>Trend!Y15</f>
        <v>3696.55</v>
      </c>
      <c r="Z43" s="46">
        <f>Trend!Z15</f>
        <v>3683.1</v>
      </c>
      <c r="AA43" s="46">
        <f>Trend!AA15</f>
        <v>3669.65</v>
      </c>
      <c r="AB43" s="46">
        <f>Trend!AB15</f>
        <v>3656.2</v>
      </c>
      <c r="AC43" s="46">
        <f>Trend!AC15</f>
        <v>3642.75</v>
      </c>
      <c r="AD43" s="46">
        <f>Trend!AD15</f>
        <v>3629.3</v>
      </c>
      <c r="AE43" s="46">
        <f>Trend!AE15</f>
        <v>3615.85</v>
      </c>
      <c r="AF43" s="46">
        <f>Trend!AF15</f>
        <v>3602.4</v>
      </c>
      <c r="AG43" s="46">
        <f>Trend!AG15</f>
        <v>3588.95</v>
      </c>
      <c r="AH43" s="46">
        <f>Trend!AH15</f>
        <v>3575.5</v>
      </c>
      <c r="AI43" s="41" t="s">
        <v>7</v>
      </c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</row>
    <row r="44" spans="1:172">
      <c r="A44" s="1"/>
      <c r="B44" s="41" t="s">
        <v>72</v>
      </c>
      <c r="C44" s="46">
        <f>Trend!C16</f>
        <v>5691.5</v>
      </c>
      <c r="D44" s="46">
        <f>Trend!D16</f>
        <v>5678.772727272727</v>
      </c>
      <c r="E44" s="46">
        <f>Trend!E16</f>
        <v>5666.045454545455</v>
      </c>
      <c r="F44" s="46">
        <f>Trend!F16</f>
        <v>5653.318181818182</v>
      </c>
      <c r="G44" s="46">
        <f>Trend!G16</f>
        <v>5640.590909090909</v>
      </c>
      <c r="H44" s="46">
        <f>Trend!H16</f>
        <v>5627.863636363636</v>
      </c>
      <c r="I44" s="46">
        <f>Trend!I16</f>
        <v>5615.136363636364</v>
      </c>
      <c r="J44" s="46">
        <f>Trend!J16</f>
        <v>5602.409090909091</v>
      </c>
      <c r="K44" s="46">
        <f>Trend!K16</f>
        <v>5589.681818181818</v>
      </c>
      <c r="L44" s="46">
        <f>Trend!L16</f>
        <v>5576.954545454545</v>
      </c>
      <c r="M44" s="46">
        <f>Trend!M16</f>
        <v>5564.227272727273</v>
      </c>
      <c r="N44" s="46">
        <f>Trend!N16</f>
        <v>5551.5</v>
      </c>
      <c r="O44" s="46">
        <f>Trend!O16</f>
        <v>5542.6</v>
      </c>
      <c r="P44" s="46">
        <f>Trend!P16</f>
        <v>5533.7</v>
      </c>
      <c r="Q44" s="46">
        <f>Trend!Q16</f>
        <v>5524.8</v>
      </c>
      <c r="R44" s="46">
        <f>Trend!R16</f>
        <v>5515.9</v>
      </c>
      <c r="S44" s="46">
        <f>Trend!S16</f>
        <v>5507</v>
      </c>
      <c r="T44" s="46">
        <f>Trend!T16</f>
        <v>5498.1</v>
      </c>
      <c r="U44" s="46">
        <f>Trend!U16</f>
        <v>5489.2</v>
      </c>
      <c r="V44" s="46">
        <f>Trend!V16</f>
        <v>5480.3</v>
      </c>
      <c r="W44" s="46">
        <f>Trend!W16</f>
        <v>5471.4</v>
      </c>
      <c r="X44" s="46">
        <f>Trend!X16</f>
        <v>5462.5</v>
      </c>
      <c r="Y44" s="46">
        <f>Trend!Y16</f>
        <v>5453.6</v>
      </c>
      <c r="Z44" s="46">
        <f>Trend!Z16</f>
        <v>5444.7</v>
      </c>
      <c r="AA44" s="46">
        <f>Trend!AA16</f>
        <v>5435.8</v>
      </c>
      <c r="AB44" s="46">
        <f>Trend!AB16</f>
        <v>5426.9</v>
      </c>
      <c r="AC44" s="46">
        <f>Trend!AC16</f>
        <v>5418</v>
      </c>
      <c r="AD44" s="46">
        <f>Trend!AD16</f>
        <v>5409.1</v>
      </c>
      <c r="AE44" s="46">
        <f>Trend!AE16</f>
        <v>5400.2</v>
      </c>
      <c r="AF44" s="46">
        <f>Trend!AF16</f>
        <v>5391.3</v>
      </c>
      <c r="AG44" s="46">
        <f>Trend!AG16</f>
        <v>5382.4</v>
      </c>
      <c r="AH44" s="46">
        <f>Trend!AH16</f>
        <v>5373.5</v>
      </c>
      <c r="AI44" s="41" t="s">
        <v>103</v>
      </c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</row>
    <row r="45" spans="1:172">
      <c r="A45" s="1"/>
      <c r="B45" s="1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</row>
    <row r="46" spans="1:172">
      <c r="A46" s="1"/>
      <c r="B46" s="41" t="s">
        <v>95</v>
      </c>
      <c r="C46" s="41">
        <v>2019</v>
      </c>
      <c r="D46" s="41">
        <v>2020</v>
      </c>
      <c r="E46" s="41">
        <v>2021</v>
      </c>
      <c r="F46" s="41">
        <v>2022</v>
      </c>
      <c r="G46" s="41">
        <v>2023</v>
      </c>
      <c r="H46" s="41">
        <v>2024</v>
      </c>
      <c r="I46" s="41">
        <v>2025</v>
      </c>
      <c r="J46" s="41">
        <v>2026</v>
      </c>
      <c r="K46" s="41">
        <v>2027</v>
      </c>
      <c r="L46" s="41">
        <v>2028</v>
      </c>
      <c r="M46" s="41">
        <v>2029</v>
      </c>
      <c r="N46" s="41">
        <v>2030</v>
      </c>
      <c r="O46" s="41">
        <v>2031</v>
      </c>
      <c r="P46" s="41">
        <v>2032</v>
      </c>
      <c r="Q46" s="41">
        <v>2033</v>
      </c>
      <c r="R46" s="41">
        <v>2034</v>
      </c>
      <c r="S46" s="41">
        <v>2035</v>
      </c>
      <c r="T46" s="41">
        <v>2036</v>
      </c>
      <c r="U46" s="41">
        <v>2037</v>
      </c>
      <c r="V46" s="41">
        <v>2038</v>
      </c>
      <c r="W46" s="41">
        <v>2039</v>
      </c>
      <c r="X46" s="41">
        <v>2040</v>
      </c>
      <c r="Y46" s="41">
        <v>2041</v>
      </c>
      <c r="Z46" s="41">
        <v>2042</v>
      </c>
      <c r="AA46" s="41">
        <v>2043</v>
      </c>
      <c r="AB46" s="41">
        <v>2044</v>
      </c>
      <c r="AC46" s="41">
        <v>2045</v>
      </c>
      <c r="AD46" s="41">
        <v>2046</v>
      </c>
      <c r="AE46" s="41">
        <v>2047</v>
      </c>
      <c r="AF46" s="41">
        <v>2048</v>
      </c>
      <c r="AG46" s="41">
        <v>2049</v>
      </c>
      <c r="AH46" s="41">
        <v>2050</v>
      </c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</row>
    <row r="47" spans="1:172">
      <c r="A47" s="1"/>
      <c r="B47" s="41">
        <v>1</v>
      </c>
      <c r="C47" s="47" t="str">
        <f>VLOOKUP(SMALL($C$32:$C$44,1),$C$32:$AI$44,33,FALSE)</f>
        <v>Gas - CT</v>
      </c>
      <c r="D47" s="48" t="str">
        <f>VLOOKUP(SMALL(D32:D44,1),$D$32:$AI$44,32,FALSE)</f>
        <v>Gas - CT</v>
      </c>
      <c r="E47" s="48" t="str">
        <f>VLOOKUP(SMALL(E32:E44,1),$E$32:$AI$44,31,FALSE)</f>
        <v>Gas - CT</v>
      </c>
      <c r="F47" s="48" t="str">
        <f>VLOOKUP(SMALL(F32:F44,1),$F$32:$AI$44,30,FALSE)</f>
        <v>Gas - CT</v>
      </c>
      <c r="G47" s="48" t="str">
        <f>VLOOKUP(SMALL(G32:G44,1),$G$32:$AI$44,29,FALSE)</f>
        <v>Gas - CT</v>
      </c>
      <c r="H47" s="48" t="str">
        <f>VLOOKUP(SMALL(H32:H44,1),H32:AI44,28,FALSE)</f>
        <v>Gas - CT</v>
      </c>
      <c r="I47" s="48" t="str">
        <f>VLOOKUP(SMALL(I32:I44,1),I32:AI44,27,FALSE)</f>
        <v>Gas - CT</v>
      </c>
      <c r="J47" s="48" t="str">
        <f>VLOOKUP(SMALL(J32:J44,1),J32:AI44,26,FALSE)</f>
        <v>Gas - CT</v>
      </c>
      <c r="K47" s="48" t="str">
        <f>VLOOKUP(SMALL(K32:K44,1),K32:AI44,25,FALSE)</f>
        <v>Gas - CT</v>
      </c>
      <c r="L47" s="48" t="str">
        <f>VLOOKUP(SMALL(L32:L44,1),L32:AI44,24,FALSE)</f>
        <v>Gas - CT</v>
      </c>
      <c r="M47" s="48" t="str">
        <f>VLOOKUP(SMALL(M32:M44,1),M32:AI44,23,FALSE)</f>
        <v>Gas - CT</v>
      </c>
      <c r="N47" s="48" t="str">
        <f>VLOOKUP(SMALL(N32:N44,1),N32:AI44,22,FALSE)</f>
        <v>Solar PV</v>
      </c>
      <c r="O47" s="48" t="str">
        <f>VLOOKUP(SMALL(O32:O44,1),O32:AI44,21,FALSE)</f>
        <v>Solar PV</v>
      </c>
      <c r="P47" s="48" t="str">
        <f>VLOOKUP(SMALL(P32:P44,1),P32:AI44,20,FALSE)</f>
        <v>Solar PV</v>
      </c>
      <c r="Q47" s="48" t="str">
        <f>VLOOKUP(SMALL(Q32:Q44,1),Q32:AI44,19,FALSE)</f>
        <v>Solar PV</v>
      </c>
      <c r="R47" s="48" t="str">
        <f>VLOOKUP(SMALL(R32:R44,1),R32:AI44,18,FALSE)</f>
        <v>Solar PV</v>
      </c>
      <c r="S47" s="48" t="str">
        <f>VLOOKUP(SMALL(S32:S44,1),S32:AI44,17,FALSE)</f>
        <v>Solar PV</v>
      </c>
      <c r="T47" s="48" t="str">
        <f>VLOOKUP(SMALL(T32:T44,1),T32:AI44,16,FALSE)</f>
        <v>Solar PV</v>
      </c>
      <c r="U47" s="48" t="str">
        <f>VLOOKUP(SMALL(U32:U44,1),U32:AI44,15,FALSE)</f>
        <v>Solar PV</v>
      </c>
      <c r="V47" s="48" t="str">
        <f>VLOOKUP(SMALL(V32:V44,1),V32:AI44,14,FALSE)</f>
        <v>Solar PV</v>
      </c>
      <c r="W47" s="48" t="str">
        <f>VLOOKUP(SMALL(W32:W44,1),W32:AI44,13,FALSE)</f>
        <v>Solar PV</v>
      </c>
      <c r="X47" s="48" t="str">
        <f>VLOOKUP(SMALL(X32:X44,1),X32:AI44,12,FALSE)</f>
        <v>Solar PV</v>
      </c>
      <c r="Y47" s="48" t="str">
        <f>VLOOKUP(SMALL(Y32:Y44,1),Y32:AI44,11,FALSE)</f>
        <v>Solar PV</v>
      </c>
      <c r="Z47" s="48" t="str">
        <f>VLOOKUP(SMALL(Z32:Z44,1),Z32:AI44,10,FALSE)</f>
        <v>Solar PV</v>
      </c>
      <c r="AA47" s="48" t="str">
        <f>VLOOKUP(SMALL(AA32:AA44,1),AA32:AI44,9,FALSE)</f>
        <v>Solar PV</v>
      </c>
      <c r="AB47" s="48" t="str">
        <f>VLOOKUP(SMALL(AB32:AB44,1),AB32:AI44,8,FALSE)</f>
        <v>Solar PV</v>
      </c>
      <c r="AC47" s="48" t="str">
        <f>VLOOKUP(SMALL(AC32:AC44,1),AC32:AI44,7,FALSE)</f>
        <v>Solar PV</v>
      </c>
      <c r="AD47" s="48" t="str">
        <f>VLOOKUP(SMALL(AD32:AD44,1),AD32:AI44,6,FALSE)</f>
        <v>Solar PV</v>
      </c>
      <c r="AE47" s="48" t="str">
        <f>VLOOKUP(SMALL(AE32:AE44,1),AE32:AI44,5,FALSE)</f>
        <v>Solar PV</v>
      </c>
      <c r="AF47" s="48" t="str">
        <f>VLOOKUP(SMALL(AF32:AF44,1),AF32:AI44,4,FALSE)</f>
        <v>Solar PV</v>
      </c>
      <c r="AG47" s="48" t="str">
        <f>VLOOKUP(SMALL(AG32:AG44,1),AG32:AI44,3,FALSE)</f>
        <v>Solar PV</v>
      </c>
      <c r="AH47" s="48" t="str">
        <f>VLOOKUP(SMALL(AH32:AH44,1),AH32:AI44,2,FALSE)</f>
        <v>Solar PV</v>
      </c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</row>
    <row r="48" spans="1:172">
      <c r="A48" s="1"/>
      <c r="B48" s="41">
        <v>2</v>
      </c>
      <c r="C48" s="47" t="str">
        <f>VLOOKUP(SMALL($C$32:$C$44,2),$C$32:$AI$44,33,FALSE)</f>
        <v>Gas - CC</v>
      </c>
      <c r="D48" s="48" t="str">
        <f>VLOOKUP(SMALL(D32:D44,2),$D$32:$AI$44,32,FALSE)</f>
        <v>Gas - CC</v>
      </c>
      <c r="E48" s="48" t="str">
        <f>VLOOKUP(SMALL(E32:E44,2),$E$32:$AI$44,31,FALSE)</f>
        <v>Gas - CC</v>
      </c>
      <c r="F48" s="48" t="str">
        <f>VLOOKUP(SMALL(F32:F44,2),$F$32:$AI$44,30,FALSE)</f>
        <v>Gas - CC</v>
      </c>
      <c r="G48" s="48" t="str">
        <f>VLOOKUP(SMALL(G32:G44,2),$G$32:$AI$44,29,FALSE)</f>
        <v>Gas - CC</v>
      </c>
      <c r="H48" s="48" t="str">
        <f>VLOOKUP(SMALL(H32:H44,2),H32:AI44,28,FALSE)</f>
        <v>Gas - CC</v>
      </c>
      <c r="I48" s="48" t="str">
        <f>VLOOKUP(SMALL(I32:I44,2),I32:AI44,27,FALSE)</f>
        <v>Gas - CC</v>
      </c>
      <c r="J48" s="48" t="str">
        <f>VLOOKUP(SMALL(J32:J44,2),J32:AI44,26,FALSE)</f>
        <v>Gas - CC</v>
      </c>
      <c r="K48" s="48" t="str">
        <f>VLOOKUP(SMALL(K32:K44,2),K32:AI44,25,FALSE)</f>
        <v>Gas - CC</v>
      </c>
      <c r="L48" s="48" t="str">
        <f>VLOOKUP(SMALL(L32:L44,2),L32:AI44,24,FALSE)</f>
        <v>Solar PV</v>
      </c>
      <c r="M48" s="48" t="str">
        <f>VLOOKUP(SMALL(M32:M44,2),M32:AI44,23,FALSE)</f>
        <v>Solar PV</v>
      </c>
      <c r="N48" s="48" t="str">
        <f>VLOOKUP(SMALL(N32:N44,2),N32:AI44,22,FALSE)</f>
        <v>Gas - CT</v>
      </c>
      <c r="O48" s="48" t="str">
        <f>VLOOKUP(SMALL(O32:O44,2),O32:AI44,21,FALSE)</f>
        <v>Gas - CT</v>
      </c>
      <c r="P48" s="48" t="str">
        <f>VLOOKUP(SMALL(P32:P44,2),P32:AI44,20,FALSE)</f>
        <v>Gas - CT</v>
      </c>
      <c r="Q48" s="48" t="str">
        <f>VLOOKUP(SMALL(Q32:Q44,2),Q32:AI44,19,FALSE)</f>
        <v>Gas - CT</v>
      </c>
      <c r="R48" s="48" t="str">
        <f>VLOOKUP(SMALL(R32:R44,2),R32:AI44,18,FALSE)</f>
        <v>Gas - CT</v>
      </c>
      <c r="S48" s="48" t="str">
        <f>VLOOKUP(SMALL(S32:S44,2),S32:AI44,17,FALSE)</f>
        <v>Gas - CT</v>
      </c>
      <c r="T48" s="48" t="str">
        <f>VLOOKUP(SMALL(T32:T44,2),T32:AI44,16,FALSE)</f>
        <v>Gas - CT</v>
      </c>
      <c r="U48" s="48" t="str">
        <f>VLOOKUP(SMALL(U32:U44,2),U32:AI44,15,FALSE)</f>
        <v>Gas - CT</v>
      </c>
      <c r="V48" s="48" t="str">
        <f>VLOOKUP(SMALL(V32:V44,2),V32:AI44,14,FALSE)</f>
        <v>Gas - CT</v>
      </c>
      <c r="W48" s="48" t="str">
        <f>VLOOKUP(SMALL(W32:W44,2),W32:AI44,13,FALSE)</f>
        <v>Gas - CT</v>
      </c>
      <c r="X48" s="48" t="str">
        <f>VLOOKUP(SMALL(X32:X44,2),X32:AI44,12,FALSE)</f>
        <v>Gas - CT</v>
      </c>
      <c r="Y48" s="48" t="str">
        <f>VLOOKUP(SMALL(Y32:Y44,2),Y32:AI44,11,FALSE)</f>
        <v>Gas - CT</v>
      </c>
      <c r="Z48" s="48" t="str">
        <f>VLOOKUP(SMALL(Z32:Z44,2),Z32:AI44,10,FALSE)</f>
        <v>Gas - CT</v>
      </c>
      <c r="AA48" s="48" t="str">
        <f>VLOOKUP(SMALL(AA32:AA44,2),AA32:AI44,9,FALSE)</f>
        <v>Gas - CT</v>
      </c>
      <c r="AB48" s="48" t="str">
        <f>VLOOKUP(SMALL(AB32:AB44,2),AB32:AI44,8,FALSE)</f>
        <v>Gas - CT</v>
      </c>
      <c r="AC48" s="48" t="str">
        <f>VLOOKUP(SMALL(AC32:AC44,2),AC32:AI44,7,FALSE)</f>
        <v>Gas - CT</v>
      </c>
      <c r="AD48" s="48" t="str">
        <f>VLOOKUP(SMALL(AD32:AD44,2),AD32:AI44,6,FALSE)</f>
        <v>Gas - CT</v>
      </c>
      <c r="AE48" s="48" t="str">
        <f>VLOOKUP(SMALL(AE32:AE44,2),AE32:AI44,5,FALSE)</f>
        <v>Gas - CT</v>
      </c>
      <c r="AF48" s="48" t="str">
        <f>VLOOKUP(SMALL(AF32:AF44,2),AF32:AI44,4,FALSE)</f>
        <v>Gas - CT</v>
      </c>
      <c r="AG48" s="48" t="str">
        <f>VLOOKUP(SMALL(AG32:AG44,2),AG32:AI44,3,FALSE)</f>
        <v>Gas - CT</v>
      </c>
      <c r="AH48" s="48" t="str">
        <f>VLOOKUP(SMALL(AH32:AH44,2),AH32:AI44,2,FALSE)</f>
        <v>Gas - CT</v>
      </c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</row>
    <row r="49" spans="1:172">
      <c r="A49" s="1"/>
      <c r="B49" s="41">
        <v>3</v>
      </c>
      <c r="C49" s="47" t="str">
        <f>VLOOKUP(SMALL($C$32:$C$44,3),$C$32:$AI$44,33,FALSE)</f>
        <v>Wind On</v>
      </c>
      <c r="D49" s="48" t="str">
        <f>VLOOKUP(SMALL(D32:D44,3),$D$32:$AI$44,32,FALSE)</f>
        <v>Wind On</v>
      </c>
      <c r="E49" s="48" t="str">
        <f>VLOOKUP(SMALL(E32:E44,3),$E$32:$AI$44,31,FALSE)</f>
        <v>Solar PV</v>
      </c>
      <c r="F49" s="48" t="str">
        <f>VLOOKUP(SMALL(F32:F44,3),$F$32:$AI$44,30,FALSE)</f>
        <v>Solar PV</v>
      </c>
      <c r="G49" s="48" t="str">
        <f>VLOOKUP(SMALL(G32:G44,3),$G$32:$AI$44,29,FALSE)</f>
        <v>Solar PV</v>
      </c>
      <c r="H49" s="48" t="str">
        <f>VLOOKUP(SMALL(H32:H44,3),H32:AI44,28,FALSE)</f>
        <v>Solar PV</v>
      </c>
      <c r="I49" s="48" t="str">
        <f>VLOOKUP(SMALL(I32:I44,3),I32:AI44,27,FALSE)</f>
        <v>Solar PV</v>
      </c>
      <c r="J49" s="48" t="str">
        <f>VLOOKUP(SMALL(J32:J44,3),J32:AI44,26,FALSE)</f>
        <v>Solar PV</v>
      </c>
      <c r="K49" s="48" t="str">
        <f>VLOOKUP(SMALL(K32:K44,3),K32:AI44,25,FALSE)</f>
        <v>Solar PV</v>
      </c>
      <c r="L49" s="48" t="str">
        <f>VLOOKUP(SMALL(L32:L44,3),L32:AI44,24,FALSE)</f>
        <v>Gas - CC</v>
      </c>
      <c r="M49" s="48" t="str">
        <f>VLOOKUP(SMALL(M32:M44,3),M32:AI44,23,FALSE)</f>
        <v>Gas - CC</v>
      </c>
      <c r="N49" s="48" t="str">
        <f>VLOOKUP(SMALL(N32:N44,3),N32:AI44,22,FALSE)</f>
        <v>Gas - CC</v>
      </c>
      <c r="O49" s="48" t="str">
        <f>VLOOKUP(SMALL(O32:O44,3),O32:AI44,21,FALSE)</f>
        <v>Gas - CC</v>
      </c>
      <c r="P49" s="48" t="str">
        <f>VLOOKUP(SMALL(P32:P44,3),P32:AI44,20,FALSE)</f>
        <v>Gas - CC</v>
      </c>
      <c r="Q49" s="48" t="str">
        <f>VLOOKUP(SMALL(Q32:Q44,3),Q32:AI44,19,FALSE)</f>
        <v>Gas - CC</v>
      </c>
      <c r="R49" s="48" t="str">
        <f>VLOOKUP(SMALL(R32:R44,3),R32:AI44,18,FALSE)</f>
        <v>Gas - CC</v>
      </c>
      <c r="S49" s="48" t="str">
        <f>VLOOKUP(SMALL(S32:S44,3),S32:AI44,17,FALSE)</f>
        <v>Gas - CC</v>
      </c>
      <c r="T49" s="48" t="str">
        <f>VLOOKUP(SMALL(T32:T44,3),T32:AI44,16,FALSE)</f>
        <v>Gas - CC</v>
      </c>
      <c r="U49" s="48" t="str">
        <f>VLOOKUP(SMALL(U32:U44,3),U32:AI44,15,FALSE)</f>
        <v>Gas - CC</v>
      </c>
      <c r="V49" s="48" t="str">
        <f>VLOOKUP(SMALL(V32:V44,3),V32:AI44,14,FALSE)</f>
        <v>Gas - CC</v>
      </c>
      <c r="W49" s="48" t="str">
        <f>VLOOKUP(SMALL(W32:W44,3),W32:AI44,13,FALSE)</f>
        <v>Gas - CC</v>
      </c>
      <c r="X49" s="48" t="str">
        <f>VLOOKUP(SMALL(X32:X44,3),X32:AI44,12,FALSE)</f>
        <v>Gas - CC</v>
      </c>
      <c r="Y49" s="48" t="str">
        <f>VLOOKUP(SMALL(Y32:Y44,3),Y32:AI44,11,FALSE)</f>
        <v>Gas - CC</v>
      </c>
      <c r="Z49" s="48" t="str">
        <f>VLOOKUP(SMALL(Z32:Z44,3),Z32:AI44,10,FALSE)</f>
        <v>Gas - CC</v>
      </c>
      <c r="AA49" s="48" t="str">
        <f>VLOOKUP(SMALL(AA32:AA44,3),AA32:AI44,9,FALSE)</f>
        <v>Gas - CC</v>
      </c>
      <c r="AB49" s="48" t="str">
        <f>VLOOKUP(SMALL(AB32:AB44,3),AB32:AI44,8,FALSE)</f>
        <v>Gas - CC</v>
      </c>
      <c r="AC49" s="48" t="str">
        <f>VLOOKUP(SMALL(AC32:AC44,3),AC32:AI44,7,FALSE)</f>
        <v>Gas - CC</v>
      </c>
      <c r="AD49" s="48" t="str">
        <f>VLOOKUP(SMALL(AD32:AD44,3),AD32:AI44,6,FALSE)</f>
        <v>Gas - CC</v>
      </c>
      <c r="AE49" s="48" t="str">
        <f>VLOOKUP(SMALL(AE32:AE44,3),AE32:AI44,5,FALSE)</f>
        <v>Gas - CC</v>
      </c>
      <c r="AF49" s="48" t="str">
        <f>VLOOKUP(SMALL(AF32:AF44,3),AF32:AI44,4,FALSE)</f>
        <v>Gas - CC</v>
      </c>
      <c r="AG49" s="48" t="str">
        <f>VLOOKUP(SMALL(AG32:AG44,3),AG32:AI44,3,FALSE)</f>
        <v>Gas - CC</v>
      </c>
      <c r="AH49" s="48" t="str">
        <f>VLOOKUP(SMALL(AH32:AH44,3),AH32:AI44,2,FALSE)</f>
        <v>Gas - CC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</row>
    <row r="50" spans="1:172">
      <c r="A50" s="1"/>
      <c r="B50" s="41">
        <v>4</v>
      </c>
      <c r="C50" s="48" t="str">
        <f>VLOOKUP(SMALL($C$32:$C$44,4),$C$32:$AI$44,33,FALSE)</f>
        <v>Solar PV</v>
      </c>
      <c r="D50" s="48" t="str">
        <f>VLOOKUP(SMALL(D32:D44,4),$D$32:$AI$44,32,FALSE)</f>
        <v>Solar PV</v>
      </c>
      <c r="E50" s="48" t="str">
        <f>VLOOKUP(SMALL(E32:E44,4),$E$32:$AI$44,31,FALSE)</f>
        <v>Wind On</v>
      </c>
      <c r="F50" s="48" t="str">
        <f>VLOOKUP(SMALL(F32:F44,4),$F$32:$AI$44,30,FALSE)</f>
        <v>Wind On</v>
      </c>
      <c r="G50" s="48" t="str">
        <f>VLOOKUP(SMALL(G32:G44,4),$G$32:$AI$44,29,FALSE)</f>
        <v>Wind On</v>
      </c>
      <c r="H50" s="48" t="str">
        <f>VLOOKUP(SMALL(H32:H44,4),H32:AI44,28,FALSE)</f>
        <v>Wind On</v>
      </c>
      <c r="I50" s="48" t="str">
        <f>VLOOKUP(SMALL(I32:I44,4),I32:AI44,27,FALSE)</f>
        <v>Wind On</v>
      </c>
      <c r="J50" s="48" t="str">
        <f>VLOOKUP(SMALL(J32:J44,4),J32:AI44,26,FALSE)</f>
        <v>Wind On</v>
      </c>
      <c r="K50" s="48" t="str">
        <f>VLOOKUP(SMALL(K32:K44,4),K32:AI44,25,FALSE)</f>
        <v>Wind On</v>
      </c>
      <c r="L50" s="48" t="str">
        <f>VLOOKUP(SMALL(L32:L44,4),L32:AI44,24,FALSE)</f>
        <v>Wind On</v>
      </c>
      <c r="M50" s="48" t="str">
        <f>VLOOKUP(SMALL(M32:M44,4),M32:AI44,23,FALSE)</f>
        <v>Wind On</v>
      </c>
      <c r="N50" s="48" t="str">
        <f>VLOOKUP(SMALL(N32:N44,4),N32:AI44,22,FALSE)</f>
        <v>Wind On</v>
      </c>
      <c r="O50" s="48" t="str">
        <f>VLOOKUP(SMALL(O32:O44,4),O32:AI44,21,FALSE)</f>
        <v>Wind On</v>
      </c>
      <c r="P50" s="48" t="str">
        <f>VLOOKUP(SMALL(P32:P44,4),P32:AI44,20,FALSE)</f>
        <v>Wind On</v>
      </c>
      <c r="Q50" s="48" t="str">
        <f>VLOOKUP(SMALL(Q32:Q44,4),Q32:AI44,19,FALSE)</f>
        <v>Wind On</v>
      </c>
      <c r="R50" s="48" t="str">
        <f>VLOOKUP(SMALL(R32:R44,4),R32:AI44,18,FALSE)</f>
        <v>Wind On</v>
      </c>
      <c r="S50" s="48" t="str">
        <f>VLOOKUP(SMALL(S32:S44,4),S32:AI44,17,FALSE)</f>
        <v>Wind On</v>
      </c>
      <c r="T50" s="48" t="str">
        <f>VLOOKUP(SMALL(T32:T44,4),T32:AI44,16,FALSE)</f>
        <v>Wind On</v>
      </c>
      <c r="U50" s="48" t="str">
        <f>VLOOKUP(SMALL(U32:U44,4),U32:AI44,15,FALSE)</f>
        <v>Wind On</v>
      </c>
      <c r="V50" s="48" t="str">
        <f>VLOOKUP(SMALL(V32:V44,4),V32:AI44,14,FALSE)</f>
        <v>Wind On</v>
      </c>
      <c r="W50" s="48" t="str">
        <f>VLOOKUP(SMALL(W32:W44,4),W32:AI44,13,FALSE)</f>
        <v>Wind On</v>
      </c>
      <c r="X50" s="48" t="str">
        <f>VLOOKUP(SMALL(X32:X44,4),X32:AI44,12,FALSE)</f>
        <v>Wind On</v>
      </c>
      <c r="Y50" s="48" t="str">
        <f>VLOOKUP(SMALL(Y32:Y44,4),Y32:AI44,11,FALSE)</f>
        <v>Wind On</v>
      </c>
      <c r="Z50" s="48" t="str">
        <f>VLOOKUP(SMALL(Z32:Z44,4),Z32:AI44,10,FALSE)</f>
        <v>Wind On</v>
      </c>
      <c r="AA50" s="48" t="str">
        <f>VLOOKUP(SMALL(AA32:AA44,4),AA32:AI44,9,FALSE)</f>
        <v>Wind On</v>
      </c>
      <c r="AB50" s="48" t="str">
        <f>VLOOKUP(SMALL(AB32:AB44,4),AB32:AI44,8,FALSE)</f>
        <v>Wind On</v>
      </c>
      <c r="AC50" s="48" t="str">
        <f>VLOOKUP(SMALL(AC32:AC44,4),AC32:AI44,7,FALSE)</f>
        <v>Wind On</v>
      </c>
      <c r="AD50" s="48" t="str">
        <f>VLOOKUP(SMALL(AD32:AD44,4),AD32:AI44,6,FALSE)</f>
        <v>Wind On</v>
      </c>
      <c r="AE50" s="48" t="str">
        <f>VLOOKUP(SMALL(AE32:AE44,4),AE32:AI44,5,FALSE)</f>
        <v>Gas CCS</v>
      </c>
      <c r="AF50" s="48" t="str">
        <f>VLOOKUP(SMALL(AF32:AF44,4),AF32:AI44,4,FALSE)</f>
        <v>Gas CCS</v>
      </c>
      <c r="AG50" s="48" t="str">
        <f>VLOOKUP(SMALL(AG32:AG44,4),AG32:AI44,3,FALSE)</f>
        <v>Gas CCS</v>
      </c>
      <c r="AH50" s="48" t="str">
        <f>VLOOKUP(SMALL(AH32:AH44,4),AH32:AI44,2,FALSE)</f>
        <v>Gas CCS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</row>
    <row r="51" spans="1:172">
      <c r="A51" s="1"/>
      <c r="B51" s="41">
        <v>5</v>
      </c>
      <c r="C51" s="48" t="str">
        <f>VLOOKUP(SMALL($C$32:$C$44,5),$C$32:$AI$44,33,FALSE)</f>
        <v>Gas CCS</v>
      </c>
      <c r="D51" s="48" t="str">
        <f>VLOOKUP(SMALL(D32:D44,5),$D$32:$AI$44,32,FALSE)</f>
        <v>Gas CCS</v>
      </c>
      <c r="E51" s="48" t="str">
        <f>VLOOKUP(SMALL(E32:E44,5),$E$32:$AI$44,31,FALSE)</f>
        <v>Gas CCS</v>
      </c>
      <c r="F51" s="48" t="str">
        <f>VLOOKUP(SMALL(F32:F44,5),$F$32:$AI$44,30,FALSE)</f>
        <v>Gas CCS</v>
      </c>
      <c r="G51" s="48" t="str">
        <f>VLOOKUP(SMALL(G32:G44,5),$G$32:$AI$44,29,FALSE)</f>
        <v>Gas CCS</v>
      </c>
      <c r="H51" s="48" t="str">
        <f>VLOOKUP(SMALL(H32:H44,5),H32:AI44,28,FALSE)</f>
        <v>Gas CCS</v>
      </c>
      <c r="I51" s="48" t="str">
        <f>VLOOKUP(SMALL(I32:I44,5),I32:AI44,27,FALSE)</f>
        <v>Gas CCS</v>
      </c>
      <c r="J51" s="48" t="str">
        <f>VLOOKUP(SMALL(J32:J44,5),J32:AI44,26,FALSE)</f>
        <v>Gas CCS</v>
      </c>
      <c r="K51" s="48" t="str">
        <f>VLOOKUP(SMALL(K32:K44,5),K32:AI44,25,FALSE)</f>
        <v>Gas CCS</v>
      </c>
      <c r="L51" s="48" t="str">
        <f>VLOOKUP(SMALL(L32:L44,5),L32:AI44,24,FALSE)</f>
        <v>Gas CCS</v>
      </c>
      <c r="M51" s="48" t="str">
        <f>VLOOKUP(SMALL(M32:M44,5),M32:AI44,23,FALSE)</f>
        <v>Gas CCS</v>
      </c>
      <c r="N51" s="48" t="str">
        <f>VLOOKUP(SMALL(N32:N44,5),N32:AI44,22,FALSE)</f>
        <v>Gas CCS</v>
      </c>
      <c r="O51" s="48" t="str">
        <f>VLOOKUP(SMALL(O32:O44,5),O32:AI44,21,FALSE)</f>
        <v>Gas CCS</v>
      </c>
      <c r="P51" s="48" t="str">
        <f>VLOOKUP(SMALL(P32:P44,5),P32:AI44,20,FALSE)</f>
        <v>Gas CCS</v>
      </c>
      <c r="Q51" s="48" t="str">
        <f>VLOOKUP(SMALL(Q32:Q44,5),Q32:AI44,19,FALSE)</f>
        <v>Gas CCS</v>
      </c>
      <c r="R51" s="48" t="str">
        <f>VLOOKUP(SMALL(R32:R44,5),R32:AI44,18,FALSE)</f>
        <v>Gas CCS</v>
      </c>
      <c r="S51" s="48" t="str">
        <f>VLOOKUP(SMALL(S32:S44,5),S32:AI44,17,FALSE)</f>
        <v>Gas CCS</v>
      </c>
      <c r="T51" s="48" t="str">
        <f>VLOOKUP(SMALL(T32:T44,5),T32:AI44,16,FALSE)</f>
        <v>Gas CCS</v>
      </c>
      <c r="U51" s="48" t="str">
        <f>VLOOKUP(SMALL(U32:U44,5),U32:AI44,15,FALSE)</f>
        <v>Gas CCS</v>
      </c>
      <c r="V51" s="48" t="str">
        <f>VLOOKUP(SMALL(V32:V44,5),V32:AI44,14,FALSE)</f>
        <v>Gas CCS</v>
      </c>
      <c r="W51" s="48" t="str">
        <f>VLOOKUP(SMALL(W32:W44,5),W32:AI44,13,FALSE)</f>
        <v>Gas CCS</v>
      </c>
      <c r="X51" s="48" t="str">
        <f>VLOOKUP(SMALL(X32:X44,5),X32:AI44,12,FALSE)</f>
        <v>Gas CCS</v>
      </c>
      <c r="Y51" s="48" t="str">
        <f>VLOOKUP(SMALL(Y32:Y44,5),Y32:AI44,11,FALSE)</f>
        <v>Gas CCS</v>
      </c>
      <c r="Z51" s="48" t="str">
        <f>VLOOKUP(SMALL(Z32:Z44,5),Z32:AI44,10,FALSE)</f>
        <v>Gas CCS</v>
      </c>
      <c r="AA51" s="48" t="str">
        <f>VLOOKUP(SMALL(AA32:AA44,5),AA32:AI44,9,FALSE)</f>
        <v>Gas CCS</v>
      </c>
      <c r="AB51" s="48" t="str">
        <f>VLOOKUP(SMALL(AB32:AB44,5),AB32:AI44,8,FALSE)</f>
        <v>Gas CCS</v>
      </c>
      <c r="AC51" s="48" t="str">
        <f>VLOOKUP(SMALL(AC32:AC44,5),AC32:AI44,7,FALSE)</f>
        <v>Gas CCS</v>
      </c>
      <c r="AD51" s="48" t="str">
        <f>VLOOKUP(SMALL(AD32:AD44,5),AD32:AI44,6,FALSE)</f>
        <v>Gas CCS</v>
      </c>
      <c r="AE51" s="48" t="str">
        <f>VLOOKUP(SMALL(AE32:AE44,5),AE32:AI44,5,FALSE)</f>
        <v>Wind On</v>
      </c>
      <c r="AF51" s="48" t="str">
        <f>VLOOKUP(SMALL(AF32:AF44,5),AF32:AI44,4,FALSE)</f>
        <v>Wind On</v>
      </c>
      <c r="AG51" s="48" t="str">
        <f>VLOOKUP(SMALL(AG32:AG44,5),AG32:AI44,3,FALSE)</f>
        <v>Wind On</v>
      </c>
      <c r="AH51" s="48" t="str">
        <f>VLOOKUP(SMALL(AH32:AH44,5),AH32:AI44,2,FALSE)</f>
        <v>Wind On</v>
      </c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</row>
    <row r="52" spans="1:17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</row>
    <row r="53" spans="1:172" ht="15" thickBo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</row>
    <row r="54" spans="1:172" ht="16.5" thickBot="1">
      <c r="A54" s="1"/>
      <c r="B54" s="262" t="s">
        <v>104</v>
      </c>
      <c r="C54" s="263"/>
      <c r="D54" s="263"/>
      <c r="E54" s="264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</row>
    <row r="55" spans="1:172">
      <c r="A55" s="1"/>
      <c r="B55" s="19" t="s">
        <v>77</v>
      </c>
      <c r="C55" s="267" t="s">
        <v>105</v>
      </c>
      <c r="D55" s="267"/>
      <c r="E55" s="267"/>
      <c r="F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</row>
    <row r="56" spans="1:172">
      <c r="A56" s="1"/>
      <c r="B56" s="41" t="s">
        <v>81</v>
      </c>
      <c r="C56" s="53">
        <f>Technology!$D$7</f>
        <v>1000</v>
      </c>
      <c r="D56" s="265" t="s">
        <v>81</v>
      </c>
      <c r="E56" s="265"/>
      <c r="F56" s="52"/>
      <c r="G56" s="5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</row>
    <row r="57" spans="1:172">
      <c r="A57" s="1"/>
      <c r="B57" s="41" t="s">
        <v>36</v>
      </c>
      <c r="C57" s="50">
        <f>Technology!$E$7</f>
        <v>222.87170139311257</v>
      </c>
      <c r="D57" s="265" t="s">
        <v>96</v>
      </c>
      <c r="E57" s="265"/>
      <c r="F57" s="52"/>
      <c r="G57" s="5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</row>
    <row r="58" spans="1:172">
      <c r="A58" s="1"/>
      <c r="B58" s="41" t="s">
        <v>89</v>
      </c>
      <c r="C58" s="49">
        <f>Technology!$F$7</f>
        <v>652</v>
      </c>
      <c r="D58" s="265" t="s">
        <v>89</v>
      </c>
      <c r="E58" s="265"/>
      <c r="F58" s="52"/>
      <c r="G58" s="5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</row>
    <row r="59" spans="1:172">
      <c r="A59" s="1"/>
      <c r="B59" s="41" t="s">
        <v>88</v>
      </c>
      <c r="C59" s="49">
        <f>Technology!$G$7</f>
        <v>441</v>
      </c>
      <c r="D59" s="265" t="s">
        <v>88</v>
      </c>
      <c r="E59" s="265"/>
      <c r="F59" s="52"/>
      <c r="G59" s="5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</row>
    <row r="60" spans="1:172">
      <c r="A60" s="1"/>
      <c r="B60" s="41" t="s">
        <v>90</v>
      </c>
      <c r="C60" s="50">
        <f>Technology!$H$7</f>
        <v>98.343000000000004</v>
      </c>
      <c r="D60" s="265" t="s">
        <v>97</v>
      </c>
      <c r="E60" s="265"/>
      <c r="F60" s="52"/>
      <c r="G60" s="5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</row>
    <row r="61" spans="1:172">
      <c r="A61" s="1"/>
      <c r="B61" s="41" t="s">
        <v>48</v>
      </c>
      <c r="C61" s="49">
        <f>Technology!$I$7</f>
        <v>45</v>
      </c>
      <c r="D61" s="265" t="s">
        <v>98</v>
      </c>
      <c r="E61" s="265"/>
      <c r="F61" s="52"/>
      <c r="G61" s="52"/>
      <c r="H61" s="1"/>
      <c r="I61" s="1"/>
      <c r="J61" s="1"/>
      <c r="K61" s="1"/>
      <c r="L61" s="1"/>
      <c r="M61" s="1"/>
      <c r="N61" s="1"/>
      <c r="O61" s="1"/>
      <c r="P61" s="5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</row>
    <row r="62" spans="1:172">
      <c r="A62" s="1"/>
      <c r="B62" s="41" t="s">
        <v>51</v>
      </c>
      <c r="C62" s="49">
        <f>Technology!$J$7</f>
        <v>22</v>
      </c>
      <c r="D62" s="265" t="s">
        <v>99</v>
      </c>
      <c r="E62" s="265"/>
      <c r="F62" s="52"/>
      <c r="G62" s="52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</row>
    <row r="63" spans="1:172">
      <c r="A63" s="1"/>
      <c r="B63" s="41" t="s">
        <v>56</v>
      </c>
      <c r="C63" s="49">
        <f>Technology!$K$7</f>
        <v>11</v>
      </c>
      <c r="D63" s="265" t="s">
        <v>107</v>
      </c>
      <c r="E63" s="265"/>
      <c r="F63" s="52"/>
      <c r="G63" s="52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</row>
    <row r="64" spans="1:172">
      <c r="A64" s="1"/>
      <c r="B64" s="41" t="s">
        <v>59</v>
      </c>
      <c r="C64" s="49">
        <f>Technology!$L$7</f>
        <v>11</v>
      </c>
      <c r="D64" s="265" t="s">
        <v>107</v>
      </c>
      <c r="E64" s="265"/>
      <c r="F64" s="52"/>
      <c r="G64" s="52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</row>
    <row r="65" spans="1:172">
      <c r="A65" s="1"/>
      <c r="B65" s="41" t="s">
        <v>5</v>
      </c>
      <c r="C65" s="49">
        <f>Technology!$M$7</f>
        <v>65</v>
      </c>
      <c r="D65" s="265" t="s">
        <v>5</v>
      </c>
      <c r="E65" s="265"/>
      <c r="F65" s="52"/>
      <c r="G65" s="52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</row>
    <row r="66" spans="1:172">
      <c r="A66" s="1"/>
      <c r="B66" s="41" t="s">
        <v>6</v>
      </c>
      <c r="C66" s="49">
        <f>Technology!$N$7</f>
        <v>47</v>
      </c>
      <c r="D66" s="265" t="s">
        <v>102</v>
      </c>
      <c r="E66" s="265"/>
      <c r="F66" s="52"/>
      <c r="G66" s="52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</row>
    <row r="67" spans="1:172">
      <c r="A67" s="1"/>
      <c r="B67" s="41" t="s">
        <v>7</v>
      </c>
      <c r="C67" s="49">
        <f>Technology!$O$7</f>
        <v>291</v>
      </c>
      <c r="D67" s="265" t="s">
        <v>7</v>
      </c>
      <c r="E67" s="265"/>
      <c r="F67" s="52"/>
      <c r="G67" s="52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</row>
    <row r="68" spans="1:172">
      <c r="A68" s="1"/>
      <c r="B68" s="41" t="s">
        <v>72</v>
      </c>
      <c r="C68" s="50">
        <f>Technology!$P$7</f>
        <v>14</v>
      </c>
      <c r="D68" s="265" t="s">
        <v>103</v>
      </c>
      <c r="E68" s="265"/>
      <c r="F68" s="52"/>
      <c r="G68" s="52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</row>
    <row r="69" spans="1:17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</row>
    <row r="70" spans="1:172">
      <c r="A70" s="1"/>
      <c r="B70" s="42" t="s">
        <v>95</v>
      </c>
      <c r="C70" s="150" t="s">
        <v>106</v>
      </c>
      <c r="D70" s="150"/>
      <c r="E70" s="150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</row>
    <row r="71" spans="1:172">
      <c r="A71" s="1"/>
      <c r="B71" s="42">
        <v>1</v>
      </c>
      <c r="C71" s="261" t="str">
        <f>VLOOKUP(SMALL(C56:C68,1),C56:E68,2,FALSE)</f>
        <v>Wind On/Off</v>
      </c>
      <c r="D71" s="261"/>
      <c r="E71" s="26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</row>
    <row r="72" spans="1:172">
      <c r="A72" s="1"/>
      <c r="B72" s="42">
        <v>2</v>
      </c>
      <c r="C72" s="261" t="str">
        <f>VLOOKUP(SMALL(C56:C68,2),C56:E68,2,FALSE)</f>
        <v>Wind On/Off</v>
      </c>
      <c r="D72" s="261"/>
      <c r="E72" s="26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</row>
    <row r="73" spans="1:172">
      <c r="A73" s="1"/>
      <c r="B73" s="42">
        <v>3</v>
      </c>
      <c r="C73" s="261" t="str">
        <f>VLOOKUP(SMALL(C56:C68,3),C56:E68,2,FALSE)</f>
        <v xml:space="preserve">Hydro </v>
      </c>
      <c r="D73" s="261"/>
      <c r="E73" s="26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</row>
    <row r="74" spans="1:172">
      <c r="A74" s="1"/>
      <c r="B74" s="42">
        <v>4</v>
      </c>
      <c r="C74" s="261" t="str">
        <f>VLOOKUP(SMALL(C56:C68,4),C56:E68,2,FALSE)</f>
        <v>Solar CSP</v>
      </c>
      <c r="D74" s="261"/>
      <c r="E74" s="26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</row>
    <row r="75" spans="1:172">
      <c r="A75" s="1"/>
      <c r="B75" s="42">
        <v>5</v>
      </c>
      <c r="C75" s="261" t="str">
        <f>VLOOKUP(SMALL(C56:C68,5),C56:E68,2,FALSE)</f>
        <v>Solar PV</v>
      </c>
      <c r="D75" s="261"/>
      <c r="E75" s="26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</row>
    <row r="76" spans="1:17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</row>
    <row r="77" spans="1:17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</row>
    <row r="78" spans="1:17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</row>
    <row r="79" spans="1:17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</row>
    <row r="80" spans="1:17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</row>
    <row r="81" spans="1:17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</row>
    <row r="82" spans="1:17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</row>
    <row r="83" spans="1:17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</row>
    <row r="84" spans="1:17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</row>
    <row r="85" spans="1:17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</row>
    <row r="86" spans="1:17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</row>
    <row r="87" spans="1:17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</row>
    <row r="88" spans="1:17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</row>
    <row r="89" spans="1:17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</row>
    <row r="90" spans="1:17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</row>
    <row r="91" spans="1:17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</row>
    <row r="92" spans="1:17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</row>
    <row r="93" spans="1:17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</row>
    <row r="94" spans="1:17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</row>
    <row r="95" spans="1:17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</row>
    <row r="96" spans="1:17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</row>
    <row r="97" spans="1:17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</row>
    <row r="98" spans="1:17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</row>
    <row r="99" spans="1:17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</row>
    <row r="100" spans="1:17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</row>
    <row r="101" spans="1:17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</row>
    <row r="102" spans="1:17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</row>
    <row r="103" spans="1:17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</row>
    <row r="104" spans="1:17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</row>
    <row r="105" spans="1:17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</row>
    <row r="106" spans="1:17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</row>
    <row r="107" spans="1:17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</row>
    <row r="108" spans="1:17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</row>
    <row r="109" spans="1:17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</row>
    <row r="110" spans="1:17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</row>
    <row r="111" spans="1:17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</row>
    <row r="112" spans="1:17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</row>
    <row r="113" spans="1:17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</row>
    <row r="114" spans="1:17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</row>
    <row r="115" spans="1:17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</row>
    <row r="116" spans="1:17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</row>
    <row r="117" spans="1:17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</row>
    <row r="118" spans="1:17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</row>
    <row r="119" spans="1:17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</row>
    <row r="120" spans="1:17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</row>
    <row r="121" spans="1:17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</row>
    <row r="122" spans="1:17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</row>
    <row r="123" spans="1:17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</row>
    <row r="124" spans="1:17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</row>
    <row r="125" spans="1:17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</row>
    <row r="126" spans="1:17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</row>
    <row r="127" spans="1:17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</row>
    <row r="128" spans="1:17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</row>
    <row r="129" spans="1:17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</row>
    <row r="130" spans="1:17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</row>
    <row r="131" spans="1:17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</row>
    <row r="132" spans="1:17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</row>
    <row r="133" spans="1:17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</row>
    <row r="134" spans="1:17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</row>
    <row r="135" spans="1:17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</row>
    <row r="136" spans="1:17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</row>
    <row r="137" spans="1:17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</row>
    <row r="138" spans="1:17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</row>
    <row r="139" spans="1:17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</row>
    <row r="140" spans="1:17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</row>
    <row r="141" spans="1:17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</row>
    <row r="142" spans="1:17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</row>
    <row r="143" spans="1:17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</row>
    <row r="144" spans="1:17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</row>
    <row r="145" spans="1:17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</row>
    <row r="146" spans="1:17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</row>
    <row r="147" spans="1:17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</row>
    <row r="148" spans="1:17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</row>
    <row r="149" spans="1:17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</row>
    <row r="150" spans="1:17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</row>
    <row r="151" spans="1:17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</row>
    <row r="152" spans="1:17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</row>
    <row r="153" spans="1:17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</row>
    <row r="154" spans="1:17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</row>
    <row r="155" spans="1:17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</row>
    <row r="156" spans="1:17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</row>
    <row r="157" spans="1:17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</row>
    <row r="158" spans="1:17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</row>
    <row r="159" spans="1:17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</row>
    <row r="160" spans="1:17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</row>
    <row r="161" spans="1:17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</row>
    <row r="162" spans="1:17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</row>
    <row r="163" spans="1:17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</row>
    <row r="164" spans="1:17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</row>
    <row r="165" spans="1:17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</row>
    <row r="166" spans="1:17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</row>
    <row r="167" spans="1:17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</row>
    <row r="168" spans="1:17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</row>
    <row r="169" spans="1:17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</row>
    <row r="170" spans="1:17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</row>
    <row r="171" spans="1:17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</row>
    <row r="172" spans="1: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</row>
    <row r="173" spans="1:17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</row>
    <row r="174" spans="1:17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</row>
    <row r="175" spans="1:17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</row>
    <row r="176" spans="1:17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</row>
    <row r="177" spans="1:17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</row>
    <row r="178" spans="1:17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</row>
    <row r="179" spans="1:17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</row>
    <row r="180" spans="1:17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</row>
    <row r="181" spans="1:17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</row>
    <row r="182" spans="1:17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</row>
    <row r="183" spans="1:17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</row>
    <row r="184" spans="1:17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</row>
    <row r="185" spans="1:17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</row>
    <row r="186" spans="1:17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</row>
    <row r="187" spans="1:17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</row>
    <row r="188" spans="1:17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</row>
    <row r="189" spans="1:17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</row>
    <row r="190" spans="1:17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</row>
    <row r="191" spans="1:17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</row>
    <row r="192" spans="1:17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</row>
    <row r="193" spans="1:17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</row>
    <row r="194" spans="1:17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</row>
    <row r="195" spans="1:17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</row>
    <row r="196" spans="1:17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</row>
    <row r="197" spans="1:17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</row>
    <row r="198" spans="1:17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</row>
    <row r="199" spans="1:17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</row>
    <row r="200" spans="1:17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</row>
    <row r="201" spans="1:17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</row>
    <row r="202" spans="1:17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</row>
    <row r="203" spans="1:17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</row>
    <row r="204" spans="1:17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</row>
    <row r="205" spans="1:17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</row>
    <row r="206" spans="1:17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</row>
    <row r="207" spans="1:17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</row>
    <row r="208" spans="1:17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</row>
    <row r="209" spans="1:17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</row>
    <row r="210" spans="1:17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</row>
    <row r="211" spans="1:17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</row>
    <row r="212" spans="1:17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</row>
    <row r="213" spans="1:17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</row>
    <row r="214" spans="1:17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</row>
    <row r="215" spans="1:17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</row>
    <row r="216" spans="1:17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</row>
    <row r="217" spans="1:17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</row>
    <row r="218" spans="1:17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</row>
    <row r="219" spans="1:17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</row>
    <row r="220" spans="1:17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</row>
    <row r="221" spans="1:17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</row>
    <row r="222" spans="1:17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</row>
    <row r="223" spans="1:17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</row>
    <row r="224" spans="1:17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</row>
    <row r="225" spans="1:17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</row>
    <row r="226" spans="1:17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</row>
    <row r="227" spans="1:17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</row>
    <row r="228" spans="1:17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</row>
    <row r="229" spans="1:17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</row>
    <row r="230" spans="1:17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</row>
    <row r="231" spans="1:17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</row>
    <row r="232" spans="1:17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</row>
    <row r="233" spans="1:17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</row>
    <row r="234" spans="1:17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</row>
    <row r="235" spans="1:17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</row>
    <row r="236" spans="1:17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</row>
    <row r="237" spans="1:17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</row>
    <row r="238" spans="1:17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</row>
    <row r="239" spans="1:17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</row>
    <row r="240" spans="1:17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</row>
    <row r="241" spans="1:17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</row>
    <row r="242" spans="1:17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</row>
    <row r="243" spans="1:17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</row>
    <row r="244" spans="1:17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</row>
    <row r="245" spans="1:17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</row>
    <row r="246" spans="1:17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</row>
    <row r="247" spans="1:17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</row>
    <row r="248" spans="1:17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</row>
    <row r="249" spans="1:17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</row>
    <row r="250" spans="1:17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</row>
    <row r="251" spans="1:17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</row>
    <row r="252" spans="1:17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</row>
    <row r="253" spans="1:17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</row>
    <row r="254" spans="1:17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</row>
    <row r="255" spans="1:17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</row>
    <row r="256" spans="1:17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</row>
    <row r="257" spans="1:17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</row>
    <row r="258" spans="1:17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</row>
    <row r="259" spans="1:17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</row>
    <row r="260" spans="1:17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</row>
    <row r="261" spans="1:17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</row>
    <row r="262" spans="1:17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</row>
    <row r="263" spans="1:17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</row>
    <row r="264" spans="1:17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</row>
    <row r="265" spans="1:17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</row>
    <row r="266" spans="1:17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</row>
    <row r="267" spans="1:17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</row>
    <row r="268" spans="1:17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</row>
    <row r="269" spans="1:17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</row>
    <row r="270" spans="1:17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</row>
    <row r="271" spans="1:17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</row>
    <row r="272" spans="1:1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</row>
    <row r="273" spans="1:17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</row>
    <row r="274" spans="1:17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</row>
    <row r="275" spans="1:17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</row>
    <row r="276" spans="1:17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</row>
    <row r="277" spans="1:17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</row>
    <row r="278" spans="1:17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</row>
    <row r="279" spans="1:17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</row>
    <row r="280" spans="1:17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</row>
    <row r="281" spans="1:17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</row>
    <row r="282" spans="1:17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</row>
    <row r="283" spans="1:17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</row>
    <row r="284" spans="1:17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</row>
    <row r="285" spans="1:17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</row>
    <row r="286" spans="1:17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</row>
    <row r="287" spans="1:17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</row>
    <row r="288" spans="1:17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</row>
    <row r="289" spans="1:17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</row>
    <row r="290" spans="1:17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</row>
    <row r="291" spans="1:17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</row>
    <row r="292" spans="1:17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</row>
    <row r="293" spans="1:17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</row>
    <row r="294" spans="1:17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</row>
    <row r="295" spans="1:17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</row>
    <row r="296" spans="1:17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</row>
    <row r="297" spans="1:17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</row>
    <row r="298" spans="1:17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</row>
    <row r="299" spans="1:17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</row>
    <row r="300" spans="1:17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</row>
    <row r="301" spans="1:17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</row>
    <row r="302" spans="1:17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</row>
    <row r="303" spans="1:17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</row>
    <row r="304" spans="1:17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</row>
    <row r="305" spans="1:17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</row>
    <row r="306" spans="1:17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</row>
    <row r="307" spans="1:17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</row>
    <row r="308" spans="1:17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</row>
    <row r="309" spans="1:17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</row>
    <row r="310" spans="1:17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</row>
    <row r="311" spans="1:17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</row>
    <row r="312" spans="1:17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</row>
    <row r="313" spans="1:17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</row>
    <row r="314" spans="1:17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</row>
    <row r="315" spans="1:17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</row>
    <row r="316" spans="1:17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</row>
    <row r="317" spans="1:17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</row>
    <row r="318" spans="1:17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</row>
    <row r="319" spans="1:17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</row>
    <row r="320" spans="1:17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</row>
    <row r="321" spans="1:17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</row>
    <row r="322" spans="1:17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</row>
    <row r="323" spans="1:17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</row>
    <row r="324" spans="1:17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</row>
    <row r="325" spans="1:17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</row>
    <row r="326" spans="1:17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</row>
    <row r="327" spans="1:17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</row>
    <row r="328" spans="1:17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</row>
    <row r="329" spans="1:17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</row>
    <row r="330" spans="1:17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</row>
    <row r="331" spans="1:17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</row>
    <row r="332" spans="1:17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</row>
    <row r="333" spans="1:17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</row>
    <row r="334" spans="1:17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</row>
    <row r="335" spans="1:17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</row>
    <row r="336" spans="1:17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</row>
    <row r="337" spans="1:17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</row>
    <row r="338" spans="1:17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</row>
    <row r="339" spans="1:17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</row>
    <row r="340" spans="1:17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</row>
    <row r="341" spans="1:17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</row>
    <row r="342" spans="1:17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</row>
    <row r="343" spans="1:17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</row>
    <row r="344" spans="1:17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</row>
    <row r="345" spans="1:17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</row>
    <row r="346" spans="1:17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</row>
    <row r="347" spans="1:17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</row>
    <row r="348" spans="1:17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</row>
    <row r="349" spans="1:17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</row>
    <row r="350" spans="1:17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</row>
    <row r="351" spans="1:17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</row>
    <row r="352" spans="1:17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</row>
    <row r="353" spans="1:17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</row>
    <row r="354" spans="1:17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</row>
    <row r="355" spans="1:17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</row>
    <row r="356" spans="1:17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</row>
    <row r="357" spans="1:17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</row>
    <row r="358" spans="1:17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</row>
    <row r="359" spans="1:17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</row>
    <row r="360" spans="1:17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</row>
    <row r="361" spans="1:17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</row>
    <row r="362" spans="1:17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</row>
    <row r="363" spans="1:17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</row>
    <row r="364" spans="1:17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</row>
    <row r="365" spans="1:17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</row>
    <row r="366" spans="1:17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</row>
    <row r="367" spans="1:17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</row>
    <row r="368" spans="1:17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</row>
    <row r="369" spans="1:17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</row>
    <row r="370" spans="1:17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</row>
    <row r="371" spans="1:17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</row>
    <row r="372" spans="1:1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</row>
    <row r="373" spans="1:17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</row>
    <row r="374" spans="1:17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</row>
    <row r="375" spans="1:17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</row>
    <row r="376" spans="1:17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</row>
    <row r="377" spans="1:17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</row>
    <row r="378" spans="1:17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</row>
    <row r="379" spans="1:17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</row>
    <row r="380" spans="1:17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</row>
    <row r="381" spans="1:17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</row>
    <row r="382" spans="1:17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</row>
    <row r="383" spans="1:17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</row>
    <row r="384" spans="1:17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</row>
    <row r="385" spans="1:17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</row>
    <row r="386" spans="1:17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</row>
    <row r="387" spans="1:17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</row>
    <row r="388" spans="1:17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</row>
    <row r="389" spans="1:17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</row>
    <row r="390" spans="1:17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</row>
    <row r="391" spans="1:17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</row>
    <row r="392" spans="1:17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</row>
    <row r="393" spans="1:17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</row>
    <row r="394" spans="1:17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</row>
    <row r="395" spans="1:17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</row>
    <row r="396" spans="1:17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</row>
    <row r="397" spans="1:17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</row>
    <row r="398" spans="1:17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</row>
    <row r="399" spans="1:17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</row>
    <row r="400" spans="1:17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</row>
    <row r="401" spans="1:17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</row>
    <row r="402" spans="1:17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</row>
    <row r="403" spans="1:17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</row>
    <row r="404" spans="1:17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</row>
    <row r="405" spans="1:17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</row>
    <row r="406" spans="1:17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</row>
    <row r="407" spans="1:17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</row>
    <row r="408" spans="1:17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</row>
    <row r="409" spans="1:17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</row>
    <row r="410" spans="1:17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</row>
    <row r="411" spans="1:17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</row>
    <row r="412" spans="1:17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</row>
    <row r="413" spans="1:17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</row>
    <row r="414" spans="1:17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</row>
    <row r="415" spans="1:17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</row>
    <row r="416" spans="1:17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</row>
    <row r="417" spans="1:17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</row>
    <row r="418" spans="1:17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</row>
    <row r="419" spans="1:17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</row>
    <row r="420" spans="1:17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</row>
    <row r="421" spans="1:17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</row>
    <row r="422" spans="1:17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</row>
    <row r="423" spans="1:17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</row>
    <row r="424" spans="1:17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</row>
    <row r="425" spans="1:17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</row>
    <row r="426" spans="1:17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</row>
    <row r="427" spans="1:17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</row>
    <row r="428" spans="1:17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</row>
    <row r="429" spans="1:17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</row>
    <row r="430" spans="1:17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</row>
    <row r="431" spans="1:17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</row>
    <row r="432" spans="1:17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</row>
    <row r="433" spans="1:17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</row>
    <row r="434" spans="1:17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</row>
    <row r="435" spans="1:17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</row>
    <row r="436" spans="1:17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</row>
    <row r="437" spans="1:17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</row>
    <row r="438" spans="1:17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</row>
    <row r="439" spans="1:17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</row>
    <row r="440" spans="1:17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</row>
    <row r="441" spans="1:17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</row>
    <row r="442" spans="1:17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</row>
    <row r="443" spans="1:17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</row>
    <row r="444" spans="1:17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</row>
    <row r="445" spans="1:17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</row>
    <row r="446" spans="1:17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</row>
    <row r="447" spans="1:17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</row>
    <row r="448" spans="1:17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</row>
    <row r="449" spans="1:17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</row>
    <row r="450" spans="1:17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</row>
    <row r="451" spans="1:17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</row>
    <row r="452" spans="1:17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</row>
    <row r="453" spans="1:17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</row>
    <row r="454" spans="1:17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</row>
    <row r="455" spans="1:17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</row>
    <row r="456" spans="1:17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</row>
    <row r="457" spans="1:17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</row>
    <row r="458" spans="1:17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</row>
    <row r="459" spans="1:17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</row>
    <row r="460" spans="1:17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</row>
    <row r="461" spans="1:17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</row>
    <row r="462" spans="1:17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</row>
    <row r="463" spans="1:17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</row>
    <row r="464" spans="1:17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</row>
    <row r="465" spans="1:17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</row>
    <row r="466" spans="1:17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</row>
    <row r="467" spans="1:17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</row>
    <row r="468" spans="1:17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</row>
    <row r="469" spans="1:17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</row>
    <row r="470" spans="1:17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</row>
    <row r="471" spans="1:17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</row>
    <row r="472" spans="1:1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</row>
    <row r="473" spans="1:17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</row>
    <row r="474" spans="1:17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</row>
    <row r="475" spans="1:17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</row>
    <row r="476" spans="1:17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</row>
    <row r="477" spans="1:17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</row>
    <row r="478" spans="1:17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</row>
    <row r="479" spans="1:17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</row>
    <row r="480" spans="1:17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</row>
    <row r="481" spans="1:17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</row>
    <row r="482" spans="1:17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</row>
    <row r="483" spans="1:17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</row>
    <row r="484" spans="1:17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</row>
    <row r="485" spans="1:17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</row>
    <row r="486" spans="1:17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</row>
    <row r="487" spans="1:17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</row>
    <row r="488" spans="1:17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</row>
    <row r="489" spans="1:17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</row>
    <row r="490" spans="1:17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</row>
    <row r="491" spans="1:17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</row>
    <row r="492" spans="1:17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</row>
    <row r="493" spans="1:17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</row>
    <row r="494" spans="1:17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</row>
    <row r="495" spans="1:17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</row>
    <row r="496" spans="1:17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</row>
    <row r="497" spans="1:17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</row>
    <row r="498" spans="1:17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</row>
    <row r="499" spans="1:17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</row>
    <row r="500" spans="1:17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</row>
    <row r="501" spans="1:17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</row>
    <row r="502" spans="1:17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</row>
    <row r="503" spans="1:17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</row>
    <row r="504" spans="1:17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</row>
    <row r="505" spans="1:17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</row>
    <row r="506" spans="1:17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</row>
    <row r="507" spans="1:17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</row>
    <row r="508" spans="1:17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</row>
    <row r="509" spans="1:17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</row>
    <row r="510" spans="1:17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</row>
    <row r="511" spans="1:17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</row>
    <row r="512" spans="1:17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</row>
    <row r="513" spans="1:17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</row>
    <row r="514" spans="1:17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</row>
    <row r="515" spans="1:17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</row>
    <row r="516" spans="1:17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</row>
    <row r="517" spans="1:17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</row>
    <row r="518" spans="1:17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</row>
    <row r="519" spans="1:17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</row>
    <row r="520" spans="1:17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</row>
    <row r="521" spans="1:17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</row>
    <row r="522" spans="1:17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</row>
    <row r="523" spans="1:17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</row>
    <row r="524" spans="1:17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</row>
    <row r="525" spans="1:17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</row>
    <row r="526" spans="1:17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</row>
    <row r="527" spans="1:17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</row>
    <row r="528" spans="1:17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</row>
    <row r="529" spans="1:17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</row>
    <row r="530" spans="1:17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</row>
    <row r="531" spans="1:17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</row>
    <row r="532" spans="1:17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</row>
    <row r="533" spans="1:17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</row>
    <row r="534" spans="1:17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</row>
    <row r="535" spans="1:17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</row>
    <row r="536" spans="1:17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</row>
    <row r="537" spans="1:17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</row>
    <row r="538" spans="1:17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</row>
    <row r="539" spans="1:17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</row>
    <row r="540" spans="1:17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</row>
    <row r="541" spans="1:17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</row>
    <row r="542" spans="1:17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</row>
    <row r="543" spans="1:17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</row>
    <row r="544" spans="1:17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</row>
    <row r="545" spans="1:17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</row>
    <row r="546" spans="1:17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</row>
    <row r="547" spans="1:17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</row>
    <row r="548" spans="1:17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</row>
    <row r="549" spans="1:17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</row>
    <row r="550" spans="1:17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</row>
    <row r="551" spans="1:17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</row>
    <row r="552" spans="1:17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</row>
    <row r="553" spans="1:17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</row>
    <row r="554" spans="1:17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</row>
    <row r="555" spans="1:17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</row>
    <row r="556" spans="1:17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</row>
    <row r="557" spans="1:17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</row>
    <row r="558" spans="1:17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</row>
    <row r="559" spans="1:17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</row>
    <row r="560" spans="1:17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</row>
    <row r="561" spans="1:17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</row>
    <row r="562" spans="1:17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</row>
    <row r="563" spans="1:17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</row>
    <row r="564" spans="1:17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</row>
    <row r="565" spans="1:17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</row>
    <row r="566" spans="1:17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</row>
    <row r="567" spans="1:17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</row>
    <row r="568" spans="1:17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</row>
    <row r="569" spans="1:17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</row>
    <row r="570" spans="1:17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</row>
    <row r="571" spans="1:17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</row>
    <row r="572" spans="1:1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</row>
    <row r="573" spans="1:17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</row>
    <row r="574" spans="1:17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</row>
    <row r="575" spans="1:17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</row>
    <row r="576" spans="1:17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</row>
    <row r="577" spans="1:17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</row>
    <row r="578" spans="1:17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</row>
    <row r="579" spans="1:17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</row>
    <row r="580" spans="1:17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</row>
    <row r="581" spans="1:17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</row>
    <row r="582" spans="1:17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</row>
    <row r="583" spans="1:17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</row>
    <row r="584" spans="1:17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</row>
    <row r="585" spans="1:17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</row>
    <row r="586" spans="1:17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</row>
    <row r="587" spans="1:17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</row>
    <row r="588" spans="1:17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</row>
    <row r="589" spans="1:17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</row>
    <row r="590" spans="1:17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</row>
    <row r="591" spans="1:17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</row>
    <row r="592" spans="1:17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</row>
    <row r="593" spans="1:17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</row>
    <row r="594" spans="1:17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</row>
    <row r="595" spans="1:17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</row>
    <row r="596" spans="1:17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</row>
    <row r="597" spans="1:17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</row>
    <row r="598" spans="1:17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</row>
    <row r="599" spans="1:17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</row>
    <row r="600" spans="1:17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</row>
    <row r="601" spans="1:17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</row>
    <row r="602" spans="1:17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</row>
    <row r="603" spans="1:17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</row>
    <row r="604" spans="1:17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</row>
    <row r="605" spans="1:17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</row>
    <row r="606" spans="1:17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</row>
    <row r="607" spans="1:17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</row>
    <row r="608" spans="1:17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</row>
    <row r="609" spans="1:17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</row>
    <row r="610" spans="1:17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</row>
    <row r="611" spans="1:17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</row>
    <row r="612" spans="1:17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</row>
    <row r="613" spans="1:17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</row>
    <row r="614" spans="1:17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</row>
    <row r="615" spans="1:17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</row>
    <row r="616" spans="1:17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</row>
    <row r="617" spans="1:17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</row>
    <row r="618" spans="1:17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</row>
    <row r="619" spans="1:17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</row>
    <row r="620" spans="1:17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</row>
    <row r="621" spans="1:17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</row>
    <row r="622" spans="1:17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</row>
    <row r="623" spans="1:17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</row>
    <row r="624" spans="1:17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</row>
    <row r="625" spans="1:17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</row>
    <row r="626" spans="1:17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</row>
    <row r="627" spans="1:17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</row>
    <row r="628" spans="1:17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</row>
    <row r="629" spans="1:17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</row>
    <row r="630" spans="1:17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</row>
    <row r="631" spans="1:17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</row>
    <row r="632" spans="1:17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</row>
    <row r="633" spans="1:17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</row>
    <row r="634" spans="1:17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</row>
    <row r="635" spans="1:17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</row>
    <row r="636" spans="1:17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</row>
    <row r="637" spans="1:17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</row>
    <row r="638" spans="1:17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</row>
    <row r="639" spans="1:17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</row>
    <row r="640" spans="1:17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</row>
    <row r="641" spans="1:17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</row>
    <row r="642" spans="1:17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</row>
    <row r="643" spans="1:17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</row>
    <row r="644" spans="1:17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</row>
    <row r="645" spans="1:17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</row>
    <row r="646" spans="1:17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</row>
    <row r="647" spans="1:17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</row>
    <row r="648" spans="1:17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</row>
    <row r="649" spans="1:17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</row>
    <row r="650" spans="1:17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</row>
    <row r="651" spans="1:17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</row>
    <row r="652" spans="1:17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</row>
    <row r="653" spans="1:17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</row>
    <row r="654" spans="1:17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</row>
    <row r="655" spans="1:17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</row>
    <row r="656" spans="1:17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</row>
    <row r="657" spans="1:17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</row>
    <row r="658" spans="1:17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</row>
    <row r="659" spans="1:17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</row>
    <row r="660" spans="1:17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</row>
    <row r="661" spans="1:17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</row>
    <row r="662" spans="1:17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</row>
    <row r="663" spans="1:17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</row>
    <row r="664" spans="1:17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</row>
    <row r="665" spans="1:17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</row>
    <row r="666" spans="1:17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</row>
    <row r="667" spans="1:17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</row>
    <row r="668" spans="1:17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</row>
    <row r="669" spans="1:17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</row>
    <row r="670" spans="1:17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</row>
    <row r="671" spans="1:17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</row>
    <row r="672" spans="1:1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</row>
    <row r="673" spans="1:17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</row>
    <row r="674" spans="1:17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</row>
    <row r="675" spans="1:17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</row>
    <row r="676" spans="1:17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</row>
    <row r="677" spans="1:17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</row>
    <row r="678" spans="1:17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</row>
    <row r="679" spans="1:17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</row>
    <row r="680" spans="1:17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</row>
    <row r="681" spans="1:17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</row>
    <row r="682" spans="1:17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</row>
    <row r="683" spans="1:17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</row>
    <row r="684" spans="1:17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</row>
    <row r="685" spans="1:17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</row>
    <row r="686" spans="1:17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</row>
    <row r="687" spans="1:17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</row>
    <row r="688" spans="1:17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</row>
    <row r="689" spans="1:17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</row>
    <row r="690" spans="1:17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</row>
    <row r="691" spans="1:17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</row>
    <row r="692" spans="1:17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</row>
    <row r="693" spans="1:17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</row>
    <row r="694" spans="1:17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</row>
    <row r="695" spans="1:17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</row>
    <row r="696" spans="1:17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</row>
    <row r="697" spans="1:17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</row>
    <row r="698" spans="1:17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</row>
    <row r="699" spans="1:17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</row>
    <row r="700" spans="1:17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</row>
    <row r="701" spans="1:17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</row>
    <row r="702" spans="1:17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</row>
    <row r="703" spans="1:17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</row>
    <row r="704" spans="1:17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</row>
    <row r="705" spans="1:17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</row>
    <row r="706" spans="1:17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</row>
    <row r="707" spans="1:17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</row>
    <row r="708" spans="1:17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</row>
    <row r="709" spans="1:17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</row>
    <row r="710" spans="1:17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</row>
    <row r="711" spans="1:17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</row>
    <row r="712" spans="1:17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</row>
    <row r="713" spans="1:17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</row>
    <row r="714" spans="1:17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</row>
    <row r="715" spans="1:17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</row>
    <row r="716" spans="1:17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</row>
    <row r="717" spans="1:17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</row>
    <row r="718" spans="1:17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</row>
    <row r="719" spans="1:17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</row>
    <row r="720" spans="1:17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</row>
    <row r="721" spans="1:17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</row>
    <row r="722" spans="1:17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</row>
    <row r="723" spans="1:17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</row>
    <row r="724" spans="1:17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</row>
    <row r="725" spans="1:17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</row>
    <row r="726" spans="1:17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</row>
    <row r="727" spans="1:17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</row>
    <row r="728" spans="1:17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</row>
    <row r="729" spans="1:17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</row>
    <row r="730" spans="1:17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</row>
    <row r="731" spans="1:17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</row>
    <row r="732" spans="1:17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</row>
    <row r="733" spans="1:17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</row>
    <row r="734" spans="1:17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</row>
    <row r="735" spans="1:17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</row>
    <row r="736" spans="1:17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</row>
    <row r="737" spans="1:17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</row>
    <row r="738" spans="1:17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</row>
    <row r="739" spans="1:17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</row>
    <row r="740" spans="1:17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</row>
    <row r="741" spans="1:17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</row>
    <row r="742" spans="1:17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</row>
    <row r="743" spans="1:17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</row>
    <row r="744" spans="1:17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</row>
    <row r="745" spans="1:17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</row>
    <row r="746" spans="1:17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</row>
    <row r="747" spans="1:17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</row>
    <row r="748" spans="1:17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</row>
    <row r="749" spans="1:17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</row>
    <row r="750" spans="1:17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</row>
    <row r="751" spans="1:17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</row>
    <row r="752" spans="1:17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</row>
    <row r="753" spans="1:17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</row>
    <row r="754" spans="1:17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</row>
    <row r="755" spans="1:17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</row>
    <row r="756" spans="1:17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</row>
    <row r="757" spans="1:17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</row>
    <row r="758" spans="1:17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</row>
    <row r="759" spans="1:17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</row>
    <row r="760" spans="1:17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</row>
    <row r="761" spans="1:17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</row>
    <row r="762" spans="1:17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</row>
    <row r="763" spans="1:17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</row>
    <row r="764" spans="1:17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</row>
    <row r="765" spans="1:17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</row>
    <row r="766" spans="1:17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</row>
    <row r="767" spans="1:17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</row>
    <row r="768" spans="1:17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</row>
    <row r="769" spans="1:17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</row>
    <row r="770" spans="1:17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</row>
    <row r="771" spans="1:17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</row>
    <row r="772" spans="1:1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</row>
    <row r="773" spans="1:17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</row>
    <row r="774" spans="1:17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</row>
    <row r="775" spans="1:17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</row>
    <row r="776" spans="1:17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</row>
    <row r="777" spans="1:17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</row>
    <row r="778" spans="1:17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</row>
    <row r="779" spans="1:17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</row>
    <row r="780" spans="1:17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</row>
    <row r="781" spans="1:17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</row>
    <row r="782" spans="1:17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</row>
    <row r="783" spans="1:17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</row>
    <row r="784" spans="1:17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</row>
    <row r="785" spans="1:17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</row>
    <row r="786" spans="1:17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</row>
    <row r="787" spans="1:17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</row>
    <row r="788" spans="1:17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</row>
    <row r="789" spans="1:17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</row>
    <row r="790" spans="1:17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</row>
    <row r="791" spans="1:17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</row>
    <row r="792" spans="1:17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</row>
    <row r="793" spans="1:17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</row>
    <row r="794" spans="1:17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</row>
    <row r="795" spans="1:17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</row>
    <row r="796" spans="1:17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</row>
    <row r="797" spans="1:17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</row>
    <row r="798" spans="1:17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</row>
    <row r="799" spans="1:17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</row>
    <row r="800" spans="1:17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</row>
    <row r="801" spans="1:17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</row>
    <row r="802" spans="1:17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</row>
    <row r="803" spans="1:17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</row>
    <row r="804" spans="1:17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</row>
    <row r="805" spans="1:17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</row>
    <row r="806" spans="1:17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</row>
    <row r="807" spans="1:17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</row>
    <row r="808" spans="1:17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</row>
    <row r="809" spans="1:17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</row>
    <row r="810" spans="1:17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</row>
    <row r="811" spans="1:17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</row>
    <row r="812" spans="1:17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</row>
    <row r="813" spans="1:17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</row>
    <row r="814" spans="1:17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</row>
    <row r="815" spans="1:17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</row>
    <row r="816" spans="1:17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</row>
    <row r="817" spans="1:17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</row>
    <row r="818" spans="1:17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</row>
    <row r="819" spans="1:17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</row>
    <row r="820" spans="1:17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</row>
    <row r="821" spans="1:17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</row>
    <row r="822" spans="1:17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</row>
    <row r="823" spans="1:17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</row>
    <row r="824" spans="1:17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</row>
    <row r="825" spans="1:17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</row>
    <row r="826" spans="1:17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</row>
    <row r="827" spans="1:17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</row>
    <row r="828" spans="1:17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</row>
    <row r="829" spans="1:17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</row>
    <row r="830" spans="1:17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</row>
    <row r="831" spans="1:17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</row>
    <row r="832" spans="1:17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</row>
    <row r="833" spans="1:17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</row>
    <row r="834" spans="1:17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</row>
    <row r="835" spans="1:17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</row>
    <row r="836" spans="1:17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</row>
    <row r="837" spans="1:17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</row>
    <row r="838" spans="1:17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</row>
    <row r="839" spans="1:17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</row>
    <row r="840" spans="1:17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</row>
    <row r="841" spans="1:17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</row>
    <row r="842" spans="1:17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</row>
    <row r="843" spans="1:17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</row>
    <row r="844" spans="1:17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</row>
    <row r="845" spans="1:17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</row>
    <row r="846" spans="1:17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</row>
    <row r="847" spans="1:17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</row>
    <row r="848" spans="1:17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</row>
    <row r="849" spans="1:17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</row>
    <row r="850" spans="1:17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</row>
    <row r="851" spans="1:17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</row>
    <row r="852" spans="1:17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</row>
    <row r="853" spans="1:17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</row>
    <row r="854" spans="1:17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</row>
    <row r="855" spans="1:17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</row>
    <row r="856" spans="1:17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</row>
    <row r="857" spans="1:17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</row>
    <row r="858" spans="1:17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</row>
    <row r="859" spans="1:17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</row>
    <row r="860" spans="1:17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</row>
    <row r="861" spans="1:17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</row>
    <row r="862" spans="1:17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</row>
    <row r="863" spans="1:17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</row>
    <row r="864" spans="1:17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</row>
    <row r="865" spans="1:17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</row>
    <row r="866" spans="1:17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</row>
    <row r="867" spans="1:17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</row>
    <row r="868" spans="1:17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</row>
    <row r="869" spans="1:17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</row>
    <row r="870" spans="1:17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</row>
    <row r="871" spans="1:17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</row>
    <row r="872" spans="1:1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</row>
    <row r="873" spans="1:17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</row>
    <row r="874" spans="1:17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</row>
    <row r="875" spans="1:17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</row>
    <row r="876" spans="1:17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</row>
    <row r="877" spans="1:17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</row>
    <row r="878" spans="1:17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</row>
    <row r="879" spans="1:17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</row>
    <row r="880" spans="1:17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</row>
    <row r="881" spans="1:17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</row>
    <row r="882" spans="1:17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</row>
    <row r="883" spans="1:17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</row>
    <row r="884" spans="1:17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</row>
    <row r="885" spans="1:17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</row>
    <row r="886" spans="1:17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</row>
    <row r="887" spans="1:17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</row>
    <row r="888" spans="1:17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</row>
    <row r="889" spans="1:17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</row>
    <row r="890" spans="1:17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</row>
    <row r="891" spans="1:17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</row>
    <row r="892" spans="1:17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</row>
    <row r="893" spans="1:17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</row>
    <row r="894" spans="1:17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</row>
    <row r="895" spans="1:17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</row>
    <row r="896" spans="1:17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</row>
    <row r="897" spans="1:17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</row>
    <row r="898" spans="1:17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</row>
    <row r="899" spans="1:17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</row>
    <row r="900" spans="1:17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</row>
    <row r="901" spans="1:17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</row>
    <row r="902" spans="1:17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</row>
    <row r="903" spans="1:17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</row>
    <row r="904" spans="1:17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</row>
    <row r="905" spans="1:17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</row>
    <row r="906" spans="1:17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</row>
    <row r="907" spans="1:17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</row>
    <row r="908" spans="1:17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</row>
    <row r="909" spans="1:17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</row>
    <row r="910" spans="1:17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</row>
    <row r="911" spans="1:17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</row>
    <row r="912" spans="1:17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</row>
    <row r="913" spans="1:17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</row>
    <row r="914" spans="1:17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</row>
    <row r="915" spans="1:17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</row>
    <row r="916" spans="1:17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</row>
    <row r="917" spans="1:17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</row>
    <row r="918" spans="1:17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</row>
    <row r="919" spans="1:17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</row>
    <row r="920" spans="1:17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</row>
    <row r="921" spans="1:17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</row>
    <row r="922" spans="1:17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</row>
    <row r="923" spans="1:17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</row>
    <row r="924" spans="1:17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</row>
    <row r="925" spans="1:17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</row>
    <row r="926" spans="1:17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</row>
    <row r="927" spans="1:17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</row>
    <row r="928" spans="1:17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</row>
    <row r="929" spans="1:17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</row>
    <row r="930" spans="1:17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</row>
    <row r="931" spans="1:17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</row>
    <row r="932" spans="1:17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</row>
    <row r="933" spans="1:17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</row>
    <row r="934" spans="1:17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</row>
    <row r="935" spans="1:17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</row>
    <row r="936" spans="1:17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</row>
    <row r="937" spans="1:17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</row>
    <row r="938" spans="1:17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</row>
    <row r="939" spans="1:17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</row>
    <row r="940" spans="1:17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</row>
    <row r="941" spans="1:17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</row>
    <row r="942" spans="1:17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</row>
    <row r="943" spans="1:17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</row>
    <row r="944" spans="1:17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</row>
    <row r="945" spans="1:17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</row>
    <row r="946" spans="1:17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</row>
    <row r="947" spans="1:17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</row>
    <row r="948" spans="1:17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</row>
    <row r="949" spans="1:17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</row>
    <row r="950" spans="1:17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</row>
    <row r="951" spans="1:17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</row>
    <row r="952" spans="1:17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</row>
    <row r="953" spans="1:17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</row>
    <row r="954" spans="1:17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</row>
    <row r="955" spans="1:17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</row>
    <row r="956" spans="1:17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</row>
    <row r="957" spans="1:17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</row>
    <row r="958" spans="1:17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</row>
    <row r="959" spans="1:17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</row>
    <row r="960" spans="1:17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</row>
    <row r="961" spans="1:17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</row>
    <row r="962" spans="1:17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</row>
    <row r="963" spans="1:17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</row>
    <row r="964" spans="1:17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</row>
    <row r="965" spans="1:17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</row>
    <row r="966" spans="1:17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</row>
    <row r="967" spans="1:17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</row>
    <row r="968" spans="1:17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</row>
    <row r="969" spans="1:17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</row>
    <row r="970" spans="1:17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</row>
    <row r="971" spans="1:17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</row>
    <row r="972" spans="1:1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</row>
    <row r="973" spans="1:17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</row>
    <row r="974" spans="1:17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</row>
    <row r="975" spans="1:17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</row>
    <row r="976" spans="1:17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</row>
    <row r="977" spans="1:17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</row>
    <row r="978" spans="1:17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</row>
    <row r="979" spans="1:17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</row>
    <row r="980" spans="1:17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</row>
    <row r="981" spans="1:17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</row>
    <row r="982" spans="1:17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</row>
    <row r="983" spans="1:17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</row>
    <row r="984" spans="1:17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</row>
    <row r="985" spans="1:17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</row>
    <row r="986" spans="1:17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</row>
    <row r="987" spans="1:17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</row>
    <row r="988" spans="1:17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</row>
    <row r="989" spans="1:17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</row>
    <row r="990" spans="1:17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</row>
    <row r="991" spans="1:17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</row>
    <row r="992" spans="1:17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</row>
    <row r="993" spans="1:17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</row>
    <row r="994" spans="1:17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</row>
    <row r="995" spans="1:17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</row>
    <row r="996" spans="1:17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</row>
    <row r="997" spans="1:17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</row>
  </sheetData>
  <mergeCells count="24">
    <mergeCell ref="G6:H6"/>
    <mergeCell ref="B30:E30"/>
    <mergeCell ref="B54:E54"/>
    <mergeCell ref="C55:E55"/>
    <mergeCell ref="C70:E70"/>
    <mergeCell ref="D61:E61"/>
    <mergeCell ref="D63:E63"/>
    <mergeCell ref="D62:E62"/>
    <mergeCell ref="C75:E75"/>
    <mergeCell ref="B6:E6"/>
    <mergeCell ref="C71:E71"/>
    <mergeCell ref="C72:E72"/>
    <mergeCell ref="C73:E73"/>
    <mergeCell ref="C74:E74"/>
    <mergeCell ref="D56:E56"/>
    <mergeCell ref="D57:E57"/>
    <mergeCell ref="D58:E58"/>
    <mergeCell ref="D59:E59"/>
    <mergeCell ref="D60:E60"/>
    <mergeCell ref="D64:E64"/>
    <mergeCell ref="D65:E65"/>
    <mergeCell ref="D66:E66"/>
    <mergeCell ref="D67:E67"/>
    <mergeCell ref="D68:E6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5E454-3621-46E9-8705-557A1F70359A}">
  <dimension ref="A1:CB486"/>
  <sheetViews>
    <sheetView topLeftCell="A67" zoomScale="61" zoomScaleNormal="80" workbookViewId="0">
      <selection activeCell="L42" sqref="L42"/>
    </sheetView>
  </sheetViews>
  <sheetFormatPr defaultRowHeight="14.5"/>
  <cols>
    <col min="1" max="1" width="8.81640625" customWidth="1"/>
    <col min="2" max="2" width="25.1796875" bestFit="1" customWidth="1"/>
    <col min="35" max="35" width="15.81640625" customWidth="1"/>
  </cols>
  <sheetData>
    <row r="1" spans="1:80">
      <c r="A1" s="1"/>
      <c r="B1" s="1"/>
      <c r="C1" s="59"/>
      <c r="D1" s="59"/>
      <c r="E1" s="59"/>
      <c r="F1" s="59"/>
      <c r="G1" s="59"/>
      <c r="H1" s="4"/>
      <c r="I1" s="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ht="15" thickBo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</row>
    <row r="3" spans="1:80" ht="15" thickBot="1">
      <c r="A3" s="1"/>
      <c r="B3" s="262" t="s">
        <v>118</v>
      </c>
      <c r="C3" s="263"/>
      <c r="D3" s="263"/>
      <c r="E3" s="264"/>
      <c r="F3" s="1"/>
      <c r="G3" s="59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</row>
    <row r="4" spans="1:80">
      <c r="A4" s="1"/>
      <c r="B4" s="57" t="s">
        <v>77</v>
      </c>
      <c r="C4" s="57">
        <v>2019</v>
      </c>
      <c r="D4" s="57">
        <v>2020</v>
      </c>
      <c r="E4" s="57">
        <v>2021</v>
      </c>
      <c r="F4" s="56">
        <v>2022</v>
      </c>
      <c r="G4" s="56">
        <v>2023</v>
      </c>
      <c r="H4" s="56">
        <v>2024</v>
      </c>
      <c r="I4" s="56">
        <v>2025</v>
      </c>
      <c r="J4" s="56">
        <v>2026</v>
      </c>
      <c r="K4" s="56">
        <v>2027</v>
      </c>
      <c r="L4" s="56">
        <v>2028</v>
      </c>
      <c r="M4" s="56">
        <v>2029</v>
      </c>
      <c r="N4" s="56">
        <v>2030</v>
      </c>
      <c r="O4" s="56">
        <v>2031</v>
      </c>
      <c r="P4" s="56">
        <v>2032</v>
      </c>
      <c r="Q4" s="56">
        <v>2033</v>
      </c>
      <c r="R4" s="56">
        <v>2034</v>
      </c>
      <c r="S4" s="56">
        <v>2035</v>
      </c>
      <c r="T4" s="56">
        <v>2036</v>
      </c>
      <c r="U4" s="56">
        <v>2037</v>
      </c>
      <c r="V4" s="56">
        <v>2038</v>
      </c>
      <c r="W4" s="56">
        <v>2039</v>
      </c>
      <c r="X4" s="56">
        <v>2040</v>
      </c>
      <c r="Y4" s="56">
        <v>2041</v>
      </c>
      <c r="Z4" s="56">
        <v>2042</v>
      </c>
      <c r="AA4" s="56">
        <v>2043</v>
      </c>
      <c r="AB4" s="56">
        <v>2044</v>
      </c>
      <c r="AC4" s="56">
        <v>2045</v>
      </c>
      <c r="AD4" s="56">
        <v>2046</v>
      </c>
      <c r="AE4" s="56">
        <v>2047</v>
      </c>
      <c r="AF4" s="56">
        <v>2048</v>
      </c>
      <c r="AG4" s="56">
        <v>2049</v>
      </c>
      <c r="AH4" s="56">
        <v>2050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</row>
    <row r="5" spans="1:80">
      <c r="A5" s="1"/>
      <c r="B5" s="56" t="s">
        <v>81</v>
      </c>
      <c r="C5" s="43">
        <f>KPIs!C8/KPIs!$C$8</f>
        <v>1</v>
      </c>
      <c r="D5" s="43">
        <f>KPIs!D8/KPIs!$D$8</f>
        <v>1</v>
      </c>
      <c r="E5" s="43">
        <f>KPIs!E8/KPIs!$E$8</f>
        <v>1</v>
      </c>
      <c r="F5" s="43">
        <f>KPIs!F8/KPIs!$F$8</f>
        <v>1</v>
      </c>
      <c r="G5" s="43">
        <f>KPIs!G8/KPIs!$G$8</f>
        <v>1</v>
      </c>
      <c r="H5" s="43">
        <f>KPIs!H8/KPIs!$H$8</f>
        <v>1</v>
      </c>
      <c r="I5" s="43">
        <f>KPIs!I8/KPIs!$I$8</f>
        <v>1</v>
      </c>
      <c r="J5" s="43">
        <f>KPIs!J8/KPIs!$J$8</f>
        <v>1</v>
      </c>
      <c r="K5" s="43">
        <f>KPIs!K8/KPIs!$K$8</f>
        <v>1</v>
      </c>
      <c r="L5" s="43">
        <f>KPIs!L8/KPIs!$L$8</f>
        <v>1</v>
      </c>
      <c r="M5" s="43">
        <f>KPIs!M8/KPIs!$M$8</f>
        <v>1</v>
      </c>
      <c r="N5" s="43">
        <f>KPIs!N8/KPIs!$N$8</f>
        <v>1</v>
      </c>
      <c r="O5" s="43">
        <f>KPIs!O8/KPIs!$O$8</f>
        <v>1</v>
      </c>
      <c r="P5" s="43">
        <f>KPIs!P8/KPIs!$P$8</f>
        <v>1</v>
      </c>
      <c r="Q5" s="43">
        <f>KPIs!Q8/KPIs!$Q$8</f>
        <v>1</v>
      </c>
      <c r="R5" s="43">
        <f>KPIs!R8/KPIs!$R$8</f>
        <v>1</v>
      </c>
      <c r="S5" s="43">
        <f>KPIs!S8/KPIs!$S$8</f>
        <v>1</v>
      </c>
      <c r="T5" s="43">
        <f>KPIs!T8/KPIs!$T$8</f>
        <v>1</v>
      </c>
      <c r="U5" s="43">
        <f>KPIs!U8/KPIs!$U$8</f>
        <v>1</v>
      </c>
      <c r="V5" s="43">
        <f>KPIs!V8/KPIs!$V$8</f>
        <v>1</v>
      </c>
      <c r="W5" s="43">
        <f>KPIs!W8/KPIs!$W$8</f>
        <v>1</v>
      </c>
      <c r="X5" s="43">
        <f>KPIs!X8/KPIs!$X$8</f>
        <v>1</v>
      </c>
      <c r="Y5" s="43">
        <f>KPIs!Y8/KPIs!$Y$8</f>
        <v>1</v>
      </c>
      <c r="Z5" s="43">
        <f>KPIs!Z8/KPIs!$Z$8</f>
        <v>1</v>
      </c>
      <c r="AA5" s="43">
        <f>KPIs!AA8/KPIs!$AA$8</f>
        <v>1</v>
      </c>
      <c r="AB5" s="43">
        <f>KPIs!AB8/KPIs!$AB$8</f>
        <v>1</v>
      </c>
      <c r="AC5" s="43">
        <f>KPIs!AC8/KPIs!$AC$8</f>
        <v>1</v>
      </c>
      <c r="AD5" s="43">
        <f>KPIs!AD8/KPIs!$AD$8</f>
        <v>1</v>
      </c>
      <c r="AE5" s="43">
        <f>KPIs!AE8/KPIs!$AE$8</f>
        <v>1</v>
      </c>
      <c r="AF5" s="43">
        <f>KPIs!AF8/KPIs!$AF$8</f>
        <v>1</v>
      </c>
      <c r="AG5" s="43">
        <f>KPIs!AG8/KPIs!$AG$8</f>
        <v>1</v>
      </c>
      <c r="AH5" s="43">
        <f>KPIs!AH8/KPIs!$AH$8</f>
        <v>1</v>
      </c>
      <c r="AI5" s="58" t="s">
        <v>81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</row>
    <row r="6" spans="1:80">
      <c r="A6" s="1"/>
      <c r="B6" s="56" t="s">
        <v>36</v>
      </c>
      <c r="C6" s="43">
        <f>KPIs!C9/KPIs!$C$8</f>
        <v>0.95998142988661594</v>
      </c>
      <c r="D6" s="43">
        <f>KPIs!D9/KPIs!$D$8</f>
        <v>0.95426794286565209</v>
      </c>
      <c r="E6" s="43">
        <f>KPIs!E9/KPIs!$E$8</f>
        <v>0.94851640988726038</v>
      </c>
      <c r="F6" s="43">
        <f>KPIs!F9/KPIs!$F$8</f>
        <v>0.94272644966142094</v>
      </c>
      <c r="G6" s="43">
        <f>KPIs!G9/KPIs!$G$8</f>
        <v>0.93689767578607097</v>
      </c>
      <c r="H6" s="43">
        <f>KPIs!H9/KPIs!$H$8</f>
        <v>0.93102969666114677</v>
      </c>
      <c r="I6" s="43">
        <f>KPIs!I9/KPIs!$I$8</f>
        <v>0.92512211540087985</v>
      </c>
      <c r="J6" s="43">
        <f>KPIs!J9/KPIs!$J$8</f>
        <v>0.91917452974431679</v>
      </c>
      <c r="K6" s="43">
        <f>KPIs!K9/KPIs!$K$8</f>
        <v>0.91318653196400867</v>
      </c>
      <c r="L6" s="43">
        <f>KPIs!L9/KPIs!$L$8</f>
        <v>0.90715770877284096</v>
      </c>
      <c r="M6" s="43">
        <f>KPIs!M9/KPIs!$M$8</f>
        <v>0.90108764122894147</v>
      </c>
      <c r="N6" s="43">
        <f>KPIs!N9/KPIs!$N$8</f>
        <v>0.89497590463863907</v>
      </c>
      <c r="O6" s="43">
        <f>KPIs!O9/KPIs!$O$8</f>
        <v>0.89717910235284593</v>
      </c>
      <c r="P6" s="43">
        <f>KPIs!P9/KPIs!$P$8</f>
        <v>0.89938525747701115</v>
      </c>
      <c r="Q6" s="43">
        <f>KPIs!Q9/KPIs!$Q$8</f>
        <v>0.90159437596984637</v>
      </c>
      <c r="R6" s="43">
        <f>KPIs!R9/KPIs!$R$8</f>
        <v>0.90380646380608221</v>
      </c>
      <c r="S6" s="43">
        <f>KPIs!S9/KPIs!$S$8</f>
        <v>0.90602152697652294</v>
      </c>
      <c r="T6" s="43">
        <f>KPIs!T9/KPIs!$T$8</f>
        <v>0.90823957148809698</v>
      </c>
      <c r="U6" s="43">
        <f>KPIs!U9/KPIs!$U$8</f>
        <v>0.91046060336391732</v>
      </c>
      <c r="V6" s="43">
        <f>KPIs!V9/KPIs!$V$8</f>
        <v>0.91268462864332867</v>
      </c>
      <c r="W6" s="43">
        <f>KPIs!W9/KPIs!$W$8</f>
        <v>0.91491165338196756</v>
      </c>
      <c r="X6" s="43">
        <f>KPIs!X9/KPIs!$X$8</f>
        <v>0.91714168365181503</v>
      </c>
      <c r="Y6" s="43">
        <f>KPIs!Y9/KPIs!$Y$8</f>
        <v>0.91937472554125388</v>
      </c>
      <c r="Z6" s="43">
        <f>KPIs!Z9/KPIs!$Z$8</f>
        <v>0.92161078515511918</v>
      </c>
      <c r="AA6" s="43">
        <f>KPIs!AA9/KPIs!$AA$8</f>
        <v>0.92384986861476059</v>
      </c>
      <c r="AB6" s="43">
        <f>KPIs!AB9/KPIs!$AB$8</f>
        <v>0.9260919820580934</v>
      </c>
      <c r="AC6" s="43">
        <f>KPIs!AC9/KPIs!$AC$8</f>
        <v>0.92833713163965625</v>
      </c>
      <c r="AD6" s="43">
        <f>KPIs!AD9/KPIs!$AD$8</f>
        <v>0.93058532353066736</v>
      </c>
      <c r="AE6" s="43">
        <f>KPIs!AE9/KPIs!$AE$8</f>
        <v>0.93283656391908143</v>
      </c>
      <c r="AF6" s="43">
        <f>KPIs!AF9/KPIs!$AF$8</f>
        <v>0.9350908590096445</v>
      </c>
      <c r="AG6" s="43">
        <f>KPIs!AG9/KPIs!$AG$8</f>
        <v>0.93734821502395471</v>
      </c>
      <c r="AH6" s="43">
        <f>KPIs!AH9/KPIs!$AH$8</f>
        <v>0.93960863820051632</v>
      </c>
      <c r="AI6" s="58" t="s">
        <v>96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</row>
    <row r="7" spans="1:80">
      <c r="A7" s="1"/>
      <c r="B7" s="56" t="s">
        <v>89</v>
      </c>
      <c r="C7" s="43">
        <f>KPIs!C10/KPIs!$C$8</f>
        <v>1.0427045846603984</v>
      </c>
      <c r="D7" s="43">
        <f>KPIs!D10/KPIs!$D$8</f>
        <v>1.0576224977634947</v>
      </c>
      <c r="E7" s="43">
        <f>KPIs!E10/KPIs!$E$8</f>
        <v>1.0726397488513864</v>
      </c>
      <c r="F7" s="43">
        <f>KPIs!F10/KPIs!$F$8</f>
        <v>1.0877573334722193</v>
      </c>
      <c r="G7" s="43">
        <f>KPIs!G10/KPIs!$G$8</f>
        <v>1.1029762605216751</v>
      </c>
      <c r="H7" s="43">
        <f>KPIs!H10/KPIs!$H$8</f>
        <v>1.1182975524674186</v>
      </c>
      <c r="I7" s="43">
        <f>KPIs!I10/KPIs!$I$8</f>
        <v>1.1337222455780835</v>
      </c>
      <c r="J7" s="43">
        <f>KPIs!J10/KPIs!$J$8</f>
        <v>1.1492513901569161</v>
      </c>
      <c r="K7" s="43">
        <f>KPIs!K10/KPIs!$K$8</f>
        <v>1.1648860507801739</v>
      </c>
      <c r="L7" s="43">
        <f>KPIs!L10/KPIs!$L$8</f>
        <v>1.1806273065404085</v>
      </c>
      <c r="M7" s="43">
        <f>KPIs!M10/KPIs!$M$8</f>
        <v>1.1964762512947342</v>
      </c>
      <c r="N7" s="43">
        <f>KPIs!N10/KPIs!$N$8</f>
        <v>1.2124339939182158</v>
      </c>
      <c r="O7" s="43">
        <f>KPIs!O10/KPIs!$O$8</f>
        <v>1.2027286273292972</v>
      </c>
      <c r="P7" s="43">
        <f>KPIs!P10/KPIs!$P$8</f>
        <v>1.1930102329727819</v>
      </c>
      <c r="Q7" s="43">
        <f>KPIs!Q10/KPIs!$Q$8</f>
        <v>1.1832787845997823</v>
      </c>
      <c r="R7" s="43">
        <f>KPIs!R10/KPIs!$R$8</f>
        <v>1.1735342558908466</v>
      </c>
      <c r="S7" s="43">
        <f>KPIs!S10/KPIs!$S$8</f>
        <v>1.1637766204557227</v>
      </c>
      <c r="T7" s="43">
        <f>KPIs!T10/KPIs!$T$8</f>
        <v>1.1540058518331184</v>
      </c>
      <c r="U7" s="43">
        <f>KPIs!U10/KPIs!$U$8</f>
        <v>1.144221923490464</v>
      </c>
      <c r="V7" s="43">
        <f>KPIs!V10/KPIs!$V$8</f>
        <v>1.1344248088236701</v>
      </c>
      <c r="W7" s="43">
        <f>KPIs!W10/KPIs!$W$8</f>
        <v>1.1246144811568881</v>
      </c>
      <c r="X7" s="43">
        <f>KPIs!X10/KPIs!$X$8</f>
        <v>1.1147909137422658</v>
      </c>
      <c r="Y7" s="43">
        <f>KPIs!Y10/KPIs!$Y$8</f>
        <v>1.1049540797597095</v>
      </c>
      <c r="Z7" s="43">
        <f>KPIs!Z10/KPIs!$Z$8</f>
        <v>1.0951039523166313</v>
      </c>
      <c r="AA7" s="43">
        <f>KPIs!AA10/KPIs!$AA$8</f>
        <v>1.0852405044477138</v>
      </c>
      <c r="AB7" s="43">
        <f>KPIs!AB10/KPIs!$AB$8</f>
        <v>1.0753637091146566</v>
      </c>
      <c r="AC7" s="43">
        <f>KPIs!AC10/KPIs!$AC$8</f>
        <v>1.0654735392059325</v>
      </c>
      <c r="AD7" s="43">
        <f>KPIs!AD10/KPIs!$AD$8</f>
        <v>1.0555699675365395</v>
      </c>
      <c r="AE7" s="43">
        <f>KPIs!AE10/KPIs!$AE$8</f>
        <v>1.0456529668477506</v>
      </c>
      <c r="AF7" s="43">
        <f>KPIs!AF10/KPIs!$AF$8</f>
        <v>1.0357225098068639</v>
      </c>
      <c r="AG7" s="43">
        <f>KPIs!AG10/KPIs!$AG$8</f>
        <v>1.0257785690069521</v>
      </c>
      <c r="AH7" s="43">
        <f>KPIs!AH10/KPIs!$AH$8</f>
        <v>1.0158211169666114</v>
      </c>
      <c r="AI7" s="58" t="s">
        <v>89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</row>
    <row r="8" spans="1:80">
      <c r="A8" s="1"/>
      <c r="B8" s="56" t="s">
        <v>88</v>
      </c>
      <c r="C8" s="43">
        <f>KPIs!C11/KPIs!$C$8</f>
        <v>0.46849785272623995</v>
      </c>
      <c r="D8" s="43">
        <f>KPIs!D11/KPIs!$D$8</f>
        <v>0.47922731440304306</v>
      </c>
      <c r="E8" s="43">
        <f>KPIs!E11/KPIs!$E$8</f>
        <v>0.49002822327849588</v>
      </c>
      <c r="F8" s="43">
        <f>KPIs!F11/KPIs!$F$8</f>
        <v>0.50090129538409689</v>
      </c>
      <c r="G8" s="43">
        <f>KPIs!G11/KPIs!$G$8</f>
        <v>0.5118472563513391</v>
      </c>
      <c r="H8" s="43">
        <f>KPIs!H11/KPIs!$H$8</f>
        <v>0.52286684157313834</v>
      </c>
      <c r="I8" s="43">
        <f>KPIs!I11/KPIs!$I$8</f>
        <v>0.53396079636853</v>
      </c>
      <c r="J8" s="43">
        <f>KPIs!J11/KPIs!$J$8</f>
        <v>0.54512987615071073</v>
      </c>
      <c r="K8" s="43">
        <f>KPIs!K11/KPIs!$K$8</f>
        <v>0.55637484659850411</v>
      </c>
      <c r="L8" s="43">
        <f>KPIs!L11/KPIs!$L$8</f>
        <v>0.56769648383133786</v>
      </c>
      <c r="M8" s="43">
        <f>KPIs!M11/KPIs!$M$8</f>
        <v>0.57909557458780669</v>
      </c>
      <c r="N8" s="43">
        <f>KPIs!N11/KPIs!$N$8</f>
        <v>0.59057291640791676</v>
      </c>
      <c r="O8" s="43">
        <f>KPIs!O11/KPIs!$O$8</f>
        <v>0.58458358634116092</v>
      </c>
      <c r="P8" s="43">
        <f>KPIs!P11/KPIs!$P$8</f>
        <v>0.57858621663989396</v>
      </c>
      <c r="Q8" s="43">
        <f>KPIs!Q11/KPIs!$Q$8</f>
        <v>0.57258079110552629</v>
      </c>
      <c r="R8" s="43">
        <f>KPIs!R11/KPIs!$R$8</f>
        <v>0.56656729349592205</v>
      </c>
      <c r="S8" s="43">
        <f>KPIs!S11/KPIs!$S$8</f>
        <v>0.56054570752525323</v>
      </c>
      <c r="T8" s="43">
        <f>KPIs!T11/KPIs!$T$8</f>
        <v>0.55451601686385188</v>
      </c>
      <c r="U8" s="43">
        <f>KPIs!U11/KPIs!$U$8</f>
        <v>0.54847820513806367</v>
      </c>
      <c r="V8" s="43">
        <f>KPIs!V11/KPIs!$V$8</f>
        <v>0.54243225593009847</v>
      </c>
      <c r="W8" s="43">
        <f>KPIs!W11/KPIs!$W$8</f>
        <v>0.53637815277788214</v>
      </c>
      <c r="X8" s="43">
        <f>KPIs!X11/KPIs!$X$8</f>
        <v>0.53031587917490686</v>
      </c>
      <c r="Y8" s="43">
        <f>KPIs!Y11/KPIs!$Y$8</f>
        <v>0.524245418570082</v>
      </c>
      <c r="Z8" s="43">
        <f>KPIs!Z11/KPIs!$Z$8</f>
        <v>0.51816675436758142</v>
      </c>
      <c r="AA8" s="43">
        <f>KPIs!AA11/KPIs!$AA$8</f>
        <v>0.51207986992669496</v>
      </c>
      <c r="AB8" s="43">
        <f>KPIs!AB11/KPIs!$AB$8</f>
        <v>0.50598474856167441</v>
      </c>
      <c r="AC8" s="43">
        <f>KPIs!AC11/KPIs!$AC$8</f>
        <v>0.49988137354158185</v>
      </c>
      <c r="AD8" s="43">
        <f>KPIs!AD11/KPIs!$AD$8</f>
        <v>0.49376972809013719</v>
      </c>
      <c r="AE8" s="43">
        <f>KPIs!AE11/KPIs!$AE$8</f>
        <v>0.48764979538556319</v>
      </c>
      <c r="AF8" s="43">
        <f>KPIs!AF11/KPIs!$AF$8</f>
        <v>0.48152155856043166</v>
      </c>
      <c r="AG8" s="43">
        <f>KPIs!AG11/KPIs!$AG$8</f>
        <v>0.4753850007015093</v>
      </c>
      <c r="AH8" s="43">
        <f>KPIs!AH11/KPIs!$AH$8</f>
        <v>0.46924010484960094</v>
      </c>
      <c r="AI8" s="58" t="s">
        <v>88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</row>
    <row r="9" spans="1:80">
      <c r="A9" s="1"/>
      <c r="B9" s="56" t="s">
        <v>90</v>
      </c>
      <c r="C9" s="43">
        <f>KPIs!C12/KPIs!$C$8</f>
        <v>0.57902329451579437</v>
      </c>
      <c r="D9" s="43">
        <f>KPIs!D12/KPIs!$D$8</f>
        <v>0.59093714261523944</v>
      </c>
      <c r="E9" s="43">
        <f>KPIs!E12/KPIs!$E$8</f>
        <v>0.60293032471087959</v>
      </c>
      <c r="F9" s="43">
        <f>KPIs!F12/KPIs!$F$8</f>
        <v>0.61500363587433771</v>
      </c>
      <c r="G9" s="43">
        <f>KPIs!G12/KPIs!$G$8</f>
        <v>0.62715788183693977</v>
      </c>
      <c r="H9" s="43">
        <f>KPIs!H12/KPIs!$H$8</f>
        <v>0.63939387916896295</v>
      </c>
      <c r="I9" s="43">
        <f>KPIs!I12/KPIs!$I$8</f>
        <v>0.65171245546251177</v>
      </c>
      <c r="J9" s="43">
        <f>KPIs!J12/KPIs!$J$8</f>
        <v>0.66411444951811027</v>
      </c>
      <c r="K9" s="43">
        <f>KPIs!K12/KPIs!$K$8</f>
        <v>0.67660071153509482</v>
      </c>
      <c r="L9" s="43">
        <f>KPIs!L12/KPIs!$L$8</f>
        <v>0.68917210330590661</v>
      </c>
      <c r="M9" s="43">
        <f>KPIs!M12/KPIs!$M$8</f>
        <v>0.70182949841436482</v>
      </c>
      <c r="N9" s="43">
        <f>KPIs!N12/KPIs!$N$8</f>
        <v>0.71457378243802905</v>
      </c>
      <c r="O9" s="43">
        <f>KPIs!O12/KPIs!$O$8</f>
        <v>0.7047509898300478</v>
      </c>
      <c r="P9" s="43">
        <f>KPIs!P12/KPIs!$P$8</f>
        <v>0.69491501183045068</v>
      </c>
      <c r="Q9" s="43">
        <f>KPIs!Q12/KPIs!$Q$8</f>
        <v>0.68506582187276288</v>
      </c>
      <c r="R9" s="43">
        <f>KPIs!R12/KPIs!$R$8</f>
        <v>0.67520339331909196</v>
      </c>
      <c r="S9" s="43">
        <f>KPIs!S12/KPIs!$S$8</f>
        <v>0.66532769945988712</v>
      </c>
      <c r="T9" s="43">
        <f>KPIs!T12/KPIs!$T$8</f>
        <v>0.65543871351369964</v>
      </c>
      <c r="U9" s="43">
        <f>KPIs!U12/KPIs!$U$8</f>
        <v>0.64553640862693962</v>
      </c>
      <c r="V9" s="43">
        <f>KPIs!V12/KPIs!$V$8</f>
        <v>0.6356207578736327</v>
      </c>
      <c r="W9" s="43">
        <f>KPIs!W12/KPIs!$W$8</f>
        <v>0.62569173425517677</v>
      </c>
      <c r="X9" s="43">
        <f>KPIs!X12/KPIs!$X$8</f>
        <v>0.61574931070009653</v>
      </c>
      <c r="Y9" s="43">
        <f>KPIs!Y12/KPIs!$Y$8</f>
        <v>0.60579346006379731</v>
      </c>
      <c r="Z9" s="43">
        <f>KPIs!Z12/KPIs!$Z$8</f>
        <v>0.5958241551283181</v>
      </c>
      <c r="AA9" s="43">
        <f>KPIs!AA12/KPIs!$AA$8</f>
        <v>0.58584136860208458</v>
      </c>
      <c r="AB9" s="43">
        <f>KPIs!AB12/KPIs!$AB$8</f>
        <v>0.57584507311965805</v>
      </c>
      <c r="AC9" s="43">
        <f>KPIs!AC12/KPIs!$AC$8</f>
        <v>0.56583524124148676</v>
      </c>
      <c r="AD9" s="43">
        <f>KPIs!AD12/KPIs!$AD$8</f>
        <v>0.55581184545365503</v>
      </c>
      <c r="AE9" s="43">
        <f>KPIs!AE12/KPIs!$AE$8</f>
        <v>0.54577485816763061</v>
      </c>
      <c r="AF9" s="43">
        <f>KPIs!AF12/KPIs!$AF$8</f>
        <v>0.53572425172001059</v>
      </c>
      <c r="AG9" s="43">
        <f>KPIs!AG12/KPIs!$AG$8</f>
        <v>0.52565999837226962</v>
      </c>
      <c r="AH9" s="43">
        <f>KPIs!AH12/KPIs!$AH$8</f>
        <v>0.51558207031050318</v>
      </c>
      <c r="AI9" s="58" t="s">
        <v>97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</row>
    <row r="10" spans="1:80">
      <c r="A10" s="1"/>
      <c r="B10" s="56" t="s">
        <v>48</v>
      </c>
      <c r="C10" s="43">
        <f>KPIs!C13/KPIs!$C$8</f>
        <v>0.48231440778855222</v>
      </c>
      <c r="D10" s="43">
        <f>KPIs!D13/KPIs!$D$8</f>
        <v>0.43631760937572267</v>
      </c>
      <c r="E10" s="43">
        <f>KPIs!E13/KPIs!$E$8</f>
        <v>0.39001451951114363</v>
      </c>
      <c r="F10" s="43">
        <f>KPIs!F13/KPIs!$F$8</f>
        <v>0.34340206859473227</v>
      </c>
      <c r="G10" s="43">
        <f>KPIs!G13/KPIs!$G$8</f>
        <v>0.2964771458715853</v>
      </c>
      <c r="H10" s="43">
        <f>KPIs!H13/KPIs!$H$8</f>
        <v>0.24923659873994822</v>
      </c>
      <c r="I10" s="43">
        <f>KPIs!I13/KPIs!$I$8</f>
        <v>0.20167723204516572</v>
      </c>
      <c r="J10" s="43">
        <f>KPIs!J13/KPIs!$J$8</f>
        <v>0.15379580735929552</v>
      </c>
      <c r="K10" s="43">
        <f>KPIs!K13/KPIs!$K$8</f>
        <v>0.10558904224603309</v>
      </c>
      <c r="L10" s="43">
        <f>KPIs!L13/KPIs!$L$8</f>
        <v>5.7053609510603454E-2</v>
      </c>
      <c r="M10" s="43">
        <f>KPIs!M13/KPIs!$M$8</f>
        <v>8.1861364342578208E-3</v>
      </c>
      <c r="N10" s="43">
        <f>KPIs!N13/KPIs!$N$8</f>
        <v>0.4660219469141893</v>
      </c>
      <c r="O10" s="43">
        <f>KPIs!O13/KPIs!$O$8</f>
        <v>0.46203908253339687</v>
      </c>
      <c r="P10" s="43">
        <f>KPIs!P13/KPIs!$P$8</f>
        <v>0.45805087184950005</v>
      </c>
      <c r="Q10" s="43">
        <f>KPIs!Q13/KPIs!$Q$8</f>
        <v>0.45405730409054518</v>
      </c>
      <c r="R10" s="43">
        <f>KPIs!R13/KPIs!$R$8</f>
        <v>0.45005836845562097</v>
      </c>
      <c r="S10" s="43">
        <f>KPIs!S13/KPIs!$S$8</f>
        <v>0.44605405411476046</v>
      </c>
      <c r="T10" s="43">
        <f>KPIs!T13/KPIs!$T$8</f>
        <v>0.44204435020884419</v>
      </c>
      <c r="U10" s="43">
        <f>KPIs!U13/KPIs!$U$8</f>
        <v>0.43802924584950159</v>
      </c>
      <c r="V10" s="43">
        <f>KPIs!V13/KPIs!$V$8</f>
        <v>0.43400873011901209</v>
      </c>
      <c r="W10" s="43">
        <f>KPIs!W13/KPIs!$W$8</f>
        <v>0.42998279207020695</v>
      </c>
      <c r="X10" s="43">
        <f>KPIs!X13/KPIs!$X$8</f>
        <v>0.42595142072636849</v>
      </c>
      <c r="Y10" s="43">
        <f>KPIs!Y13/KPIs!$Y$8</f>
        <v>0.42191460508113271</v>
      </c>
      <c r="Z10" s="43">
        <f>KPIs!Z13/KPIs!$Z$8</f>
        <v>0.41787233409838626</v>
      </c>
      <c r="AA10" s="43">
        <f>KPIs!AA13/KPIs!$AA$8</f>
        <v>0.41382459671216826</v>
      </c>
      <c r="AB10" s="43">
        <f>KPIs!AB13/KPIs!$AB$8</f>
        <v>0.40977138182656814</v>
      </c>
      <c r="AC10" s="43">
        <f>KPIs!AC13/KPIs!$AC$8</f>
        <v>0.40571267831562385</v>
      </c>
      <c r="AD10" s="43">
        <f>KPIs!AD13/KPIs!$AD$8</f>
        <v>0.40164847502322193</v>
      </c>
      <c r="AE10" s="43">
        <f>KPIs!AE13/KPIs!$AE$8</f>
        <v>0.39757876076299276</v>
      </c>
      <c r="AF10" s="43">
        <f>KPIs!AF13/KPIs!$AF$8</f>
        <v>0.39350352431821001</v>
      </c>
      <c r="AG10" s="43">
        <f>KPIs!AG13/KPIs!$AG$8</f>
        <v>0.38942275444168634</v>
      </c>
      <c r="AH10" s="43">
        <f>KPIs!AH13/KPIs!$AH$8</f>
        <v>0.3853364398556709</v>
      </c>
      <c r="AI10" s="58" t="s">
        <v>98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</row>
    <row r="11" spans="1:80">
      <c r="A11" s="1"/>
      <c r="B11" s="56" t="s">
        <v>51</v>
      </c>
      <c r="C11" s="43">
        <f>KPIs!C14/KPIs!$C$8</f>
        <v>1.8433654902506116</v>
      </c>
      <c r="D11" s="43">
        <f>KPIs!D14/KPIs!$D$8</f>
        <v>1.8065996346439344</v>
      </c>
      <c r="E11" s="43">
        <f>KPIs!E14/KPIs!$E$8</f>
        <v>1.7695889561870324</v>
      </c>
      <c r="F11" s="43">
        <f>KPIs!F14/KPIs!$F$8</f>
        <v>1.7323310013075439</v>
      </c>
      <c r="G11" s="43">
        <f>KPIs!G14/KPIs!$G$8</f>
        <v>1.6948232835375063</v>
      </c>
      <c r="H11" s="43">
        <f>KPIs!H14/KPIs!$H$8</f>
        <v>1.6570632829602097</v>
      </c>
      <c r="I11" s="43">
        <f>KPIs!I14/KPIs!$I$8</f>
        <v>1.6190484456458438</v>
      </c>
      <c r="J11" s="43">
        <f>KPIs!J14/KPIs!$J$8</f>
        <v>1.5807761830756804</v>
      </c>
      <c r="K11" s="43">
        <f>KPIs!K14/KPIs!$K$8</f>
        <v>1.5422438715545177</v>
      </c>
      <c r="L11" s="43">
        <f>KPIs!L14/KPIs!$L$8</f>
        <v>1.5034488516111153</v>
      </c>
      <c r="M11" s="43">
        <f>KPIs!M14/KPIs!$M$8</f>
        <v>1.4643884273863064</v>
      </c>
      <c r="N11" s="43">
        <f>KPIs!N14/KPIs!$N$8</f>
        <v>1.425059866008529</v>
      </c>
      <c r="O11" s="43">
        <f>KPIs!O14/KPIs!$O$8</f>
        <v>1.4129891376628463</v>
      </c>
      <c r="P11" s="43">
        <f>KPIs!P14/KPIs!$P$8</f>
        <v>1.4009022064625707</v>
      </c>
      <c r="Q11" s="43">
        <f>KPIs!Q14/KPIs!$Q$8</f>
        <v>1.3887990397615173</v>
      </c>
      <c r="R11" s="43">
        <f>KPIs!R14/KPIs!$R$8</f>
        <v>1.3766796048257399</v>
      </c>
      <c r="S11" s="43">
        <f>KPIs!S14/KPIs!$S$8</f>
        <v>1.3645438688332354</v>
      </c>
      <c r="T11" s="43">
        <f>KPIs!T14/KPIs!$T$8</f>
        <v>1.3523917988736485</v>
      </c>
      <c r="U11" s="43">
        <f>KPIs!U14/KPIs!$U$8</f>
        <v>1.3402233619479735</v>
      </c>
      <c r="V11" s="43">
        <f>KPIs!V14/KPIs!$V$8</f>
        <v>1.3280385249682558</v>
      </c>
      <c r="W11" s="43">
        <f>KPIs!W14/KPIs!$W$8</f>
        <v>1.3158372547572912</v>
      </c>
      <c r="X11" s="43">
        <f>KPIs!X14/KPIs!$X$8</f>
        <v>1.3036195180483252</v>
      </c>
      <c r="Y11" s="43">
        <f>KPIs!Y14/KPIs!$Y$8</f>
        <v>1.2913852814847528</v>
      </c>
      <c r="Z11" s="43">
        <f>KPIs!Z14/KPIs!$Z$8</f>
        <v>1.2791345116198096</v>
      </c>
      <c r="AA11" s="43">
        <f>KPIs!AA14/KPIs!$AA$8</f>
        <v>1.2668671749162743</v>
      </c>
      <c r="AB11" s="43">
        <f>KPIs!AB14/KPIs!$AB$8</f>
        <v>1.2545832377461559</v>
      </c>
      <c r="AC11" s="43">
        <f>KPIs!AC14/KPIs!$AC$8</f>
        <v>1.2422826663903905</v>
      </c>
      <c r="AD11" s="43">
        <f>KPIs!AD14/KPIs!$AD$8</f>
        <v>1.2299654270385316</v>
      </c>
      <c r="AE11" s="43">
        <f>KPIs!AE14/KPIs!$AE$8</f>
        <v>1.2176314857884405</v>
      </c>
      <c r="AF11" s="43">
        <f>KPIs!AF14/KPIs!$AF$8</f>
        <v>1.2052808086459741</v>
      </c>
      <c r="AG11" s="43">
        <f>KPIs!AG14/KPIs!$AG$8</f>
        <v>1.1929133615246736</v>
      </c>
      <c r="AH11" s="43">
        <f>KPIs!AH14/KPIs!$AH$8</f>
        <v>1.1805291102454527</v>
      </c>
      <c r="AI11" s="58" t="s">
        <v>99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</row>
    <row r="12" spans="1:80">
      <c r="A12" s="1"/>
      <c r="B12" s="56" t="s">
        <v>56</v>
      </c>
      <c r="C12" s="43">
        <f>KPIs!C15/KPIs!$C$8</f>
        <v>0.73630128923849691</v>
      </c>
      <c r="D12" s="43">
        <f>KPIs!D15/KPIs!$D$8</f>
        <v>0.73153459927467313</v>
      </c>
      <c r="E12" s="43">
        <f>KPIs!E15/KPIs!$E$8</f>
        <v>0.72689793987076179</v>
      </c>
      <c r="F12" s="43">
        <f>KPIs!F15/KPIs!$F$8</f>
        <v>0.72238682591844783</v>
      </c>
      <c r="G12" s="43">
        <f>KPIs!G15/KPIs!$G$8</f>
        <v>0.71799698507656451</v>
      </c>
      <c r="H12" s="43">
        <f>KPIs!H15/KPIs!$H$8</f>
        <v>0.7137243454523251</v>
      </c>
      <c r="I12" s="43">
        <f>KPIs!I15/KPIs!$I$8</f>
        <v>0.70956502413157396</v>
      </c>
      <c r="J12" s="43">
        <f>KPIs!J15/KPIs!$J$8</f>
        <v>0.70551531649063304</v>
      </c>
      <c r="K12" s="43">
        <f>KPIs!K15/KPIs!$K$8</f>
        <v>0.70157168622837562</v>
      </c>
      <c r="L12" s="43">
        <f>KPIs!L15/KPIs!$L$8</f>
        <v>0.69773075606260071</v>
      </c>
      <c r="M12" s="43">
        <f>KPIs!M15/KPIs!$M$8</f>
        <v>0.69398929903969409</v>
      </c>
      <c r="N12" s="43">
        <f>KPIs!N15/KPIs!$N$8</f>
        <v>0.69034423041099613</v>
      </c>
      <c r="O12" s="43">
        <f>KPIs!O15/KPIs!$O$8</f>
        <v>0.68792406103393611</v>
      </c>
      <c r="P12" s="43">
        <f>KPIs!P15/KPIs!$P$8</f>
        <v>0.68552784699977665</v>
      </c>
      <c r="Q12" s="43">
        <f>KPIs!Q15/KPIs!$Q$8</f>
        <v>0.68315515759051115</v>
      </c>
      <c r="R12" s="43">
        <f>KPIs!R15/KPIs!$R$8</f>
        <v>0.68080557210940373</v>
      </c>
      <c r="S12" s="43">
        <f>KPIs!S15/KPIs!$S$8</f>
        <v>0.67847867959043318</v>
      </c>
      <c r="T12" s="43">
        <f>KPIs!T15/KPIs!$T$8</f>
        <v>0.67617407851778755</v>
      </c>
      <c r="U12" s="43">
        <f>KPIs!U15/KPIs!$U$8</f>
        <v>0.67389137655500309</v>
      </c>
      <c r="V12" s="43">
        <f>KPIs!V15/KPIs!$V$8</f>
        <v>0.67163019028336191</v>
      </c>
      <c r="W12" s="43">
        <f>KPIs!W15/KPIs!$W$8</f>
        <v>0.6693901449491817</v>
      </c>
      <c r="X12" s="43">
        <f>KPIs!X15/KPIs!$X$8</f>
        <v>0.66717087421965038</v>
      </c>
      <c r="Y12" s="43">
        <f>KPIs!Y15/KPIs!$Y$8</f>
        <v>0.66497201994686528</v>
      </c>
      <c r="Z12" s="43">
        <f>KPIs!Z15/KPIs!$Z$8</f>
        <v>0.66279323193975848</v>
      </c>
      <c r="AA12" s="43">
        <f>KPIs!AA15/KPIs!$AA$8</f>
        <v>0.66063416774360717</v>
      </c>
      <c r="AB12" s="43">
        <f>KPIs!AB15/KPIs!$AB$8</f>
        <v>0.65849449242682767</v>
      </c>
      <c r="AC12" s="43">
        <f>KPIs!AC15/KPIs!$AC$8</f>
        <v>0.656373878374782</v>
      </c>
      <c r="AD12" s="43">
        <f>KPIs!AD15/KPIs!$AD$8</f>
        <v>0.65427200509032579</v>
      </c>
      <c r="AE12" s="43">
        <f>KPIs!AE15/KPIs!$AE$8</f>
        <v>0.65218855900083972</v>
      </c>
      <c r="AF12" s="43">
        <f>KPIs!AF15/KPIs!$AF$8</f>
        <v>0.65012323327150556</v>
      </c>
      <c r="AG12" s="43">
        <f>KPIs!AG15/KPIs!$AG$8</f>
        <v>0.6480757276245861</v>
      </c>
      <c r="AH12" s="43">
        <f>KPIs!AH15/KPIs!$AH$8</f>
        <v>0.64604574816449145</v>
      </c>
      <c r="AI12" s="58" t="s">
        <v>100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</row>
    <row r="13" spans="1:80">
      <c r="A13" s="1"/>
      <c r="B13" s="56" t="s">
        <v>59</v>
      </c>
      <c r="C13" s="43">
        <f>KPIs!C16/KPIs!$C$8</f>
        <v>2.1094501586501351</v>
      </c>
      <c r="D13" s="43">
        <f>KPIs!D16/KPIs!$D$8</f>
        <v>2.0580529847609301</v>
      </c>
      <c r="E13" s="43">
        <f>KPIs!E16/KPIs!$E$8</f>
        <v>2.0066973553469611</v>
      </c>
      <c r="F13" s="43">
        <f>KPIs!F16/KPIs!$F$8</f>
        <v>1.9553798824667261</v>
      </c>
      <c r="G13" s="43">
        <f>KPIs!G16/KPIs!$G$8</f>
        <v>1.9040971828701931</v>
      </c>
      <c r="H13" s="43">
        <f>KPIs!H16/KPIs!$H$8</f>
        <v>1.8528458772551799</v>
      </c>
      <c r="I13" s="43">
        <f>KPIs!I16/KPIs!$I$8</f>
        <v>1.8016225895248232</v>
      </c>
      <c r="J13" s="43">
        <f>KPIs!J16/KPIs!$J$8</f>
        <v>1.7504239460457971</v>
      </c>
      <c r="K13" s="43">
        <f>KPIs!K16/KPIs!$K$8</f>
        <v>1.6992465749069279</v>
      </c>
      <c r="L13" s="43">
        <f>KPIs!L16/KPIs!$L$8</f>
        <v>1.6480871051778916</v>
      </c>
      <c r="M13" s="43">
        <f>KPIs!M16/KPIs!$M$8</f>
        <v>1.5969421661676051</v>
      </c>
      <c r="N13" s="43">
        <f>KPIs!N16/KPIs!$N$8</f>
        <v>1.5458083866820254</v>
      </c>
      <c r="O13" s="43">
        <f>KPIs!O16/KPIs!$O$8</f>
        <v>1.5338251294660292</v>
      </c>
      <c r="P13" s="43">
        <f>KPIs!P16/KPIs!$P$8</f>
        <v>1.5218703350403835</v>
      </c>
      <c r="Q13" s="43">
        <f>KPIs!Q16/KPIs!$Q$8</f>
        <v>1.5099438259939741</v>
      </c>
      <c r="R13" s="43">
        <f>KPIs!R16/KPIs!$R$8</f>
        <v>1.4980454260853768</v>
      </c>
      <c r="S13" s="43">
        <f>KPIs!S16/KPIs!$S$8</f>
        <v>1.4861749602323728</v>
      </c>
      <c r="T13" s="43">
        <f>KPIs!T16/KPIs!$T$8</f>
        <v>1.4743322545015827</v>
      </c>
      <c r="U13" s="43">
        <f>KPIs!U16/KPIs!$U$8</f>
        <v>1.4625171360982048</v>
      </c>
      <c r="V13" s="43">
        <f>KPIs!V16/KPIs!$V$8</f>
        <v>1.4507294333558545</v>
      </c>
      <c r="W13" s="43">
        <f>KPIs!W16/KPIs!$W$8</f>
        <v>1.4389689757265194</v>
      </c>
      <c r="X13" s="43">
        <f>KPIs!X16/KPIs!$X$8</f>
        <v>1.4272355937706067</v>
      </c>
      <c r="Y13" s="43">
        <f>KPIs!Y16/KPIs!$Y$8</f>
        <v>1.4155291191471018</v>
      </c>
      <c r="Z13" s="43">
        <f>KPIs!Z16/KPIs!$Z$8</f>
        <v>1.4038493846038191</v>
      </c>
      <c r="AA13" s="43">
        <f>KPIs!AA16/KPIs!$AA$8</f>
        <v>1.3921962239677634</v>
      </c>
      <c r="AB13" s="43">
        <f>KPIs!AB16/KPIs!$AB$8</f>
        <v>1.3805694721355806</v>
      </c>
      <c r="AC13" s="43">
        <f>KPIs!AC16/KPIs!$AC$8</f>
        <v>1.3689689650641099</v>
      </c>
      <c r="AD13" s="43">
        <f>KPIs!AD16/KPIs!$AD$8</f>
        <v>1.3573945397610327</v>
      </c>
      <c r="AE13" s="43">
        <f>KPIs!AE16/KPIs!$AE$8</f>
        <v>1.3458460342756144</v>
      </c>
      <c r="AF13" s="43">
        <f>KPIs!AF16/KPIs!$AF$8</f>
        <v>1.3343232876895417</v>
      </c>
      <c r="AG13" s="43">
        <f>KPIs!AG16/KPIs!$AG$8</f>
        <v>1.3228261401078532</v>
      </c>
      <c r="AH13" s="43">
        <f>KPIs!AH16/KPIs!$AH$8</f>
        <v>1.3113544326499624</v>
      </c>
      <c r="AI13" s="58" t="s">
        <v>101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</row>
    <row r="14" spans="1:80">
      <c r="A14" s="1"/>
      <c r="B14" s="56" t="s">
        <v>5</v>
      </c>
      <c r="C14" s="43">
        <f>KPIs!C17/KPIs!$C$8</f>
        <v>0.69291225282650959</v>
      </c>
      <c r="D14" s="43">
        <f>KPIs!D17/KPIs!$D$8</f>
        <v>0.69254313607071372</v>
      </c>
      <c r="E14" s="43">
        <f>KPIs!E17/KPIs!$E$8</f>
        <v>0.69217156137630209</v>
      </c>
      <c r="F14" s="43">
        <f>KPIs!F17/KPIs!$F$8</f>
        <v>0.69179750411023888</v>
      </c>
      <c r="G14" s="43">
        <f>KPIs!G17/KPIs!$G$8</f>
        <v>0.6914209393092261</v>
      </c>
      <c r="H14" s="43">
        <f>KPIs!H17/KPIs!$H$8</f>
        <v>0.69104184167415239</v>
      </c>
      <c r="I14" s="43">
        <f>KPIs!I17/KPIs!$I$8</f>
        <v>0.69066018556442632</v>
      </c>
      <c r="J14" s="43">
        <f>KPIs!J17/KPIs!$J$8</f>
        <v>0.69027594499219558</v>
      </c>
      <c r="K14" s="43">
        <f>KPIs!K17/KPIs!$K$8</f>
        <v>0.68988909361644679</v>
      </c>
      <c r="L14" s="43">
        <f>KPIs!L17/KPIs!$L$8</f>
        <v>0.68949960473698912</v>
      </c>
      <c r="M14" s="43">
        <f>KPIs!M17/KPIs!$M$8</f>
        <v>0.68910745128830775</v>
      </c>
      <c r="N14" s="43">
        <f>KPIs!N17/KPIs!$N$8</f>
        <v>0.68871260583329674</v>
      </c>
      <c r="O14" s="43">
        <f>KPIs!O17/KPIs!$O$8</f>
        <v>0.68538526619801166</v>
      </c>
      <c r="P14" s="43">
        <f>KPIs!P17/KPIs!$P$8</f>
        <v>0.68205346018764568</v>
      </c>
      <c r="Q14" s="43">
        <f>KPIs!Q17/KPIs!$Q$8</f>
        <v>0.67871717880316118</v>
      </c>
      <c r="R14" s="43">
        <f>KPIs!R17/KPIs!$R$8</f>
        <v>0.67537641302132723</v>
      </c>
      <c r="S14" s="43">
        <f>KPIs!S17/KPIs!$S$8</f>
        <v>0.6720311537946414</v>
      </c>
      <c r="T14" s="43">
        <f>KPIs!T17/KPIs!$T$8</f>
        <v>0.66868139205124544</v>
      </c>
      <c r="U14" s="43">
        <f>KPIs!U17/KPIs!$U$8</f>
        <v>0.66532711869484584</v>
      </c>
      <c r="V14" s="43">
        <f>KPIs!V17/KPIs!$V$8</f>
        <v>0.66196832460462862</v>
      </c>
      <c r="W14" s="43">
        <f>KPIs!W17/KPIs!$W$8</f>
        <v>0.6586050006351778</v>
      </c>
      <c r="X14" s="43">
        <f>KPIs!X17/KPIs!$X$8</f>
        <v>0.65523713761639324</v>
      </c>
      <c r="Y14" s="43">
        <f>KPIs!Y17/KPIs!$Y$8</f>
        <v>0.6518647263534072</v>
      </c>
      <c r="Z14" s="43">
        <f>KPIs!Z17/KPIs!$Z$8</f>
        <v>0.64848775762649857</v>
      </c>
      <c r="AA14" s="43">
        <f>KPIs!AA17/KPIs!$AA$8</f>
        <v>0.64510622219101199</v>
      </c>
      <c r="AB14" s="43">
        <f>KPIs!AB17/KPIs!$AB$8</f>
        <v>0.64172011077727109</v>
      </c>
      <c r="AC14" s="43">
        <f>KPIs!AC17/KPIs!$AC$8</f>
        <v>0.63832941409049426</v>
      </c>
      <c r="AD14" s="43">
        <f>KPIs!AD17/KPIs!$AD$8</f>
        <v>0.63493412281071082</v>
      </c>
      <c r="AE14" s="43">
        <f>KPIs!AE17/KPIs!$AE$8</f>
        <v>0.63153422759267441</v>
      </c>
      <c r="AF14" s="43">
        <f>KPIs!AF17/KPIs!$AF$8</f>
        <v>0.62812971906577741</v>
      </c>
      <c r="AG14" s="43">
        <f>KPIs!AG17/KPIs!$AG$8</f>
        <v>0.62472058783396445</v>
      </c>
      <c r="AH14" s="43">
        <f>KPIs!AH17/KPIs!$AH$8</f>
        <v>0.62130682447564867</v>
      </c>
      <c r="AI14" s="58" t="s">
        <v>5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</row>
    <row r="15" spans="1:80">
      <c r="A15" s="1"/>
      <c r="B15" s="56" t="s">
        <v>6</v>
      </c>
      <c r="C15" s="43">
        <f>KPIs!C18/KPIs!$C$8</f>
        <v>5.3974918928265536</v>
      </c>
      <c r="D15" s="43">
        <f>KPIs!D18/KPIs!$D$8</f>
        <v>5.4111853443911953</v>
      </c>
      <c r="E15" s="43">
        <f>KPIs!E18/KPIs!$E$8</f>
        <v>5.4249699802839579</v>
      </c>
      <c r="F15" s="43">
        <f>KPIs!F18/KPIs!$F$8</f>
        <v>5.4388467143384513</v>
      </c>
      <c r="G15" s="43">
        <f>KPIs!G18/KPIs!$G$8</f>
        <v>5.4528164726402517</v>
      </c>
      <c r="H15" s="43">
        <f>KPIs!H18/KPIs!$H$8</f>
        <v>5.4668801937329281</v>
      </c>
      <c r="I15" s="43">
        <f>KPIs!I18/KPIs!$I$8</f>
        <v>5.4810388288282414</v>
      </c>
      <c r="J15" s="43">
        <f>KPIs!J18/KPIs!$J$8</f>
        <v>5.4952933420206005</v>
      </c>
      <c r="K15" s="43">
        <f>KPIs!K18/KPIs!$K$8</f>
        <v>5.5096447105058948</v>
      </c>
      <c r="L15" s="43">
        <f>KPIs!L18/KPIs!$L$8</f>
        <v>5.5240939248048209</v>
      </c>
      <c r="M15" s="43">
        <f>KPIs!M18/KPIs!$M$8</f>
        <v>5.5386419889907543</v>
      </c>
      <c r="N15" s="43">
        <f>KPIs!N18/KPIs!$N$8</f>
        <v>5.5532899209223512</v>
      </c>
      <c r="O15" s="43">
        <f>KPIs!O18/KPIs!$O$8</f>
        <v>5.5535793394532966</v>
      </c>
      <c r="P15" s="43">
        <f>KPIs!P18/KPIs!$P$8</f>
        <v>5.5538691464783128</v>
      </c>
      <c r="Q15" s="43">
        <f>KPIs!Q18/KPIs!$Q$8</f>
        <v>5.554159342780153</v>
      </c>
      <c r="R15" s="43">
        <f>KPIs!R18/KPIs!$R$8</f>
        <v>5.5544499291436749</v>
      </c>
      <c r="S15" s="43">
        <f>KPIs!S18/KPIs!$S$8</f>
        <v>5.5547409063558471</v>
      </c>
      <c r="T15" s="43">
        <f>KPIs!T18/KPIs!$T$8</f>
        <v>5.5550322752057557</v>
      </c>
      <c r="U15" s="43">
        <f>KPIs!U18/KPIs!$U$8</f>
        <v>5.5553240364846195</v>
      </c>
      <c r="V15" s="43">
        <f>KPIs!V18/KPIs!$V$8</f>
        <v>5.5556161909857833</v>
      </c>
      <c r="W15" s="43">
        <f>KPIs!W18/KPIs!$W$8</f>
        <v>5.5559087395047309</v>
      </c>
      <c r="X15" s="43">
        <f>KPIs!X18/KPIs!$X$8</f>
        <v>5.5562016828390952</v>
      </c>
      <c r="Y15" s="43">
        <f>KPIs!Y18/KPIs!$Y$8</f>
        <v>5.5564950217886695</v>
      </c>
      <c r="Z15" s="43">
        <f>KPIs!Z18/KPIs!$Z$8</f>
        <v>5.5567887571553944</v>
      </c>
      <c r="AA15" s="43">
        <f>KPIs!AA18/KPIs!$AA$8</f>
        <v>5.5570828897433957</v>
      </c>
      <c r="AB15" s="43">
        <f>KPIs!AB18/KPIs!$AB$8</f>
        <v>5.5573774203589652</v>
      </c>
      <c r="AC15" s="43">
        <f>KPIs!AC18/KPIs!$AC$8</f>
        <v>5.5576723498105798</v>
      </c>
      <c r="AD15" s="43">
        <f>KPIs!AD18/KPIs!$AD$8</f>
        <v>5.5579676789089119</v>
      </c>
      <c r="AE15" s="43">
        <f>KPIs!AE18/KPIs!$AE$8</f>
        <v>5.5582634084668276</v>
      </c>
      <c r="AF15" s="43">
        <f>KPIs!AF18/KPIs!$AF$8</f>
        <v>5.5585595392994023</v>
      </c>
      <c r="AG15" s="43">
        <f>KPIs!AG18/KPIs!$AG$8</f>
        <v>5.5588560722239189</v>
      </c>
      <c r="AH15" s="43">
        <f>KPIs!AH18/KPIs!$AH$8</f>
        <v>5.5591530080598925</v>
      </c>
      <c r="AI15" s="58" t="s">
        <v>102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</row>
    <row r="16" spans="1:80">
      <c r="A16" s="1"/>
      <c r="B16" s="56" t="s">
        <v>7</v>
      </c>
      <c r="C16" s="43">
        <f>KPIs!C19/KPIs!$C$8</f>
        <v>1.168123584824085</v>
      </c>
      <c r="D16" s="43">
        <f>KPIs!D19/KPIs!$D$8</f>
        <v>1.1680329878618618</v>
      </c>
      <c r="E16" s="43">
        <f>KPIs!E19/KPIs!$E$8</f>
        <v>1.1679417876168869</v>
      </c>
      <c r="F16" s="43">
        <f>KPIs!F19/KPIs!$F$8</f>
        <v>1.1678499780431655</v>
      </c>
      <c r="G16" s="43">
        <f>KPIs!G19/KPIs!$G$8</f>
        <v>1.1677575530136424</v>
      </c>
      <c r="H16" s="43">
        <f>KPIs!H19/KPIs!$H$8</f>
        <v>1.1676645063188384</v>
      </c>
      <c r="I16" s="43">
        <f>KPIs!I19/KPIs!$I$8</f>
        <v>1.1675708316654605</v>
      </c>
      <c r="J16" s="43">
        <f>KPIs!J19/KPIs!$J$8</f>
        <v>1.1674765226749844</v>
      </c>
      <c r="K16" s="43">
        <f>KPIs!K19/KPIs!$K$8</f>
        <v>1.1673815728822032</v>
      </c>
      <c r="L16" s="43">
        <f>KPIs!L19/KPIs!$L$8</f>
        <v>1.1672859757337548</v>
      </c>
      <c r="M16" s="43">
        <f>KPIs!M19/KPIs!$M$8</f>
        <v>1.1671897245866099</v>
      </c>
      <c r="N16" s="43">
        <f>KPIs!N19/KPIs!$N$8</f>
        <v>1.1670928127065336</v>
      </c>
      <c r="O16" s="43">
        <f>KPIs!O19/KPIs!$O$8</f>
        <v>1.1648912932691362</v>
      </c>
      <c r="P16" s="43">
        <f>KPIs!P19/KPIs!$P$8</f>
        <v>1.1626868186745762</v>
      </c>
      <c r="Q16" s="43">
        <f>KPIs!Q19/KPIs!$Q$8</f>
        <v>1.1604793829686804</v>
      </c>
      <c r="R16" s="43">
        <f>KPIs!R19/KPIs!$R$8</f>
        <v>1.1582689801812684</v>
      </c>
      <c r="S16" s="43">
        <f>KPIs!S19/KPIs!$S$8</f>
        <v>1.156055604326101</v>
      </c>
      <c r="T16" s="43">
        <f>KPIs!T19/KPIs!$T$8</f>
        <v>1.1538392494008232</v>
      </c>
      <c r="U16" s="43">
        <f>KPIs!U19/KPIs!$U$8</f>
        <v>1.1516199093869124</v>
      </c>
      <c r="V16" s="43">
        <f>KPIs!V19/KPIs!$V$8</f>
        <v>1.1493975782496233</v>
      </c>
      <c r="W16" s="43">
        <f>KPIs!W19/KPIs!$W$8</f>
        <v>1.1471722499379324</v>
      </c>
      <c r="X16" s="43">
        <f>KPIs!X19/KPIs!$X$8</f>
        <v>1.1449439183844838</v>
      </c>
      <c r="Y16" s="43">
        <f>KPIs!Y19/KPIs!$Y$8</f>
        <v>1.142712577505534</v>
      </c>
      <c r="Z16" s="43">
        <f>KPIs!Z19/KPIs!$Z$8</f>
        <v>1.140478221200895</v>
      </c>
      <c r="AA16" s="43">
        <f>KPIs!AA19/KPIs!$AA$8</f>
        <v>1.1382408433538831</v>
      </c>
      <c r="AB16" s="43">
        <f>KPIs!AB19/KPIs!$AB$8</f>
        <v>1.1360004378312571</v>
      </c>
      <c r="AC16" s="43">
        <f>KPIs!AC19/KPIs!$AC$8</f>
        <v>1.1337569984831668</v>
      </c>
      <c r="AD16" s="43">
        <f>KPIs!AD19/KPIs!$AD$8</f>
        <v>1.131510519143095</v>
      </c>
      <c r="AE16" s="43">
        <f>KPIs!AE19/KPIs!$AE$8</f>
        <v>1.1292609936278011</v>
      </c>
      <c r="AF16" s="43">
        <f>KPIs!AF19/KPIs!$AF$8</f>
        <v>1.1270084157372644</v>
      </c>
      <c r="AG16" s="43">
        <f>KPIs!AG19/KPIs!$AG$8</f>
        <v>1.1247527792546266</v>
      </c>
      <c r="AH16" s="43">
        <f>KPIs!AH19/KPIs!$AH$8</f>
        <v>1.122494077946137</v>
      </c>
      <c r="AI16" s="58" t="s">
        <v>7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</row>
    <row r="17" spans="1:80">
      <c r="A17" s="1"/>
      <c r="B17" s="56" t="s">
        <v>72</v>
      </c>
      <c r="C17" s="43">
        <f>KPIs!C20/KPIs!$C$8</f>
        <v>0.79283399252320619</v>
      </c>
      <c r="D17" s="43">
        <f>KPIs!D20/KPIs!$D$8</f>
        <v>0.79341704317570094</v>
      </c>
      <c r="E17" s="43">
        <f>KPIs!E20/KPIs!$E$8</f>
        <v>0.79400397634691244</v>
      </c>
      <c r="F17" s="43">
        <f>KPIs!F20/KPIs!$F$8</f>
        <v>0.79459483094677508</v>
      </c>
      <c r="G17" s="43">
        <f>KPIs!G20/KPIs!$G$8</f>
        <v>0.79518964640689505</v>
      </c>
      <c r="H17" s="43">
        <f>KPIs!H20/KPIs!$H$8</f>
        <v>0.79578846268932579</v>
      </c>
      <c r="I17" s="43">
        <f>KPIs!I20/KPIs!$I$8</f>
        <v>0.79639132029551696</v>
      </c>
      <c r="J17" s="43">
        <f>KPIs!J20/KPIs!$J$8</f>
        <v>0.79699826027544574</v>
      </c>
      <c r="K17" s="43">
        <f>KPIs!K20/KPIs!$K$8</f>
        <v>0.79760932423693387</v>
      </c>
      <c r="L17" s="43">
        <f>KPIs!L20/KPIs!$L$8</f>
        <v>0.7982245543551586</v>
      </c>
      <c r="M17" s="43">
        <f>KPIs!M20/KPIs!$M$8</f>
        <v>0.79884399338235357</v>
      </c>
      <c r="N17" s="43">
        <f>KPIs!N20/KPIs!$N$8</f>
        <v>0.79946768465771179</v>
      </c>
      <c r="O17" s="43">
        <f>KPIs!O20/KPIs!$O$8</f>
        <v>0.79852166959830251</v>
      </c>
      <c r="P17" s="43">
        <f>KPIs!P20/KPIs!$P$8</f>
        <v>0.79757438467811836</v>
      </c>
      <c r="Q17" s="43">
        <f>KPIs!Q20/KPIs!$Q$8</f>
        <v>0.79662582733859122</v>
      </c>
      <c r="R17" s="43">
        <f>KPIs!R20/KPIs!$R$8</f>
        <v>0.79567599501427422</v>
      </c>
      <c r="S17" s="43">
        <f>KPIs!S20/KPIs!$S$8</f>
        <v>0.79472488513282036</v>
      </c>
      <c r="T17" s="43">
        <f>KPIs!T20/KPIs!$T$8</f>
        <v>0.79377249511495751</v>
      </c>
      <c r="U17" s="43">
        <f>KPIs!U20/KPIs!$U$8</f>
        <v>0.79281882237446544</v>
      </c>
      <c r="V17" s="43">
        <f>KPIs!V20/KPIs!$V$8</f>
        <v>0.79186386431815392</v>
      </c>
      <c r="W17" s="43">
        <f>KPIs!W20/KPIs!$W$8</f>
        <v>0.79090761834583645</v>
      </c>
      <c r="X17" s="43">
        <f>KPIs!X20/KPIs!$X$8</f>
        <v>0.78995008185030979</v>
      </c>
      <c r="Y17" s="43">
        <f>KPIs!Y20/KPIs!$Y$8</f>
        <v>0.78899125221732813</v>
      </c>
      <c r="Z17" s="43">
        <f>KPIs!Z20/KPIs!$Z$8</f>
        <v>0.78803112682557896</v>
      </c>
      <c r="AA17" s="43">
        <f>KPIs!AA20/KPIs!$AA$8</f>
        <v>0.78706970304666179</v>
      </c>
      <c r="AB17" s="43">
        <f>KPIs!AB20/KPIs!$AB$8</f>
        <v>0.78610697824506159</v>
      </c>
      <c r="AC17" s="43">
        <f>KPIs!AC20/KPIs!$AC$8</f>
        <v>0.78514294977812504</v>
      </c>
      <c r="AD17" s="43">
        <f>KPIs!AD20/KPIs!$AD$8</f>
        <v>0.78417761499603844</v>
      </c>
      <c r="AE17" s="43">
        <f>KPIs!AE20/KPIs!$AE$8</f>
        <v>0.78321097124180061</v>
      </c>
      <c r="AF17" s="43">
        <f>KPIs!AF20/KPIs!$AF$8</f>
        <v>0.78224301585120048</v>
      </c>
      <c r="AG17" s="43">
        <f>KPIs!AG20/KPIs!$AG$8</f>
        <v>0.7812737461527911</v>
      </c>
      <c r="AH17" s="43">
        <f>KPIs!AH20/KPIs!$AH$8</f>
        <v>0.78030315946786744</v>
      </c>
      <c r="AI17" s="58" t="s">
        <v>103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</row>
    <row r="18" spans="1:80">
      <c r="A18" s="1"/>
      <c r="B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</row>
    <row r="19" spans="1:80">
      <c r="A19" s="1"/>
      <c r="B19" s="58" t="s">
        <v>115</v>
      </c>
      <c r="C19" s="58">
        <v>2019</v>
      </c>
      <c r="D19" s="58">
        <v>2020</v>
      </c>
      <c r="E19" s="58">
        <v>2021</v>
      </c>
      <c r="F19" s="58">
        <v>2022</v>
      </c>
      <c r="G19" s="58">
        <v>2023</v>
      </c>
      <c r="H19" s="58">
        <v>2024</v>
      </c>
      <c r="I19" s="58">
        <v>2025</v>
      </c>
      <c r="J19" s="58">
        <v>2026</v>
      </c>
      <c r="K19" s="58">
        <v>2027</v>
      </c>
      <c r="L19" s="58">
        <v>2028</v>
      </c>
      <c r="M19" s="58">
        <v>2029</v>
      </c>
      <c r="N19" s="58">
        <v>2030</v>
      </c>
      <c r="O19" s="58">
        <v>2031</v>
      </c>
      <c r="P19" s="58">
        <v>2032</v>
      </c>
      <c r="Q19" s="58">
        <v>2033</v>
      </c>
      <c r="R19" s="58">
        <v>2034</v>
      </c>
      <c r="S19" s="58">
        <v>2035</v>
      </c>
      <c r="T19" s="58">
        <v>2036</v>
      </c>
      <c r="U19" s="58">
        <v>2037</v>
      </c>
      <c r="V19" s="58">
        <v>2038</v>
      </c>
      <c r="W19" s="58">
        <v>2039</v>
      </c>
      <c r="X19" s="58">
        <v>2040</v>
      </c>
      <c r="Y19" s="58">
        <v>2041</v>
      </c>
      <c r="Z19" s="58">
        <v>2042</v>
      </c>
      <c r="AA19" s="58">
        <v>2043</v>
      </c>
      <c r="AB19" s="58">
        <v>2044</v>
      </c>
      <c r="AC19" s="58">
        <v>2045</v>
      </c>
      <c r="AD19" s="58">
        <v>2046</v>
      </c>
      <c r="AE19" s="58">
        <v>2047</v>
      </c>
      <c r="AF19" s="58">
        <v>2048</v>
      </c>
      <c r="AG19" s="58">
        <v>2049</v>
      </c>
      <c r="AH19" s="58">
        <v>2050</v>
      </c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</row>
    <row r="20" spans="1:80">
      <c r="A20" s="1"/>
      <c r="B20" s="56">
        <v>1</v>
      </c>
      <c r="C20" s="45" t="str">
        <f>VLOOKUP(SMALL($C$5:$C$17,1),$C$5:$AI$17,33,FALSE)</f>
        <v>Gas - CC</v>
      </c>
      <c r="D20" s="45" t="str">
        <f>VLOOKUP(SMALL($D$5:$D$17,1),$D$5:$AI$17,32,FALSE)</f>
        <v>Solar PV</v>
      </c>
      <c r="E20" s="45" t="str">
        <f>VLOOKUP(SMALL($E$5:$E$17,1),$E$5:$AI$17,31,FALSE)</f>
        <v>Solar PV</v>
      </c>
      <c r="F20" s="45" t="str">
        <f>VLOOKUP(SMALL($F$5:$F$17,1),$F$5:$AI$17,30,FALSE)</f>
        <v>Solar PV</v>
      </c>
      <c r="G20" s="45" t="str">
        <f>VLOOKUP(SMALL($G$5:$G$17,1),$G$5:$AI$17,29,FALSE)</f>
        <v>Solar PV</v>
      </c>
      <c r="H20" s="45" t="str">
        <f>VLOOKUP(SMALL($H$5:$H$17,1),$H$5:$AI$17,28,FALSE)</f>
        <v>Solar PV</v>
      </c>
      <c r="I20" s="45" t="str">
        <f>VLOOKUP(SMALL($I$5:$I$17,1),$I$5:$AI$17,27,FALSE)</f>
        <v>Solar PV</v>
      </c>
      <c r="J20" s="45" t="str">
        <f>VLOOKUP(SMALL($J$5:$J$17,1),$J$5:$AI$17,26,FALSE)</f>
        <v>Solar PV</v>
      </c>
      <c r="K20" s="45" t="str">
        <f>VLOOKUP(SMALL($K$5:$K$17,1),$K$5:$AI$17,25,FALSE)</f>
        <v>Solar PV</v>
      </c>
      <c r="L20" s="45" t="str">
        <f>VLOOKUP(SMALL($L$5:$L$17,1),$L$5:$AI$17,24,FALSE)</f>
        <v>Solar PV</v>
      </c>
      <c r="M20" s="45" t="str">
        <f>VLOOKUP(SMALL($M$5:$M$17,1),$M$5:$AI$17,23,FALSE)</f>
        <v>Solar PV</v>
      </c>
      <c r="N20" s="45" t="str">
        <f>VLOOKUP(SMALL($N$5:$N$17,1),$N$5:$AI$17,22,FALSE)</f>
        <v>Solar PV</v>
      </c>
      <c r="O20" s="45" t="str">
        <f>VLOOKUP(SMALL($O$5:$O$17,1),$O$5:$AI$17,21,FALSE)</f>
        <v>Solar PV</v>
      </c>
      <c r="P20" s="45" t="str">
        <f>VLOOKUP(SMALL($P$5:$P$17,1),$P$5:$AI$17,20,FALSE)</f>
        <v>Solar PV</v>
      </c>
      <c r="Q20" s="45" t="str">
        <f>VLOOKUP(SMALL($Q$5:$Q$17,1),$Q$5:$AI$17,19,FALSE)</f>
        <v>Solar PV</v>
      </c>
      <c r="R20" s="45" t="str">
        <f>VLOOKUP(SMALL($R$5:$R$17,1),$R$5:$AI$17,18,FALSE)</f>
        <v>Solar PV</v>
      </c>
      <c r="S20" s="45" t="str">
        <f>VLOOKUP(SMALL($S$5:$S$17,1),$S$5:$AI$17,17,FALSE)</f>
        <v>Solar PV</v>
      </c>
      <c r="T20" s="45" t="str">
        <f>VLOOKUP(SMALL($T$5:$T$17,1),$T$5:$AI$17,16,FALSE)</f>
        <v>Solar PV</v>
      </c>
      <c r="U20" s="45" t="str">
        <f>VLOOKUP(SMALL($U$5:$U$17,1),$U$5:$AI$17,15,FALSE)</f>
        <v>Solar PV</v>
      </c>
      <c r="V20" s="45" t="str">
        <f>VLOOKUP(SMALL($V$5:$V$17,1),$V$5:$AI$17,14,FALSE)</f>
        <v>Solar PV</v>
      </c>
      <c r="W20" s="45" t="str">
        <f>VLOOKUP(SMALL($W$5:$W$17,1),$W$5:$AI$17,13,FALSE)</f>
        <v>Solar PV</v>
      </c>
      <c r="X20" s="45" t="str">
        <f>VLOOKUP(SMALL($X$5:$X$17,1),$X$5:$AI$17,12,FALSE)</f>
        <v>Solar PV</v>
      </c>
      <c r="Y20" s="45" t="str">
        <f>VLOOKUP(SMALL($Y$5:$Y$17,1),$Y$5:$AI$17,11,FALSE)</f>
        <v>Solar PV</v>
      </c>
      <c r="Z20" s="45" t="str">
        <f>VLOOKUP(SMALL($Z$5:$Z$17,1),$Z$5:$AI$17,10,FALSE)</f>
        <v>Solar PV</v>
      </c>
      <c r="AA20" s="45" t="str">
        <f>VLOOKUP(SMALL($AA$5:$AA$17,1),$AA$5:$AI$17,9,FALSE)</f>
        <v>Solar PV</v>
      </c>
      <c r="AB20" s="45" t="str">
        <f>VLOOKUP(SMALL($AB$5:$AB$17,1),$AB$5:$AI$17,8,FALSE)</f>
        <v>Solar PV</v>
      </c>
      <c r="AC20" s="45" t="str">
        <f>VLOOKUP(SMALL($AC$5:$AC$17,1),$AC$5:$AI$17,7,FALSE)</f>
        <v>Solar PV</v>
      </c>
      <c r="AD20" s="45" t="str">
        <f>VLOOKUP(SMALL($AD$5:$AD$17,1),$AD$5:$AI$17,6,FALSE)</f>
        <v>Solar PV</v>
      </c>
      <c r="AE20" s="45" t="str">
        <f>VLOOKUP(SMALL($AE$5:$AE$17,1),$AE$5:$AI$17,5,FALSE)</f>
        <v>Solar PV</v>
      </c>
      <c r="AF20" s="45" t="str">
        <f>VLOOKUP(SMALL($AF$5:$AF$17,1),$AF$5:$AI$17,4,FALSE)</f>
        <v>Solar PV</v>
      </c>
      <c r="AG20" s="45" t="str">
        <f>VLOOKUP(SMALL($AG$5:$AG$17,1),$AG$5:$AI$17,3,FALSE)</f>
        <v>Solar PV</v>
      </c>
      <c r="AH20" s="45" t="str">
        <f>VLOOKUP(SMALL($AH$5:$AH$17,1),$AH$5:$AI$17,2,FALSE)</f>
        <v>Solar PV</v>
      </c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</row>
    <row r="21" spans="1:80">
      <c r="A21" s="1"/>
      <c r="B21" s="56">
        <v>2</v>
      </c>
      <c r="C21" s="45" t="str">
        <f>VLOOKUP(SMALL($C$5:$C$17,2),$C$5:$AI$17,33,FALSE)</f>
        <v>Solar PV</v>
      </c>
      <c r="D21" s="45" t="str">
        <f>VLOOKUP(SMALL($D$5:$D$17,2),$D$5:$AI$17,32,FALSE)</f>
        <v>Gas - CC</v>
      </c>
      <c r="E21" s="45" t="str">
        <f>VLOOKUP(SMALL($E$5:$E$17,2),$E$5:$AI$17,31,FALSE)</f>
        <v>Gas - CC</v>
      </c>
      <c r="F21" s="45" t="str">
        <f>VLOOKUP(SMALL($F$5:$F$17,2),$F$5:$AI$17,30,FALSE)</f>
        <v>Gas - CC</v>
      </c>
      <c r="G21" s="45" t="str">
        <f>VLOOKUP(SMALL($G$5:$G$17,2),$G$5:$AI$17,29,FALSE)</f>
        <v>Gas - CC</v>
      </c>
      <c r="H21" s="45" t="str">
        <f>VLOOKUP(SMALL($H$5:$H$17,2),$H$5:$AI$17,28,FALSE)</f>
        <v>Gas - CC</v>
      </c>
      <c r="I21" s="45" t="str">
        <f>VLOOKUP(SMALL($I$5:$I$17,2),$I$5:$AI$17,27,FALSE)</f>
        <v>Gas - CC</v>
      </c>
      <c r="J21" s="45" t="str">
        <f>VLOOKUP(SMALL($J$5:$J$17,2),$J$5:$AI$17,26,FALSE)</f>
        <v>Gas - CC</v>
      </c>
      <c r="K21" s="45" t="str">
        <f>VLOOKUP(SMALL($K$5:$K$17,2),$K$5:$AI$17,25,FALSE)</f>
        <v>Gas - CC</v>
      </c>
      <c r="L21" s="45" t="str">
        <f>VLOOKUP(SMALL($L$5:$L$17,2),$L$5:$AI$17,24,FALSE)</f>
        <v>Gas - CC</v>
      </c>
      <c r="M21" s="45" t="str">
        <f>VLOOKUP(SMALL($M$5:$M$17,2),$M$5:$AI$17,23,FALSE)</f>
        <v>Gas - CC</v>
      </c>
      <c r="N21" s="45" t="str">
        <f>VLOOKUP(SMALL($N$5:$N$17,2),$N$5:$AI$17,22,FALSE)</f>
        <v>Gas - CC</v>
      </c>
      <c r="O21" s="45" t="str">
        <f>VLOOKUP(SMALL($O$5:$O$17,2),$O$5:$AI$17,21,FALSE)</f>
        <v>Gas - CC</v>
      </c>
      <c r="P21" s="45" t="str">
        <f>VLOOKUP(SMALL($P$5:$P$17,2),$P$5:$AI$17,20,FALSE)</f>
        <v>Gas - CC</v>
      </c>
      <c r="Q21" s="45" t="str">
        <f>VLOOKUP(SMALL($Q$5:$Q$17,2),$Q$5:$AI$17,19,FALSE)</f>
        <v>Gas - CC</v>
      </c>
      <c r="R21" s="45" t="str">
        <f>VLOOKUP(SMALL($R$5:$R$17,2),$R$5:$AI$17,18,FALSE)</f>
        <v>Gas - CC</v>
      </c>
      <c r="S21" s="45" t="str">
        <f>VLOOKUP(SMALL($S$5:$S$17,2),$S$5:$AI$17,17,FALSE)</f>
        <v>Gas - CC</v>
      </c>
      <c r="T21" s="45" t="str">
        <f>VLOOKUP(SMALL($T$5:$T$17,2),$T$5:$AI$17,16,FALSE)</f>
        <v>Gas - CC</v>
      </c>
      <c r="U21" s="45" t="str">
        <f>VLOOKUP(SMALL($U$5:$U$17,2),$U$5:$AI$17,15,FALSE)</f>
        <v>Gas - CC</v>
      </c>
      <c r="V21" s="45" t="str">
        <f>VLOOKUP(SMALL($V$5:$V$17,2),$V$5:$AI$17,14,FALSE)</f>
        <v>Gas - CC</v>
      </c>
      <c r="W21" s="45" t="str">
        <f>VLOOKUP(SMALL($W$5:$W$17,2),$W$5:$AI$17,13,FALSE)</f>
        <v>Gas - CC</v>
      </c>
      <c r="X21" s="45" t="str">
        <f>VLOOKUP(SMALL($X$5:$X$17,2),$X$5:$AI$17,12,FALSE)</f>
        <v>Gas - CC</v>
      </c>
      <c r="Y21" s="45" t="str">
        <f>VLOOKUP(SMALL($Y$5:$Y$17,2),$Y$5:$AI$17,11,FALSE)</f>
        <v>Gas - CC</v>
      </c>
      <c r="Z21" s="45" t="str">
        <f>VLOOKUP(SMALL($Z$5:$Z$17,2),$Z$5:$AI$17,10,FALSE)</f>
        <v>Gas - CC</v>
      </c>
      <c r="AA21" s="45" t="str">
        <f>VLOOKUP(SMALL($AA$5:$AA$17,2),$AA$5:$AI$17,9,FALSE)</f>
        <v>Gas - CC</v>
      </c>
      <c r="AB21" s="45" t="str">
        <f>VLOOKUP(SMALL($AB$5:$AB$17,2),$AB$5:$AI$17,8,FALSE)</f>
        <v>Gas - CC</v>
      </c>
      <c r="AC21" s="45" t="str">
        <f>VLOOKUP(SMALL($AC$5:$AC$17,2),$AC$5:$AI$17,7,FALSE)</f>
        <v>Gas - CC</v>
      </c>
      <c r="AD21" s="45" t="str">
        <f>VLOOKUP(SMALL($AD$5:$AD$17,2),$AD$5:$AI$17,6,FALSE)</f>
        <v>Gas - CC</v>
      </c>
      <c r="AE21" s="45" t="str">
        <f>VLOOKUP(SMALL($AE$5:$AE$17,2),$AE$5:$AI$17,5,FALSE)</f>
        <v>Gas - CC</v>
      </c>
      <c r="AF21" s="45" t="str">
        <f>VLOOKUP(SMALL($AF$5:$AF$17,2),$AF$5:$AI$17,4,FALSE)</f>
        <v>Gas - CC</v>
      </c>
      <c r="AG21" s="45" t="str">
        <f>VLOOKUP(SMALL($AG$5:$AG$17,2),$AG$5:$AI$17,3,FALSE)</f>
        <v>Gas - CC</v>
      </c>
      <c r="AH21" s="45" t="str">
        <f>VLOOKUP(SMALL($AH$5:$AH$17,2),$AH$5:$AI$17,2,FALSE)</f>
        <v>Gas - CC</v>
      </c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</row>
    <row r="22" spans="1:80">
      <c r="A22" s="1"/>
      <c r="B22" s="56">
        <v>3</v>
      </c>
      <c r="C22" s="45" t="str">
        <f>VLOOKUP(SMALL($C$5:$C$17,3),$C$5:$AI$17,33,FALSE)</f>
        <v>Gas CCS</v>
      </c>
      <c r="D22" s="45" t="str">
        <f>VLOOKUP(SMALL($D$5:$D$17,3),$D$5:$AI$17,32,FALSE)</f>
        <v>Gas CCS</v>
      </c>
      <c r="E22" s="45" t="str">
        <f>VLOOKUP(SMALL($E$5:$E$17,3),$E$5:$AI$17,31,FALSE)</f>
        <v>Gas CCS</v>
      </c>
      <c r="F22" s="45" t="str">
        <f>VLOOKUP(SMALL($F$5:$F$17,3),$F$5:$AI$17,30,FALSE)</f>
        <v>Gas CCS</v>
      </c>
      <c r="G22" s="45" t="str">
        <f>VLOOKUP(SMALL($G$5:$G$17,3),$G$5:$AI$17,29,FALSE)</f>
        <v>Gas CCS</v>
      </c>
      <c r="H22" s="45" t="str">
        <f>VLOOKUP(SMALL($H$5:$H$17,3),$H$5:$AI$17,28,FALSE)</f>
        <v>Gas CCS</v>
      </c>
      <c r="I22" s="45" t="str">
        <f>VLOOKUP(SMALL($I$5:$I$17,3),$I$5:$AI$17,27,FALSE)</f>
        <v>Gas CCS</v>
      </c>
      <c r="J22" s="45" t="str">
        <f>VLOOKUP(SMALL($J$5:$J$17,3),$J$5:$AI$17,26,FALSE)</f>
        <v>Gas CCS</v>
      </c>
      <c r="K22" s="45" t="str">
        <f>VLOOKUP(SMALL($K$5:$K$17,3),$K$5:$AI$17,25,FALSE)</f>
        <v>Gas CCS</v>
      </c>
      <c r="L22" s="45" t="str">
        <f>VLOOKUP(SMALL($L$5:$L$17,3),$L$5:$AI$17,24,FALSE)</f>
        <v>Gas CCS</v>
      </c>
      <c r="M22" s="45" t="str">
        <f>VLOOKUP(SMALL($M$5:$M$17,3),$M$5:$AI$17,23,FALSE)</f>
        <v>Nuclear</v>
      </c>
      <c r="N22" s="45" t="str">
        <f>VLOOKUP(SMALL($N$5:$N$17,3),$N$5:$AI$17,22,FALSE)</f>
        <v>Nuclear</v>
      </c>
      <c r="O22" s="45" t="str">
        <f>VLOOKUP(SMALL($O$5:$O$17,3),$O$5:$AI$17,21,FALSE)</f>
        <v>Nuclear</v>
      </c>
      <c r="P22" s="45" t="str">
        <f>VLOOKUP(SMALL($P$5:$P$17,3),$P$5:$AI$17,20,FALSE)</f>
        <v>Nuclear</v>
      </c>
      <c r="Q22" s="45" t="str">
        <f>VLOOKUP(SMALL($Q$5:$Q$17,3),$Q$5:$AI$17,19,FALSE)</f>
        <v>Nuclear</v>
      </c>
      <c r="R22" s="45" t="str">
        <f>VLOOKUP(SMALL($R$5:$R$17,3),$R$5:$AI$17,18,FALSE)</f>
        <v>Gas CCS</v>
      </c>
      <c r="S22" s="45" t="str">
        <f>VLOOKUP(SMALL($S$5:$S$17,3),$S$5:$AI$17,17,FALSE)</f>
        <v>Gas CCS</v>
      </c>
      <c r="T22" s="45" t="str">
        <f>VLOOKUP(SMALL($T$5:$T$17,3),$T$5:$AI$17,16,FALSE)</f>
        <v>Gas CCS</v>
      </c>
      <c r="U22" s="45" t="str">
        <f>VLOOKUP(SMALL($U$5:$U$17,3),$U$5:$AI$17,15,FALSE)</f>
        <v>Gas CCS</v>
      </c>
      <c r="V22" s="45" t="str">
        <f>VLOOKUP(SMALL($V$5:$V$17,3),$V$5:$AI$17,14,FALSE)</f>
        <v>Gas CCS</v>
      </c>
      <c r="W22" s="45" t="str">
        <f>VLOOKUP(SMALL($W$5:$W$17,3),$W$5:$AI$17,13,FALSE)</f>
        <v>Gas CCS</v>
      </c>
      <c r="X22" s="45" t="str">
        <f>VLOOKUP(SMALL($X$5:$X$17,3),$X$5:$AI$17,12,FALSE)</f>
        <v>Gas CCS</v>
      </c>
      <c r="Y22" s="45" t="str">
        <f>VLOOKUP(SMALL($Y$5:$Y$17,3),$Y$5:$AI$17,11,FALSE)</f>
        <v>Gas CCS</v>
      </c>
      <c r="Z22" s="45" t="str">
        <f>VLOOKUP(SMALL($Z$5:$Z$17,3),$Z$5:$AI$17,10,FALSE)</f>
        <v>Gas CCS</v>
      </c>
      <c r="AA22" s="45" t="str">
        <f>VLOOKUP(SMALL($AA$5:$AA$17,3),$AA$5:$AI$17,9,FALSE)</f>
        <v>Gas CCS</v>
      </c>
      <c r="AB22" s="45" t="str">
        <f>VLOOKUP(SMALL($AB$5:$AB$17,3),$AB$5:$AI$17,8,FALSE)</f>
        <v>Gas CCS</v>
      </c>
      <c r="AC22" s="45" t="str">
        <f>VLOOKUP(SMALL($AC$5:$AC$17,3),$AC$5:$AI$17,7,FALSE)</f>
        <v>Gas CCS</v>
      </c>
      <c r="AD22" s="45" t="str">
        <f>VLOOKUP(SMALL($AD$5:$AD$17,3),$AD$5:$AI$17,6,FALSE)</f>
        <v>Gas CCS</v>
      </c>
      <c r="AE22" s="45" t="str">
        <f>VLOOKUP(SMALL($AE$5:$AE$17,3),$AE$5:$AI$17,5,FALSE)</f>
        <v>Gas CCS</v>
      </c>
      <c r="AF22" s="45" t="str">
        <f>VLOOKUP(SMALL($AF$5:$AF$17,3),$AF$5:$AI$17,4,FALSE)</f>
        <v>Gas CCS</v>
      </c>
      <c r="AG22" s="45" t="str">
        <f>VLOOKUP(SMALL($AG$5:$AG$17,3),$AG$5:$AI$17,3,FALSE)</f>
        <v>Gas CCS</v>
      </c>
      <c r="AH22" s="45" t="str">
        <f>VLOOKUP(SMALL($AH$5:$AH$17,3),$AH$5:$AI$17,2,FALSE)</f>
        <v>Gas CCS</v>
      </c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</row>
    <row r="23" spans="1:80">
      <c r="A23" s="1"/>
      <c r="B23" s="56">
        <v>4</v>
      </c>
      <c r="C23" s="45" t="str">
        <f>VLOOKUP(SMALL($C$5:$C$17,4),$C$5:$AI$17,33,FALSE)</f>
        <v>Nuclear</v>
      </c>
      <c r="D23" s="45" t="str">
        <f>VLOOKUP(SMALL($D$5:$D$17,4),$D$5:$AI$17,32,FALSE)</f>
        <v>Nuclear</v>
      </c>
      <c r="E23" s="45" t="str">
        <f>VLOOKUP(SMALL($E$5:$E$17,4),$E$5:$AI$17,31,FALSE)</f>
        <v>Nuclear</v>
      </c>
      <c r="F23" s="45" t="str">
        <f>VLOOKUP(SMALL($F$5:$F$17,4),$F$5:$AI$17,30,FALSE)</f>
        <v>Nuclear</v>
      </c>
      <c r="G23" s="45" t="str">
        <f>VLOOKUP(SMALL($G$5:$G$17,4),$G$5:$AI$17,29,FALSE)</f>
        <v>Nuclear</v>
      </c>
      <c r="H23" s="45" t="str">
        <f>VLOOKUP(SMALL($H$5:$H$17,4),$H$5:$AI$17,28,FALSE)</f>
        <v>Nuclear</v>
      </c>
      <c r="I23" s="45" t="str">
        <f>VLOOKUP(SMALL($I$5:$I$17,4),$I$5:$AI$17,27,FALSE)</f>
        <v>Nuclear</v>
      </c>
      <c r="J23" s="45" t="str">
        <f>VLOOKUP(SMALL($J$5:$J$17,4),$J$5:$AI$17,26,FALSE)</f>
        <v>Nuclear</v>
      </c>
      <c r="K23" s="45" t="str">
        <f>VLOOKUP(SMALL($K$5:$K$17,4),$K$5:$AI$17,25,FALSE)</f>
        <v>Nuclear</v>
      </c>
      <c r="L23" s="45" t="str">
        <f>VLOOKUP(SMALL($L$5:$L$17,4),$L$5:$AI$17,24,FALSE)</f>
        <v>Nuclear</v>
      </c>
      <c r="M23" s="45" t="str">
        <f>VLOOKUP(SMALL($M$5:$M$17,4),$M$5:$AI$17,23,FALSE)</f>
        <v>Wind On</v>
      </c>
      <c r="N23" s="45" t="str">
        <f>VLOOKUP(SMALL($N$5:$N$17,4),$N$5:$AI$17,22,FALSE)</f>
        <v>Wind On</v>
      </c>
      <c r="O23" s="45" t="str">
        <f>VLOOKUP(SMALL($O$5:$O$17,4),$O$5:$AI$17,21,FALSE)</f>
        <v>Wind On</v>
      </c>
      <c r="P23" s="45" t="str">
        <f>VLOOKUP(SMALL($P$5:$P$17,4),$P$5:$AI$17,20,FALSE)</f>
        <v>Wind On</v>
      </c>
      <c r="Q23" s="45" t="str">
        <f>VLOOKUP(SMALL($Q$5:$Q$17,4),$Q$5:$AI$17,19,FALSE)</f>
        <v>Wind On</v>
      </c>
      <c r="R23" s="45" t="str">
        <f>VLOOKUP(SMALL($R$5:$R$17,4),$R$5:$AI$17,18,FALSE)</f>
        <v>Nuclear</v>
      </c>
      <c r="S23" s="45" t="str">
        <f>VLOOKUP(SMALL($S$5:$S$17,4),$S$5:$AI$17,17,FALSE)</f>
        <v>Nuclear</v>
      </c>
      <c r="T23" s="45" t="str">
        <f>VLOOKUP(SMALL($T$5:$T$17,4),$T$5:$AI$17,16,FALSE)</f>
        <v>Nuclear</v>
      </c>
      <c r="U23" s="45" t="str">
        <f>VLOOKUP(SMALL($U$5:$U$17,4),$U$5:$AI$17,15,FALSE)</f>
        <v>Nuclear</v>
      </c>
      <c r="V23" s="45" t="str">
        <f>VLOOKUP(SMALL($V$5:$V$17,4),$V$5:$AI$17,14,FALSE)</f>
        <v>Nuclear</v>
      </c>
      <c r="W23" s="45" t="str">
        <f>VLOOKUP(SMALL($W$5:$W$17,4),$W$5:$AI$17,13,FALSE)</f>
        <v>Nuclear</v>
      </c>
      <c r="X23" s="45" t="str">
        <f>VLOOKUP(SMALL($X$5:$X$17,4),$X$5:$AI$17,12,FALSE)</f>
        <v>Nuclear</v>
      </c>
      <c r="Y23" s="45" t="str">
        <f>VLOOKUP(SMALL($Y$5:$Y$17,4),$Y$5:$AI$17,11,FALSE)</f>
        <v>Nuclear</v>
      </c>
      <c r="Z23" s="45" t="str">
        <f>VLOOKUP(SMALL($Z$5:$Z$17,4),$Z$5:$AI$17,10,FALSE)</f>
        <v>Nuclear</v>
      </c>
      <c r="AA23" s="45" t="str">
        <f>VLOOKUP(SMALL($AA$5:$AA$17,4),$AA$5:$AI$17,9,FALSE)</f>
        <v>Nuclear</v>
      </c>
      <c r="AB23" s="45" t="str">
        <f>VLOOKUP(SMALL($AB$5:$AB$17,4),$AB$5:$AI$17,8,FALSE)</f>
        <v>Nuclear</v>
      </c>
      <c r="AC23" s="45" t="str">
        <f>VLOOKUP(SMALL($AC$5:$AC$17,4),$AC$5:$AI$17,7,FALSE)</f>
        <v>Nuclear</v>
      </c>
      <c r="AD23" s="45" t="str">
        <f>VLOOKUP(SMALL($AD$5:$AD$17,4),$AD$5:$AI$17,6,FALSE)</f>
        <v>Nuclear</v>
      </c>
      <c r="AE23" s="45" t="str">
        <f>VLOOKUP(SMALL($AE$5:$AE$17,4),$AE$5:$AI$17,5,FALSE)</f>
        <v>Nuclear</v>
      </c>
      <c r="AF23" s="45" t="str">
        <f>VLOOKUP(SMALL($AF$5:$AF$17,4),$AF$5:$AI$17,4,FALSE)</f>
        <v>Nuclear</v>
      </c>
      <c r="AG23" s="45" t="str">
        <f>VLOOKUP(SMALL($AG$5:$AG$17,4),$AG$5:$AI$17,3,FALSE)</f>
        <v>Nuclear</v>
      </c>
      <c r="AH23" s="45" t="str">
        <f>VLOOKUP(SMALL($AH$5:$AH$17,4),$AH$5:$AI$17,2,FALSE)</f>
        <v>Nuclear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</row>
    <row r="24" spans="1:80">
      <c r="A24" s="1"/>
      <c r="B24" s="56">
        <v>5</v>
      </c>
      <c r="C24" s="45" t="str">
        <f>VLOOKUP(SMALL($C$5:$C$17,5),$C$5:$AI$17,33,FALSE)</f>
        <v>Wind On</v>
      </c>
      <c r="D24" s="45" t="str">
        <f>VLOOKUP(SMALL($D$5:$D$17,5),$D$5:$AI$17,32,FALSE)</f>
        <v>Wind On</v>
      </c>
      <c r="E24" s="45" t="str">
        <f>VLOOKUP(SMALL($E$5:$E$17,5),$E$5:$AI$17,31,FALSE)</f>
        <v>Wind On</v>
      </c>
      <c r="F24" s="45" t="str">
        <f>VLOOKUP(SMALL($F$5:$F$17,5),$F$5:$AI$17,30,FALSE)</f>
        <v>Wind On</v>
      </c>
      <c r="G24" s="45" t="str">
        <f>VLOOKUP(SMALL($G$5:$G$17,5),$G$5:$AI$17,29,FALSE)</f>
        <v>Wind On</v>
      </c>
      <c r="H24" s="45" t="str">
        <f>VLOOKUP(SMALL($H$5:$H$17,5),$H$5:$AI$17,28,FALSE)</f>
        <v>Wind On</v>
      </c>
      <c r="I24" s="45" t="str">
        <f>VLOOKUP(SMALL($I$5:$I$17,5),$I$5:$AI$17,27,FALSE)</f>
        <v>Wind On</v>
      </c>
      <c r="J24" s="45" t="str">
        <f>VLOOKUP(SMALL($J$5:$J$17,5),$J$5:$AI$17,26,FALSE)</f>
        <v>Wind On</v>
      </c>
      <c r="K24" s="45" t="str">
        <f>VLOOKUP(SMALL($K$5:$K$17,5),$K$5:$AI$17,25,FALSE)</f>
        <v>Wind On</v>
      </c>
      <c r="L24" s="45" t="str">
        <f>VLOOKUP(SMALL($L$5:$L$17,5),$L$5:$AI$17,24,FALSE)</f>
        <v>Wind On</v>
      </c>
      <c r="M24" s="45" t="str">
        <f>VLOOKUP(SMALL($M$5:$M$17,5),$M$5:$AI$17,23,FALSE)</f>
        <v>Gas CCS</v>
      </c>
      <c r="N24" s="45" t="str">
        <f>VLOOKUP(SMALL($N$5:$N$17,5),$N$5:$AI$17,22,FALSE)</f>
        <v>Gas CCS</v>
      </c>
      <c r="O24" s="45" t="str">
        <f>VLOOKUP(SMALL($O$5:$O$17,5),$O$5:$AI$17,21,FALSE)</f>
        <v>Gas CCS</v>
      </c>
      <c r="P24" s="45" t="str">
        <f>VLOOKUP(SMALL($P$5:$P$17,5),$P$5:$AI$17,20,FALSE)</f>
        <v>Gas CCS</v>
      </c>
      <c r="Q24" s="45" t="str">
        <f>VLOOKUP(SMALL($Q$5:$Q$17,5),$Q$5:$AI$17,19,FALSE)</f>
        <v>Gas CCS</v>
      </c>
      <c r="R24" s="45" t="str">
        <f>VLOOKUP(SMALL($R$5:$R$17,5),$R$5:$AI$17,18,FALSE)</f>
        <v>Wind On</v>
      </c>
      <c r="S24" s="45" t="str">
        <f>VLOOKUP(SMALL($S$5:$S$17,5),$S$5:$AI$17,17,FALSE)</f>
        <v>Wind On</v>
      </c>
      <c r="T24" s="45" t="str">
        <f>VLOOKUP(SMALL($T$5:$T$17,5),$T$5:$AI$17,16,FALSE)</f>
        <v>Wind On</v>
      </c>
      <c r="U24" s="45" t="str">
        <f>VLOOKUP(SMALL($U$5:$U$17,5),$U$5:$AI$17,15,FALSE)</f>
        <v>Wind On</v>
      </c>
      <c r="V24" s="45" t="str">
        <f>VLOOKUP(SMALL($V$5:$V$17,5),$V$5:$AI$17,14,FALSE)</f>
        <v>Wind On</v>
      </c>
      <c r="W24" s="45" t="str">
        <f>VLOOKUP(SMALL($W$5:$W$17,5),$W$5:$AI$17,13,FALSE)</f>
        <v>Wind On</v>
      </c>
      <c r="X24" s="45" t="str">
        <f>VLOOKUP(SMALL($X$5:$X$17,5),$X$5:$AI$17,12,FALSE)</f>
        <v>Wind On</v>
      </c>
      <c r="Y24" s="45" t="str">
        <f>VLOOKUP(SMALL($Y$5:$Y$17,5),$Y$5:$AI$17,11,FALSE)</f>
        <v>Wind On</v>
      </c>
      <c r="Z24" s="45" t="str">
        <f>VLOOKUP(SMALL($Z$5:$Z$17,5),$Z$5:$AI$17,10,FALSE)</f>
        <v>Wind On</v>
      </c>
      <c r="AA24" s="45" t="str">
        <f>VLOOKUP(SMALL($AA$5:$AA$17,5),$AA$5:$AI$17,9,FALSE)</f>
        <v>Wind On</v>
      </c>
      <c r="AB24" s="45" t="str">
        <f>VLOOKUP(SMALL($AB$5:$AB$17,5),$AB$5:$AI$17,8,FALSE)</f>
        <v>Wind On</v>
      </c>
      <c r="AC24" s="45" t="str">
        <f>VLOOKUP(SMALL($AC$5:$AC$17,5),$AC$5:$AI$17,7,FALSE)</f>
        <v>Wind On</v>
      </c>
      <c r="AD24" s="45" t="str">
        <f>VLOOKUP(SMALL($AD$5:$AD$17,5),$AD$5:$AI$17,6,FALSE)</f>
        <v>Wind On</v>
      </c>
      <c r="AE24" s="45" t="str">
        <f>VLOOKUP(SMALL($AE$5:$AE$17,5),$AE$5:$AI$17,5,FALSE)</f>
        <v>Wind On</v>
      </c>
      <c r="AF24" s="45" t="str">
        <f>VLOOKUP(SMALL($AF$5:$AF$17,5),$AF$5:$AI$17,4,FALSE)</f>
        <v>Wind On</v>
      </c>
      <c r="AG24" s="45" t="str">
        <f>VLOOKUP(SMALL($AG$5:$AG$17,5),$AG$5:$AI$17,3,FALSE)</f>
        <v>Wind On</v>
      </c>
      <c r="AH24" s="45" t="str">
        <f>VLOOKUP(SMALL($AH$5:$AH$17,5),$AH$5:$AI$17,2,FALSE)</f>
        <v>Wind On</v>
      </c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</row>
    <row r="25" spans="1:80">
      <c r="A25" s="1"/>
      <c r="B25" s="51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</row>
    <row r="26" spans="1:80">
      <c r="A26" s="1"/>
      <c r="B26" s="56" t="s">
        <v>116</v>
      </c>
      <c r="C26" s="56">
        <v>2019</v>
      </c>
      <c r="D26" s="56">
        <v>2020</v>
      </c>
      <c r="E26" s="56">
        <v>2021</v>
      </c>
      <c r="F26" s="56">
        <v>2022</v>
      </c>
      <c r="G26" s="56">
        <v>2023</v>
      </c>
      <c r="H26" s="56">
        <v>2024</v>
      </c>
      <c r="I26" s="56">
        <v>2025</v>
      </c>
      <c r="J26" s="56">
        <v>2026</v>
      </c>
      <c r="K26" s="56">
        <v>2027</v>
      </c>
      <c r="L26" s="56">
        <v>2028</v>
      </c>
      <c r="M26" s="56">
        <v>2029</v>
      </c>
      <c r="N26" s="56">
        <v>2030</v>
      </c>
      <c r="O26" s="56">
        <v>2031</v>
      </c>
      <c r="P26" s="56">
        <v>2032</v>
      </c>
      <c r="Q26" s="56">
        <v>2033</v>
      </c>
      <c r="R26" s="56">
        <v>2034</v>
      </c>
      <c r="S26" s="56">
        <v>2035</v>
      </c>
      <c r="T26" s="56">
        <v>2036</v>
      </c>
      <c r="U26" s="56">
        <v>2037</v>
      </c>
      <c r="V26" s="56">
        <v>2038</v>
      </c>
      <c r="W26" s="56">
        <v>2039</v>
      </c>
      <c r="X26" s="56">
        <v>2040</v>
      </c>
      <c r="Y26" s="56">
        <v>2041</v>
      </c>
      <c r="Z26" s="56">
        <v>2042</v>
      </c>
      <c r="AA26" s="56">
        <v>2043</v>
      </c>
      <c r="AB26" s="56">
        <v>2044</v>
      </c>
      <c r="AC26" s="56">
        <v>2045</v>
      </c>
      <c r="AD26" s="56">
        <v>2046</v>
      </c>
      <c r="AE26" s="56">
        <v>2047</v>
      </c>
      <c r="AF26" s="56">
        <v>2048</v>
      </c>
      <c r="AG26" s="56">
        <v>2049</v>
      </c>
      <c r="AH26" s="58">
        <v>2050</v>
      </c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</row>
    <row r="27" spans="1:80">
      <c r="A27" s="1"/>
      <c r="B27" s="56">
        <v>1</v>
      </c>
      <c r="C27" s="77">
        <f>SMALL($C$5:$C$17,1)</f>
        <v>0.46849785272623995</v>
      </c>
      <c r="D27" s="77">
        <f>(SMALL($D$5:$D$17,1))</f>
        <v>0.43631760937572267</v>
      </c>
      <c r="E27" s="77">
        <f>SMALL($E$5:$E$17,1)</f>
        <v>0.39001451951114363</v>
      </c>
      <c r="F27" s="77">
        <f>SMALL($F$5:$F$17,1)</f>
        <v>0.34340206859473227</v>
      </c>
      <c r="G27" s="77">
        <f t="shared" ref="G27:AH27" si="0">SMALL(G5:G17,1)</f>
        <v>0.2964771458715853</v>
      </c>
      <c r="H27" s="77">
        <f t="shared" si="0"/>
        <v>0.24923659873994822</v>
      </c>
      <c r="I27" s="77">
        <f t="shared" si="0"/>
        <v>0.20167723204516572</v>
      </c>
      <c r="J27" s="77">
        <f t="shared" si="0"/>
        <v>0.15379580735929552</v>
      </c>
      <c r="K27" s="77">
        <f t="shared" si="0"/>
        <v>0.10558904224603309</v>
      </c>
      <c r="L27" s="77">
        <f t="shared" si="0"/>
        <v>5.7053609510603454E-2</v>
      </c>
      <c r="M27" s="77">
        <f t="shared" si="0"/>
        <v>8.1861364342578208E-3</v>
      </c>
      <c r="N27" s="77">
        <f t="shared" si="0"/>
        <v>0.4660219469141893</v>
      </c>
      <c r="O27" s="77">
        <f t="shared" si="0"/>
        <v>0.46203908253339687</v>
      </c>
      <c r="P27" s="77">
        <f t="shared" si="0"/>
        <v>0.45805087184950005</v>
      </c>
      <c r="Q27" s="77">
        <f t="shared" si="0"/>
        <v>0.45405730409054518</v>
      </c>
      <c r="R27" s="77">
        <f t="shared" si="0"/>
        <v>0.45005836845562097</v>
      </c>
      <c r="S27" s="77">
        <f t="shared" si="0"/>
        <v>0.44605405411476046</v>
      </c>
      <c r="T27" s="77">
        <f t="shared" si="0"/>
        <v>0.44204435020884419</v>
      </c>
      <c r="U27" s="77">
        <f t="shared" si="0"/>
        <v>0.43802924584950159</v>
      </c>
      <c r="V27" s="77">
        <f t="shared" si="0"/>
        <v>0.43400873011901209</v>
      </c>
      <c r="W27" s="77">
        <f t="shared" si="0"/>
        <v>0.42998279207020695</v>
      </c>
      <c r="X27" s="77">
        <f t="shared" si="0"/>
        <v>0.42595142072636849</v>
      </c>
      <c r="Y27" s="77">
        <f t="shared" si="0"/>
        <v>0.42191460508113271</v>
      </c>
      <c r="Z27" s="77">
        <f t="shared" si="0"/>
        <v>0.41787233409838626</v>
      </c>
      <c r="AA27" s="77">
        <f t="shared" si="0"/>
        <v>0.41382459671216826</v>
      </c>
      <c r="AB27" s="77">
        <f t="shared" si="0"/>
        <v>0.40977138182656814</v>
      </c>
      <c r="AC27" s="77">
        <f t="shared" si="0"/>
        <v>0.40571267831562385</v>
      </c>
      <c r="AD27" s="77">
        <f t="shared" si="0"/>
        <v>0.40164847502322193</v>
      </c>
      <c r="AE27" s="77">
        <f t="shared" si="0"/>
        <v>0.39757876076299276</v>
      </c>
      <c r="AF27" s="77">
        <f t="shared" si="0"/>
        <v>0.39350352431821001</v>
      </c>
      <c r="AG27" s="77">
        <f t="shared" si="0"/>
        <v>0.38942275444168634</v>
      </c>
      <c r="AH27" s="77">
        <f t="shared" si="0"/>
        <v>0.3853364398556709</v>
      </c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</row>
    <row r="28" spans="1:80">
      <c r="A28" s="1"/>
      <c r="B28" s="56">
        <v>2</v>
      </c>
      <c r="C28" s="77">
        <f>SMALL($C$5:$C$17,2)</f>
        <v>0.48231440778855222</v>
      </c>
      <c r="D28" s="77">
        <f>(SMALL($D$5:$D$17,2))</f>
        <v>0.47922731440304306</v>
      </c>
      <c r="E28" s="77">
        <f>SMALL($E$5:$E$17,2)</f>
        <v>0.49002822327849588</v>
      </c>
      <c r="F28" s="77">
        <f>SMALL($F$5:$F$17,2)</f>
        <v>0.50090129538409689</v>
      </c>
      <c r="G28" s="77">
        <f t="shared" ref="G28:AH28" si="1">SMALL(G5:G17,2)</f>
        <v>0.5118472563513391</v>
      </c>
      <c r="H28" s="77">
        <f t="shared" si="1"/>
        <v>0.52286684157313834</v>
      </c>
      <c r="I28" s="77">
        <f t="shared" si="1"/>
        <v>0.53396079636853</v>
      </c>
      <c r="J28" s="77">
        <f t="shared" si="1"/>
        <v>0.54512987615071073</v>
      </c>
      <c r="K28" s="77">
        <f t="shared" si="1"/>
        <v>0.55637484659850411</v>
      </c>
      <c r="L28" s="77">
        <f t="shared" si="1"/>
        <v>0.56769648383133786</v>
      </c>
      <c r="M28" s="77">
        <f t="shared" si="1"/>
        <v>0.57909557458780669</v>
      </c>
      <c r="N28" s="77">
        <f t="shared" si="1"/>
        <v>0.59057291640791676</v>
      </c>
      <c r="O28" s="77">
        <f t="shared" si="1"/>
        <v>0.58458358634116092</v>
      </c>
      <c r="P28" s="77">
        <f t="shared" si="1"/>
        <v>0.57858621663989396</v>
      </c>
      <c r="Q28" s="77">
        <f t="shared" si="1"/>
        <v>0.57258079110552629</v>
      </c>
      <c r="R28" s="77">
        <f t="shared" si="1"/>
        <v>0.56656729349592205</v>
      </c>
      <c r="S28" s="77">
        <f t="shared" si="1"/>
        <v>0.56054570752525323</v>
      </c>
      <c r="T28" s="77">
        <f t="shared" si="1"/>
        <v>0.55451601686385188</v>
      </c>
      <c r="U28" s="77">
        <f t="shared" si="1"/>
        <v>0.54847820513806367</v>
      </c>
      <c r="V28" s="77">
        <f t="shared" si="1"/>
        <v>0.54243225593009847</v>
      </c>
      <c r="W28" s="77">
        <f t="shared" si="1"/>
        <v>0.53637815277788214</v>
      </c>
      <c r="X28" s="77">
        <f t="shared" si="1"/>
        <v>0.53031587917490686</v>
      </c>
      <c r="Y28" s="77">
        <f t="shared" si="1"/>
        <v>0.524245418570082</v>
      </c>
      <c r="Z28" s="77">
        <f t="shared" si="1"/>
        <v>0.51816675436758142</v>
      </c>
      <c r="AA28" s="77">
        <f t="shared" si="1"/>
        <v>0.51207986992669496</v>
      </c>
      <c r="AB28" s="77">
        <f t="shared" si="1"/>
        <v>0.50598474856167441</v>
      </c>
      <c r="AC28" s="77">
        <f t="shared" si="1"/>
        <v>0.49988137354158185</v>
      </c>
      <c r="AD28" s="77">
        <f t="shared" si="1"/>
        <v>0.49376972809013719</v>
      </c>
      <c r="AE28" s="77">
        <f t="shared" si="1"/>
        <v>0.48764979538556319</v>
      </c>
      <c r="AF28" s="77">
        <f t="shared" si="1"/>
        <v>0.48152155856043166</v>
      </c>
      <c r="AG28" s="77">
        <f t="shared" si="1"/>
        <v>0.4753850007015093</v>
      </c>
      <c r="AH28" s="77">
        <f t="shared" si="1"/>
        <v>0.46924010484960094</v>
      </c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</row>
    <row r="29" spans="1:80">
      <c r="A29" s="1"/>
      <c r="B29" s="56">
        <v>3</v>
      </c>
      <c r="C29" s="77">
        <f>SMALL($C$5:$C$17,3)</f>
        <v>0.57902329451579437</v>
      </c>
      <c r="D29" s="77">
        <f>(SMALL($D$5:$D$17,3))</f>
        <v>0.59093714261523944</v>
      </c>
      <c r="E29" s="77">
        <f>SMALL($E$5:$E$17,3)</f>
        <v>0.60293032471087959</v>
      </c>
      <c r="F29" s="77">
        <f>SMALL($F$5:$F$17,3)</f>
        <v>0.61500363587433771</v>
      </c>
      <c r="G29" s="77">
        <f t="shared" ref="G29:AH29" si="2">SMALL(G5:G17,3)</f>
        <v>0.62715788183693977</v>
      </c>
      <c r="H29" s="77">
        <f t="shared" si="2"/>
        <v>0.63939387916896295</v>
      </c>
      <c r="I29" s="77">
        <f t="shared" si="2"/>
        <v>0.65171245546251177</v>
      </c>
      <c r="J29" s="77">
        <f t="shared" si="2"/>
        <v>0.66411444951811027</v>
      </c>
      <c r="K29" s="77">
        <f t="shared" si="2"/>
        <v>0.67660071153509482</v>
      </c>
      <c r="L29" s="77">
        <f t="shared" si="2"/>
        <v>0.68917210330590661</v>
      </c>
      <c r="M29" s="77">
        <f t="shared" si="2"/>
        <v>0.68910745128830775</v>
      </c>
      <c r="N29" s="77">
        <f t="shared" si="2"/>
        <v>0.68871260583329674</v>
      </c>
      <c r="O29" s="77">
        <f t="shared" si="2"/>
        <v>0.68538526619801166</v>
      </c>
      <c r="P29" s="77">
        <f t="shared" si="2"/>
        <v>0.68205346018764568</v>
      </c>
      <c r="Q29" s="77">
        <f t="shared" si="2"/>
        <v>0.67871717880316118</v>
      </c>
      <c r="R29" s="77">
        <f t="shared" si="2"/>
        <v>0.67520339331909196</v>
      </c>
      <c r="S29" s="77">
        <f t="shared" si="2"/>
        <v>0.66532769945988712</v>
      </c>
      <c r="T29" s="77">
        <f t="shared" si="2"/>
        <v>0.65543871351369964</v>
      </c>
      <c r="U29" s="77">
        <f t="shared" si="2"/>
        <v>0.64553640862693962</v>
      </c>
      <c r="V29" s="77">
        <f t="shared" si="2"/>
        <v>0.6356207578736327</v>
      </c>
      <c r="W29" s="77">
        <f t="shared" si="2"/>
        <v>0.62569173425517677</v>
      </c>
      <c r="X29" s="77">
        <f t="shared" si="2"/>
        <v>0.61574931070009653</v>
      </c>
      <c r="Y29" s="77">
        <f t="shared" si="2"/>
        <v>0.60579346006379731</v>
      </c>
      <c r="Z29" s="77">
        <f t="shared" si="2"/>
        <v>0.5958241551283181</v>
      </c>
      <c r="AA29" s="77">
        <f t="shared" si="2"/>
        <v>0.58584136860208458</v>
      </c>
      <c r="AB29" s="77">
        <f t="shared" si="2"/>
        <v>0.57584507311965805</v>
      </c>
      <c r="AC29" s="77">
        <f t="shared" si="2"/>
        <v>0.56583524124148676</v>
      </c>
      <c r="AD29" s="77">
        <f t="shared" si="2"/>
        <v>0.55581184545365503</v>
      </c>
      <c r="AE29" s="77">
        <f t="shared" si="2"/>
        <v>0.54577485816763061</v>
      </c>
      <c r="AF29" s="77">
        <f t="shared" si="2"/>
        <v>0.53572425172001059</v>
      </c>
      <c r="AG29" s="77">
        <f t="shared" si="2"/>
        <v>0.52565999837226962</v>
      </c>
      <c r="AH29" s="77">
        <f t="shared" si="2"/>
        <v>0.51558207031050318</v>
      </c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</row>
    <row r="30" spans="1:80">
      <c r="A30" s="1"/>
      <c r="B30" s="56">
        <v>4</v>
      </c>
      <c r="C30" s="77">
        <f>SMALL($C$5:$C$17,4)</f>
        <v>0.69291225282650959</v>
      </c>
      <c r="D30" s="77">
        <f>(SMALL($D$5:$D$17,4))</f>
        <v>0.69254313607071372</v>
      </c>
      <c r="E30" s="77">
        <f>SMALL($E$5:$E$17,4)</f>
        <v>0.69217156137630209</v>
      </c>
      <c r="F30" s="77">
        <f>SMALL($F$5:$F$17,4)</f>
        <v>0.69179750411023888</v>
      </c>
      <c r="G30" s="77">
        <f t="shared" ref="G30:AH30" si="3">SMALL(G5:G17,4)</f>
        <v>0.6914209393092261</v>
      </c>
      <c r="H30" s="77">
        <f t="shared" si="3"/>
        <v>0.69104184167415239</v>
      </c>
      <c r="I30" s="77">
        <f t="shared" si="3"/>
        <v>0.69066018556442632</v>
      </c>
      <c r="J30" s="77">
        <f t="shared" si="3"/>
        <v>0.69027594499219558</v>
      </c>
      <c r="K30" s="77">
        <f t="shared" si="3"/>
        <v>0.68988909361644679</v>
      </c>
      <c r="L30" s="77">
        <f t="shared" si="3"/>
        <v>0.68949960473698912</v>
      </c>
      <c r="M30" s="77">
        <f t="shared" si="3"/>
        <v>0.69398929903969409</v>
      </c>
      <c r="N30" s="77">
        <f t="shared" si="3"/>
        <v>0.69034423041099613</v>
      </c>
      <c r="O30" s="77">
        <f t="shared" si="3"/>
        <v>0.68792406103393611</v>
      </c>
      <c r="P30" s="77">
        <f t="shared" si="3"/>
        <v>0.68552784699977665</v>
      </c>
      <c r="Q30" s="77">
        <f t="shared" si="3"/>
        <v>0.68315515759051115</v>
      </c>
      <c r="R30" s="77">
        <f t="shared" si="3"/>
        <v>0.67537641302132723</v>
      </c>
      <c r="S30" s="77">
        <f t="shared" si="3"/>
        <v>0.6720311537946414</v>
      </c>
      <c r="T30" s="77">
        <f t="shared" si="3"/>
        <v>0.66868139205124544</v>
      </c>
      <c r="U30" s="77">
        <f t="shared" si="3"/>
        <v>0.66532711869484584</v>
      </c>
      <c r="V30" s="77">
        <f t="shared" si="3"/>
        <v>0.66196832460462862</v>
      </c>
      <c r="W30" s="77">
        <f t="shared" si="3"/>
        <v>0.6586050006351778</v>
      </c>
      <c r="X30" s="77">
        <f t="shared" si="3"/>
        <v>0.65523713761639324</v>
      </c>
      <c r="Y30" s="77">
        <f t="shared" si="3"/>
        <v>0.6518647263534072</v>
      </c>
      <c r="Z30" s="77">
        <f t="shared" si="3"/>
        <v>0.64848775762649857</v>
      </c>
      <c r="AA30" s="77">
        <f t="shared" si="3"/>
        <v>0.64510622219101199</v>
      </c>
      <c r="AB30" s="77">
        <f t="shared" si="3"/>
        <v>0.64172011077727109</v>
      </c>
      <c r="AC30" s="77">
        <f t="shared" si="3"/>
        <v>0.63832941409049426</v>
      </c>
      <c r="AD30" s="77">
        <f t="shared" si="3"/>
        <v>0.63493412281071082</v>
      </c>
      <c r="AE30" s="77">
        <f t="shared" si="3"/>
        <v>0.63153422759267441</v>
      </c>
      <c r="AF30" s="77">
        <f t="shared" si="3"/>
        <v>0.62812971906577741</v>
      </c>
      <c r="AG30" s="77">
        <f t="shared" si="3"/>
        <v>0.62472058783396445</v>
      </c>
      <c r="AH30" s="77">
        <f t="shared" si="3"/>
        <v>0.62130682447564867</v>
      </c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</row>
    <row r="31" spans="1:80">
      <c r="A31" s="1"/>
      <c r="B31" s="56">
        <v>5</v>
      </c>
      <c r="C31" s="77">
        <f>SMALL($C$5:$C$17,5)</f>
        <v>0.73630128923849691</v>
      </c>
      <c r="D31" s="77">
        <f>(SMALL($D$5:$D$17,5))</f>
        <v>0.73153459927467313</v>
      </c>
      <c r="E31" s="77">
        <f>SMALL($E$5:$E$17,5)</f>
        <v>0.72689793987076179</v>
      </c>
      <c r="F31" s="77">
        <f>SMALL($F$5:$F$17,5)</f>
        <v>0.72238682591844783</v>
      </c>
      <c r="G31" s="77">
        <f t="shared" ref="G31:AH31" si="4">SMALL(G5:G17,5)</f>
        <v>0.71799698507656451</v>
      </c>
      <c r="H31" s="77">
        <f t="shared" si="4"/>
        <v>0.7137243454523251</v>
      </c>
      <c r="I31" s="77">
        <f t="shared" si="4"/>
        <v>0.70956502413157396</v>
      </c>
      <c r="J31" s="77">
        <f t="shared" si="4"/>
        <v>0.70551531649063304</v>
      </c>
      <c r="K31" s="77">
        <f t="shared" si="4"/>
        <v>0.70157168622837562</v>
      </c>
      <c r="L31" s="77">
        <f t="shared" si="4"/>
        <v>0.69773075606260071</v>
      </c>
      <c r="M31" s="77">
        <f t="shared" si="4"/>
        <v>0.70182949841436482</v>
      </c>
      <c r="N31" s="77">
        <f t="shared" si="4"/>
        <v>0.71457378243802905</v>
      </c>
      <c r="O31" s="77">
        <f t="shared" si="4"/>
        <v>0.7047509898300478</v>
      </c>
      <c r="P31" s="77">
        <f t="shared" si="4"/>
        <v>0.69491501183045068</v>
      </c>
      <c r="Q31" s="77">
        <f t="shared" si="4"/>
        <v>0.68506582187276288</v>
      </c>
      <c r="R31" s="77">
        <f t="shared" si="4"/>
        <v>0.68080557210940373</v>
      </c>
      <c r="S31" s="77">
        <f t="shared" si="4"/>
        <v>0.67847867959043318</v>
      </c>
      <c r="T31" s="77">
        <f t="shared" si="4"/>
        <v>0.67617407851778755</v>
      </c>
      <c r="U31" s="77">
        <f t="shared" si="4"/>
        <v>0.67389137655500309</v>
      </c>
      <c r="V31" s="77">
        <f t="shared" si="4"/>
        <v>0.67163019028336191</v>
      </c>
      <c r="W31" s="77">
        <f t="shared" si="4"/>
        <v>0.6693901449491817</v>
      </c>
      <c r="X31" s="77">
        <f t="shared" si="4"/>
        <v>0.66717087421965038</v>
      </c>
      <c r="Y31" s="77">
        <f t="shared" si="4"/>
        <v>0.66497201994686528</v>
      </c>
      <c r="Z31" s="77">
        <f t="shared" si="4"/>
        <v>0.66279323193975848</v>
      </c>
      <c r="AA31" s="77">
        <f t="shared" si="4"/>
        <v>0.66063416774360717</v>
      </c>
      <c r="AB31" s="77">
        <f t="shared" si="4"/>
        <v>0.65849449242682767</v>
      </c>
      <c r="AC31" s="77">
        <f t="shared" si="4"/>
        <v>0.656373878374782</v>
      </c>
      <c r="AD31" s="77">
        <f t="shared" si="4"/>
        <v>0.65427200509032579</v>
      </c>
      <c r="AE31" s="77">
        <f t="shared" si="4"/>
        <v>0.65218855900083972</v>
      </c>
      <c r="AF31" s="77">
        <f t="shared" si="4"/>
        <v>0.65012323327150556</v>
      </c>
      <c r="AG31" s="77">
        <f t="shared" si="4"/>
        <v>0.6480757276245861</v>
      </c>
      <c r="AH31" s="77">
        <f t="shared" si="4"/>
        <v>0.64604574816449145</v>
      </c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</row>
    <row r="32" spans="1:80">
      <c r="A32" s="1"/>
      <c r="B32" s="61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</row>
    <row r="33" spans="1:80">
      <c r="A33" s="1"/>
      <c r="B33" s="56" t="s">
        <v>117</v>
      </c>
      <c r="C33" s="56">
        <v>2019</v>
      </c>
      <c r="D33" s="56">
        <v>2020</v>
      </c>
      <c r="E33" s="56">
        <v>2021</v>
      </c>
      <c r="F33" s="56">
        <v>2022</v>
      </c>
      <c r="G33" s="56">
        <v>2023</v>
      </c>
      <c r="H33" s="56">
        <v>2024</v>
      </c>
      <c r="I33" s="56">
        <v>2025</v>
      </c>
      <c r="J33" s="56">
        <v>2026</v>
      </c>
      <c r="K33" s="56">
        <v>2027</v>
      </c>
      <c r="L33" s="56">
        <v>2028</v>
      </c>
      <c r="M33" s="56">
        <v>2029</v>
      </c>
      <c r="N33" s="56">
        <v>2030</v>
      </c>
      <c r="O33" s="56">
        <v>2031</v>
      </c>
      <c r="P33" s="56">
        <v>2032</v>
      </c>
      <c r="Q33" s="56">
        <v>2033</v>
      </c>
      <c r="R33" s="56">
        <v>2034</v>
      </c>
      <c r="S33" s="56">
        <v>2035</v>
      </c>
      <c r="T33" s="56">
        <v>2036</v>
      </c>
      <c r="U33" s="56">
        <v>2037</v>
      </c>
      <c r="V33" s="56">
        <v>2038</v>
      </c>
      <c r="W33" s="56">
        <v>2039</v>
      </c>
      <c r="X33" s="56">
        <v>2040</v>
      </c>
      <c r="Y33" s="56">
        <v>2041</v>
      </c>
      <c r="Z33" s="56">
        <v>2042</v>
      </c>
      <c r="AA33" s="56">
        <v>2043</v>
      </c>
      <c r="AB33" s="56">
        <v>2044</v>
      </c>
      <c r="AC33" s="56">
        <v>2045</v>
      </c>
      <c r="AD33" s="56">
        <v>2046</v>
      </c>
      <c r="AE33" s="56">
        <v>2047</v>
      </c>
      <c r="AF33" s="56">
        <v>2048</v>
      </c>
      <c r="AG33" s="56">
        <v>2049</v>
      </c>
      <c r="AH33" s="56">
        <v>2050</v>
      </c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</row>
    <row r="34" spans="1:80">
      <c r="A34" s="1"/>
      <c r="B34" s="56">
        <v>1</v>
      </c>
      <c r="C34" s="60">
        <f>10-(($C$27-C27)/($C$27-$C$31))*8</f>
        <v>10</v>
      </c>
      <c r="D34" s="60">
        <f>10-(($D$27-D27)/($D$27-$D$31))*8</f>
        <v>10</v>
      </c>
      <c r="E34" s="60">
        <f>10-(($E$27-E27)/($E$27-$E$31))*8</f>
        <v>10</v>
      </c>
      <c r="F34" s="60">
        <f>10-(($F$27-F27)/($F$27-$F$31))*8</f>
        <v>10</v>
      </c>
      <c r="G34" s="60">
        <f>10-(($G$27-G27)/($G$27-$G$31))*8</f>
        <v>10</v>
      </c>
      <c r="H34" s="60">
        <f>10-(($H$27-H27)/($H$27-$H$31))*8</f>
        <v>10</v>
      </c>
      <c r="I34" s="60">
        <f>10-(($I$27-I27)/($I$27-$I$31))*8</f>
        <v>10</v>
      </c>
      <c r="J34" s="60">
        <f>10-(($J$27-J27)/($J$27-$J$31))*8</f>
        <v>10</v>
      </c>
      <c r="K34" s="60">
        <f>10-(($K$27-K27)/($K$27-$K$31))*8</f>
        <v>10</v>
      </c>
      <c r="L34" s="60">
        <f>10-(($L$27-L27)/($L$27-$L$31))*8</f>
        <v>10</v>
      </c>
      <c r="M34" s="60">
        <f>10-(($M$27-M27)/($M$27-$M$31))*8</f>
        <v>10</v>
      </c>
      <c r="N34" s="60">
        <f>10-(($N$27-N27)/($N$27-$N$31))*8</f>
        <v>10</v>
      </c>
      <c r="O34" s="60">
        <f>10-(($O$27-O27)/($O$27-$O$31))*8</f>
        <v>10</v>
      </c>
      <c r="P34" s="60">
        <f>10-(($P$27-P27)/($P$27-$P$31))*8</f>
        <v>10</v>
      </c>
      <c r="Q34" s="60">
        <f>10-(($Q$27-Q27)/($Q$27-$Q$31))*8</f>
        <v>10</v>
      </c>
      <c r="R34" s="60">
        <f>10-(($R$27-R27)/($R$27-$R$31))*8</f>
        <v>10</v>
      </c>
      <c r="S34" s="60">
        <f>10-(($S$27-S27)/($S$27-$S$31))*8</f>
        <v>10</v>
      </c>
      <c r="T34" s="60">
        <f>10-(($T$27-T27)/($T$27-$T$31))*8</f>
        <v>10</v>
      </c>
      <c r="U34" s="60">
        <f>10-(($U$27-U27)/($U$27-$U$31))*8</f>
        <v>10</v>
      </c>
      <c r="V34" s="60">
        <f>10-(($V$27-V27)/($V$27-$V$31))*8</f>
        <v>10</v>
      </c>
      <c r="W34" s="60">
        <f>10-(($W$27-W27)/($W$27-$W$31))*8</f>
        <v>10</v>
      </c>
      <c r="X34" s="60">
        <f>10-(($X$27-X27)/($X$27-$X$31))*8</f>
        <v>10</v>
      </c>
      <c r="Y34" s="60">
        <f>10-(($Y$27-Y27)/($Y$27-$Y$31))*8</f>
        <v>10</v>
      </c>
      <c r="Z34" s="60">
        <f>10-(($Z$27-Z27)/($Z$27-$Z$31))*8</f>
        <v>10</v>
      </c>
      <c r="AA34" s="60">
        <f>10-(($AA$27-AA27)/($AA$27-$AA$31))*8</f>
        <v>10</v>
      </c>
      <c r="AB34" s="60">
        <f>10-(($AB$27-AB27)/($AB$27-$AB$31))*8</f>
        <v>10</v>
      </c>
      <c r="AC34" s="60">
        <f>10-(($AC$27-AC27)/($AC$27-$AC$31))*8</f>
        <v>10</v>
      </c>
      <c r="AD34" s="60">
        <f>10-(($AD$27-AD27)/($AD$27-$AD$31))*8</f>
        <v>10</v>
      </c>
      <c r="AE34" s="60">
        <f>10-(($AE$27-AE27)/($AE$27-$AE$31))*8</f>
        <v>10</v>
      </c>
      <c r="AF34" s="60">
        <f>10-(($AF$27-AF27)/($AF$27-$AF$31))*8</f>
        <v>10</v>
      </c>
      <c r="AG34" s="60">
        <f>10-(($AG$27-AG27)/($AG$27-$AG$31))*8</f>
        <v>10</v>
      </c>
      <c r="AH34" s="60">
        <f>10-(($AH$27-AH27)/($AH$27-$AH$31))*8</f>
        <v>10</v>
      </c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</row>
    <row r="35" spans="1:80">
      <c r="A35" s="1"/>
      <c r="B35" s="56">
        <v>2</v>
      </c>
      <c r="C35" s="60">
        <f>10-(($C$27-C28)/($C$27-$C$31))*8</f>
        <v>9.5872628001417031</v>
      </c>
      <c r="D35" s="60">
        <f>10-(($D$27-D28)/($D$27-$D$31))*8</f>
        <v>8.8372022886079034</v>
      </c>
      <c r="E35" s="60">
        <f>10-(($E$27-E28)/($E$27-$E$31))*8</f>
        <v>7.6249658434222951</v>
      </c>
      <c r="F35" s="60">
        <f>10-(($F$27-F28)/($F$27-$F$31))*8</f>
        <v>6.6753443510165393</v>
      </c>
      <c r="G35" s="60">
        <f>10-(($G$27-G28)/($G$27-$G$31))*8</f>
        <v>5.9125034610762919</v>
      </c>
      <c r="H35" s="60">
        <f>10-(($H$27-H28)/($H$27-$H$31))*8</f>
        <v>5.2871911946882122</v>
      </c>
      <c r="I35" s="60">
        <f>10-(($I$27-I28)/($I$27-$I$31))*8</f>
        <v>4.7660318755315618</v>
      </c>
      <c r="J35" s="60">
        <f>10-(($J$27-J28)/($J$27-$J$31))*8</f>
        <v>4.3256083960843572</v>
      </c>
      <c r="K35" s="60">
        <f>10-(($K$27-K28)/($K$27-$K$31))*8</f>
        <v>3.9490076242444854</v>
      </c>
      <c r="L35" s="60">
        <f>10-(($L$27-L28)/($L$27-$L$31))*8</f>
        <v>3.6237104498711412</v>
      </c>
      <c r="M35" s="60">
        <f>10-(($M$27-M28)/($M$27-$M$31))*8</f>
        <v>3.4155276968405905</v>
      </c>
      <c r="N35" s="60">
        <f>10-(($N$27-N28)/($N$27-$N$31))*8</f>
        <v>5.991147062544024</v>
      </c>
      <c r="O35" s="60">
        <f>10-(($O$27-O28)/($O$27-$O$31))*8</f>
        <v>5.9608243312764744</v>
      </c>
      <c r="P35" s="60">
        <f>10-(($P$27-P28)/($P$27-$P$31))*8</f>
        <v>5.9289626601954097</v>
      </c>
      <c r="Q35" s="60">
        <f>10-(($Q$27-Q28)/($Q$27-$Q$31))*8</f>
        <v>5.895441842478947</v>
      </c>
      <c r="R35" s="60">
        <f>10-(($R$27-R28)/($R$27-$R$31))*8</f>
        <v>5.9606383715015445</v>
      </c>
      <c r="S35" s="60">
        <f>10-(($S$27-S28)/($S$27-$S$31))*8</f>
        <v>6.0592246823699387</v>
      </c>
      <c r="T35" s="60">
        <f>10-(($T$27-T28)/($T$27-$T$31))*8</f>
        <v>6.1569453834893819</v>
      </c>
      <c r="U35" s="60">
        <f>10-(($U$27-U28)/($U$27-$U$31))*8</f>
        <v>6.253778969665321</v>
      </c>
      <c r="V35" s="60">
        <f>10-(($V$27-V28)/($V$27-$V$31))*8</f>
        <v>6.3497059319105027</v>
      </c>
      <c r="W35" s="60">
        <f>10-(($W$27-W28)/($W$27-$W$31))*8</f>
        <v>6.4447086715349062</v>
      </c>
      <c r="X35" s="60">
        <f>10-(($X$27-X28)/($X$27-$X$31))*8</f>
        <v>6.5387714154175391</v>
      </c>
      <c r="Y35" s="60">
        <f>10-(($Y$27-Y28)/($Y$27-$Y$31))*8</f>
        <v>6.6318801326681474</v>
      </c>
      <c r="Z35" s="60">
        <f>10-(($Z$27-Z28)/($Z$27-$Z$31))*8</f>
        <v>6.724022452860587</v>
      </c>
      <c r="AA35" s="60">
        <f>10-(($AA$27-AA28)/($AA$27-$AA$31))*8</f>
        <v>6.8151875859948454</v>
      </c>
      <c r="AB35" s="60">
        <f>10-(($AB$27-AB28)/($AB$27-$AB$31))*8</f>
        <v>6.9053662443217814</v>
      </c>
      <c r="AC35" s="60">
        <f>10-(($AC$27-AC28)/($AC$27-$AC$31))*8</f>
        <v>6.9945505661431957</v>
      </c>
      <c r="AD35" s="60">
        <f>10-(($AD$27-AD28)/($AD$27-$AD$31))*8</f>
        <v>7.0827340416802729</v>
      </c>
      <c r="AE35" s="60">
        <f>10-(($AE$27-AE28)/($AE$27-$AE$31))*8</f>
        <v>7.1699114410850928</v>
      </c>
      <c r="AF35" s="60">
        <f>10-(($AF$27-AF28)/($AF$27-$AF$31))*8</f>
        <v>7.2560787446535269</v>
      </c>
      <c r="AG35" s="60">
        <f>10-(($AG$27-AG28)/($AG$27-$AG$31))*8</f>
        <v>7.3412330752823172</v>
      </c>
      <c r="AH35" s="60">
        <f>10-(($AH$27-AH28)/($AH$27-$AH$31))*8</f>
        <v>7.4253726331997996</v>
      </c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</row>
    <row r="36" spans="1:80">
      <c r="A36" s="1"/>
      <c r="B36" s="56">
        <v>3</v>
      </c>
      <c r="C36" s="60">
        <f>10-(($C$27-C29)/($C$27-$C$31))*8</f>
        <v>6.6983114711600553</v>
      </c>
      <c r="D36" s="60">
        <f>10-(($D$27-D29)/($D$27-$D$31))*8</f>
        <v>5.8100098969929519</v>
      </c>
      <c r="E36" s="60">
        <f>10-(($E$27-E29)/($E$27-$E$31))*8</f>
        <v>4.9438697820759137</v>
      </c>
      <c r="F36" s="60">
        <f>10-(($F$27-F29)/($F$27-$F$31))*8</f>
        <v>4.2667548067615213</v>
      </c>
      <c r="G36" s="60">
        <f>10-(($G$27-G29)/($G$27-$G$31))*8</f>
        <v>3.7240299466986837</v>
      </c>
      <c r="H36" s="60">
        <f>10-(($H$27-H29)/($H$27-$H$31))*8</f>
        <v>3.2802140303501188</v>
      </c>
      <c r="I36" s="60">
        <f>10-(($I$27-I29)/($I$27-$I$31))*8</f>
        <v>2.9112653553873109</v>
      </c>
      <c r="J36" s="60">
        <f>10-(($J$27-J29)/($J$27-$J$31))*8</f>
        <v>2.6003176075858825</v>
      </c>
      <c r="K36" s="60">
        <f>10-(($K$27-K29)/($K$27-$K$31))*8</f>
        <v>2.3351906293971965</v>
      </c>
      <c r="L36" s="60">
        <f>10-(($L$27-L29)/($L$27-$L$31))*8</f>
        <v>2.1068700864734149</v>
      </c>
      <c r="M36" s="60">
        <f>10-(($M$27-M29)/($M$27-$M$31))*8</f>
        <v>2.1467272413851424</v>
      </c>
      <c r="N36" s="60">
        <f>10-(($N$27-N29)/($N$27-$N$31))*8</f>
        <v>2.8323793401156143</v>
      </c>
      <c r="O36" s="60">
        <f>10-(($O$27-O29)/($O$27-$O$31))*8</f>
        <v>2.6383114482592465</v>
      </c>
      <c r="P36" s="60">
        <f>10-(($P$27-P29)/($P$27-$P$31))*8</f>
        <v>2.4343942191955055</v>
      </c>
      <c r="Q36" s="60">
        <f>10-(($Q$27-Q29)/($Q$27-$Q$31))*8</f>
        <v>2.219858319703583</v>
      </c>
      <c r="R36" s="60">
        <f>10-(($R$27-R29)/($R$27-$R$31))*8</f>
        <v>2.1942274038984202</v>
      </c>
      <c r="S36" s="60">
        <f>10-(($S$27-S29)/($S$27-$S$31))*8</f>
        <v>2.452653589648917</v>
      </c>
      <c r="T36" s="60">
        <f>10-(($T$27-T29)/($T$27-$T$31))*8</f>
        <v>2.7085085744165482</v>
      </c>
      <c r="U36" s="60">
        <f>10-(($U$27-U29)/($U$27-$U$31))*8</f>
        <v>2.9617471984417065</v>
      </c>
      <c r="V36" s="60">
        <f>10-(($V$27-V29)/($V$27-$V$31))*8</f>
        <v>3.2123293034163982</v>
      </c>
      <c r="W36" s="60">
        <f>10-(($W$27-W29)/($W$27-$W$31))*8</f>
        <v>3.4602195018160655</v>
      </c>
      <c r="X36" s="60">
        <f>10-(($X$27-X29)/($X$27-$X$31))*8</f>
        <v>3.7053869503434882</v>
      </c>
      <c r="Y36" s="60">
        <f>10-(($Y$27-Y29)/($Y$27-$Y$31))*8</f>
        <v>3.9478051279615167</v>
      </c>
      <c r="Z36" s="60">
        <f>10-(($Z$27-Z29)/($Z$27-$Z$31))*8</f>
        <v>4.1874516189243831</v>
      </c>
      <c r="AA36" s="60">
        <f>10-(($AA$27-AA29)/($AA$27-$AA$31))*8</f>
        <v>4.4243079011549478</v>
      </c>
      <c r="AB36" s="60">
        <f>10-(($AB$27-AB29)/($AB$27-$AB$31))*8</f>
        <v>4.6583591402570175</v>
      </c>
      <c r="AC36" s="60">
        <f>10-(($AC$27-AC29)/($AC$27-$AC$31))*8</f>
        <v>4.8895939893985148</v>
      </c>
      <c r="AD36" s="60">
        <f>10-(($AD$27-AD29)/($AD$27-$AD$31))*8</f>
        <v>5.1180043952522398</v>
      </c>
      <c r="AE36" s="60">
        <f>10-(($AE$27-AE29)/($AE$27-$AE$31))*8</f>
        <v>5.3435854101357529</v>
      </c>
      <c r="AF36" s="60">
        <f>10-(($AF$27-AF29)/($AF$27-$AF$31))*8</f>
        <v>5.5663350104512954</v>
      </c>
      <c r="AG36" s="60">
        <f>10-(($AG$27-AG29)/($AG$27-$AG$31))*8</f>
        <v>5.7862539214889557</v>
      </c>
      <c r="AH36" s="60">
        <f>10-(($AH$27-AH29)/($AH$27-$AH$31))*8</f>
        <v>6.0033454486235325</v>
      </c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</row>
    <row r="37" spans="1:80">
      <c r="A37" s="1"/>
      <c r="B37" s="56">
        <v>4</v>
      </c>
      <c r="C37" s="60">
        <f>10-(($C$27-C30)/($C$27-$C$31))*8</f>
        <v>3.2961457695111083</v>
      </c>
      <c r="D37" s="60">
        <f>10-(($D$27-D30)/($D$27-$D$31))*8</f>
        <v>3.0566184071534845</v>
      </c>
      <c r="E37" s="60">
        <f>10-(($E$27-E30)/($E$27-$E$31))*8</f>
        <v>2.8246503424214771</v>
      </c>
      <c r="F37" s="60">
        <f>10-(($F$27-F30)/($F$27-$F$31))*8</f>
        <v>2.6457108623412129</v>
      </c>
      <c r="G37" s="60">
        <f>10-(($G$27-G30)/($G$27-$G$31))*8</f>
        <v>2.5043851946321292</v>
      </c>
      <c r="H37" s="60">
        <f>10-(($H$27-H30)/($H$27-$H$31))*8</f>
        <v>2.3906669907005025</v>
      </c>
      <c r="I37" s="60">
        <f>10-(($I$27-I30)/($I$27-$I$31))*8</f>
        <v>2.2977797672905096</v>
      </c>
      <c r="J37" s="60">
        <f>10-(($J$27-J30)/($J$27-$J$31))*8</f>
        <v>2.2209727406222237</v>
      </c>
      <c r="K37" s="60">
        <f>10-(($K$27-K30)/($K$27-$K$31))*8</f>
        <v>2.15681789031796</v>
      </c>
      <c r="L37" s="60">
        <f>10-(($L$27-L30)/($L$27-$L$31))*8</f>
        <v>2.1027806453832181</v>
      </c>
      <c r="M37" s="60">
        <f>10-(($M$27-M30)/($M$27-$M$31))*8</f>
        <v>2.0904234055067112</v>
      </c>
      <c r="N37" s="60">
        <f>10-(($N$27-N30)/($N$27-$N$31))*8</f>
        <v>2.7798631452780871</v>
      </c>
      <c r="O37" s="60">
        <f>10-(($O$27-O30)/($O$27-$O$31))*8</f>
        <v>2.554630515940703</v>
      </c>
      <c r="P37" s="60">
        <f>10-(($P$27-P30)/($P$27-$P$31))*8</f>
        <v>2.3170480708959653</v>
      </c>
      <c r="Q37" s="60">
        <f>10-(($Q$27-Q30)/($Q$27-$Q$31))*8</f>
        <v>2.066167751755474</v>
      </c>
      <c r="R37" s="60">
        <f>10-(($R$27-R30)/($R$27-$R$31))*8</f>
        <v>2.1882288149839519</v>
      </c>
      <c r="S37" s="60">
        <f>10-(($S$27-S30)/($S$27-$S$31))*8</f>
        <v>2.2219222952850703</v>
      </c>
      <c r="T37" s="60">
        <f>10-(($T$27-T30)/($T$27-$T$31))*8</f>
        <v>2.2560182859531688</v>
      </c>
      <c r="U37" s="60">
        <f>10-(($U$27-U30)/($U$27-$U$31))*8</f>
        <v>2.2904835238972927</v>
      </c>
      <c r="V37" s="60">
        <f>10-(($V$27-V30)/($V$27-$V$31))*8</f>
        <v>2.3252859627089473</v>
      </c>
      <c r="W37" s="60">
        <f>10-(($W$27-W30)/($W$27-$W$31))*8</f>
        <v>2.3603947559440588</v>
      </c>
      <c r="X37" s="60">
        <f>10-(($X$27-X30)/($X$27-$X$31))*8</f>
        <v>2.3957802384653695</v>
      </c>
      <c r="Y37" s="60">
        <f>10-(($Y$27-Y30)/($Y$27-$Y$31))*8</f>
        <v>2.4314139060747824</v>
      </c>
      <c r="Z37" s="60">
        <f>10-(($Z$27-Z30)/($Z$27-$Z$31))*8</f>
        <v>2.4672683936517368</v>
      </c>
      <c r="AA37" s="60">
        <f>10-(($AA$27-AA30)/($AA$27-$AA$31))*8</f>
        <v>2.5033174520000188</v>
      </c>
      <c r="AB37" s="60">
        <f>10-(($AB$27-AB30)/($AB$27-$AB$31))*8</f>
        <v>2.5395359235922674</v>
      </c>
      <c r="AC37" s="60">
        <f>10-(($AC$27-AC30)/($AC$27-$AC$31))*8</f>
        <v>2.5758997173883822</v>
      </c>
      <c r="AD37" s="60">
        <f>10-(($AD$27-AD30)/($AD$27-$AD$31))*8</f>
        <v>2.6123857828913497</v>
      </c>
      <c r="AE37" s="60">
        <f>10-(($AE$27-AE30)/($AE$27-$AE$31))*8</f>
        <v>2.6489720835918753</v>
      </c>
      <c r="AF37" s="60">
        <f>10-(($AF$27-AF30)/($AF$27-$AF$31))*8</f>
        <v>2.6856375699414716</v>
      </c>
      <c r="AG37" s="60">
        <f>10-(($AG$27-AG30)/($AG$27-$AG$31))*8</f>
        <v>2.7223621519821206</v>
      </c>
      <c r="AH37" s="60">
        <f>10-(($AH$27-AH30)/($AH$27-$AH$31))*8</f>
        <v>2.7591266717500869</v>
      </c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</row>
    <row r="38" spans="1:80">
      <c r="A38" s="1"/>
      <c r="B38" s="56">
        <v>5</v>
      </c>
      <c r="C38" s="60">
        <f>10-(($C$27-C31)/($C$27-$C$31))*8</f>
        <v>2</v>
      </c>
      <c r="D38" s="60">
        <f>10-(($D$27-D31)/($D$27-$D$31))*8</f>
        <v>2</v>
      </c>
      <c r="E38" s="60">
        <f>10-(($E$27-E31)/($E$27-$E$31))*8</f>
        <v>2</v>
      </c>
      <c r="F38" s="60">
        <f>10-(($F$27-F31)/($F$27-$F$31))*8</f>
        <v>2</v>
      </c>
      <c r="G38" s="60">
        <f>10-(($G$27-G31)/($G$27-$G$31))*8</f>
        <v>2</v>
      </c>
      <c r="H38" s="60">
        <f>10-(($H$27-H31)/($H$27-$H$31))*8</f>
        <v>2</v>
      </c>
      <c r="I38" s="60">
        <f>10-(($I$27-I31)/($I$27-$I$31))*8</f>
        <v>2</v>
      </c>
      <c r="J38" s="60">
        <f>10-(($J$27-J31)/($J$27-$J$31))*8</f>
        <v>2</v>
      </c>
      <c r="K38" s="60">
        <f>10-(($K$27-K31)/($K$27-$K$31))*8</f>
        <v>2</v>
      </c>
      <c r="L38" s="60">
        <f>10-(($L$27-L31)/($L$27-$L$31))*8</f>
        <v>2</v>
      </c>
      <c r="M38" s="60">
        <f>10-(($M$27-M31)/($M$27-$M$31))*8</f>
        <v>2</v>
      </c>
      <c r="N38" s="60">
        <f>10-(($N$27-N31)/($N$27-$N$31))*8</f>
        <v>2</v>
      </c>
      <c r="O38" s="60">
        <f>10-(($O$27-O31)/($O$27-$O$31))*8</f>
        <v>2</v>
      </c>
      <c r="P38" s="60">
        <f>10-(($P$27-P31)/($P$27-$P$31))*8</f>
        <v>2</v>
      </c>
      <c r="Q38" s="60">
        <f>10-(($Q$27-Q31)/($Q$27-$Q$31))*8</f>
        <v>2</v>
      </c>
      <c r="R38" s="60">
        <f>10-(($R$27-R31)/($R$27-$R$31))*8</f>
        <v>2</v>
      </c>
      <c r="S38" s="60">
        <f>10-(($S$27-S31)/($S$27-$S$31))*8</f>
        <v>2</v>
      </c>
      <c r="T38" s="60">
        <f>10-(($T$27-T31)/($T$27-$T$31))*8</f>
        <v>2</v>
      </c>
      <c r="U38" s="60">
        <f>10-(($U$27-U31)/($U$27-$U$31))*8</f>
        <v>2</v>
      </c>
      <c r="V38" s="60">
        <f>10-(($V$27-V31)/($V$27-$V$31))*8</f>
        <v>2</v>
      </c>
      <c r="W38" s="60">
        <f>10-(($W$27-W31)/($W$27-$W$31))*8</f>
        <v>2</v>
      </c>
      <c r="X38" s="60">
        <f>10-(($X$27-X31)/($X$27-$X$31))*8</f>
        <v>2</v>
      </c>
      <c r="Y38" s="60">
        <f>10-(($Y$27-Y31)/($Y$27-$Y$31))*8</f>
        <v>2</v>
      </c>
      <c r="Z38" s="60">
        <f>10-(($Z$27-Z31)/($Z$27-$Z$31))*8</f>
        <v>2</v>
      </c>
      <c r="AA38" s="60">
        <f>10-(($AA$27-AA31)/($AA$27-$AA$31))*8</f>
        <v>2</v>
      </c>
      <c r="AB38" s="60">
        <f>10-(($AB$27-AB31)/($AB$27-$AB$31))*8</f>
        <v>2</v>
      </c>
      <c r="AC38" s="60">
        <f>10-(($AC$27-AC31)/($AC$27-$AC$31))*8</f>
        <v>2</v>
      </c>
      <c r="AD38" s="60">
        <f>10-(($AD$27-AD31)/($AD$27-$AD$31))*8</f>
        <v>2</v>
      </c>
      <c r="AE38" s="60">
        <f>10-(($AE$27-AE31)/($AE$27-$AE$31))*8</f>
        <v>2</v>
      </c>
      <c r="AF38" s="60">
        <f>10-(($AF$27-AF31)/($AF$27-$AF$31))*8</f>
        <v>2</v>
      </c>
      <c r="AG38" s="60">
        <f>10-(($AG$27-AG31)/($AG$27-$AG$31))*8</f>
        <v>2</v>
      </c>
      <c r="AH38" s="60">
        <f>10-(($AH$27-AH31)/($AH$27-$AH$31))*8</f>
        <v>2</v>
      </c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</row>
    <row r="39" spans="1:8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</row>
    <row r="40" spans="1:80">
      <c r="A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</row>
    <row r="41" spans="1:80">
      <c r="A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</row>
    <row r="42" spans="1:80">
      <c r="A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</row>
    <row r="43" spans="1:80">
      <c r="A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</row>
    <row r="44" spans="1:80">
      <c r="A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</row>
    <row r="45" spans="1:80">
      <c r="A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</row>
    <row r="46" spans="1:80">
      <c r="A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</row>
    <row r="47" spans="1:80">
      <c r="A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</row>
    <row r="48" spans="1:80">
      <c r="A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</row>
    <row r="49" spans="1:80">
      <c r="A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</row>
    <row r="50" spans="1:80">
      <c r="A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</row>
    <row r="51" spans="1:80">
      <c r="A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</row>
    <row r="52" spans="1:80">
      <c r="A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</row>
    <row r="53" spans="1:80">
      <c r="A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</row>
    <row r="54" spans="1:80">
      <c r="A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</row>
    <row r="55" spans="1:80">
      <c r="A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</row>
    <row r="56" spans="1:80">
      <c r="A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</row>
    <row r="57" spans="1:80">
      <c r="A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</row>
    <row r="58" spans="1:80" ht="15" thickBot="1">
      <c r="A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</row>
    <row r="59" spans="1:80" ht="15" thickBot="1">
      <c r="A59" s="1"/>
      <c r="B59" s="262" t="s">
        <v>119</v>
      </c>
      <c r="C59" s="263"/>
      <c r="D59" s="263"/>
      <c r="E59" s="264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</row>
    <row r="60" spans="1:80">
      <c r="A60" s="1"/>
      <c r="B60" s="57" t="s">
        <v>77</v>
      </c>
      <c r="C60" s="57">
        <v>2019</v>
      </c>
      <c r="D60" s="57">
        <v>2020</v>
      </c>
      <c r="E60" s="57">
        <v>2021</v>
      </c>
      <c r="F60" s="56">
        <v>2022</v>
      </c>
      <c r="G60" s="56">
        <v>2023</v>
      </c>
      <c r="H60" s="56">
        <v>2024</v>
      </c>
      <c r="I60" s="56">
        <v>2025</v>
      </c>
      <c r="J60" s="56">
        <v>2026</v>
      </c>
      <c r="K60" s="56">
        <v>2027</v>
      </c>
      <c r="L60" s="56">
        <v>2028</v>
      </c>
      <c r="M60" s="56">
        <v>2029</v>
      </c>
      <c r="N60" s="56">
        <v>2030</v>
      </c>
      <c r="O60" s="56">
        <v>2031</v>
      </c>
      <c r="P60" s="56">
        <v>2032</v>
      </c>
      <c r="Q60" s="56">
        <v>2033</v>
      </c>
      <c r="R60" s="56">
        <v>2034</v>
      </c>
      <c r="S60" s="56">
        <v>2035</v>
      </c>
      <c r="T60" s="56">
        <v>2036</v>
      </c>
      <c r="U60" s="56">
        <v>2037</v>
      </c>
      <c r="V60" s="56">
        <v>2038</v>
      </c>
      <c r="W60" s="56">
        <v>2039</v>
      </c>
      <c r="X60" s="56">
        <v>2040</v>
      </c>
      <c r="Y60" s="56">
        <v>2041</v>
      </c>
      <c r="Z60" s="56">
        <v>2042</v>
      </c>
      <c r="AA60" s="56">
        <v>2043</v>
      </c>
      <c r="AB60" s="56">
        <v>2044</v>
      </c>
      <c r="AC60" s="56">
        <v>2045</v>
      </c>
      <c r="AD60" s="56">
        <v>2046</v>
      </c>
      <c r="AE60" s="56">
        <v>2047</v>
      </c>
      <c r="AF60" s="56">
        <v>2048</v>
      </c>
      <c r="AG60" s="56">
        <v>2049</v>
      </c>
      <c r="AH60" s="56">
        <v>2050</v>
      </c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</row>
    <row r="61" spans="1:80">
      <c r="A61" s="1"/>
      <c r="B61" s="56" t="s">
        <v>81</v>
      </c>
      <c r="C61" s="62">
        <f>KPIs!C32/KPIs!$C$32</f>
        <v>1</v>
      </c>
      <c r="D61" s="62">
        <f>KPIs!D32/KPIs!$D$32</f>
        <v>1</v>
      </c>
      <c r="E61" s="62">
        <f>KPIs!E32/KPIs!$E$32</f>
        <v>1</v>
      </c>
      <c r="F61" s="62">
        <f>KPIs!F32/KPIs!$F$32</f>
        <v>1</v>
      </c>
      <c r="G61" s="62">
        <f>KPIs!G32/KPIs!$G$32</f>
        <v>1</v>
      </c>
      <c r="H61" s="62">
        <f>KPIs!H32/KPIs!$H$32</f>
        <v>1</v>
      </c>
      <c r="I61" s="62">
        <f>KPIs!I32/KPIs!$I$32</f>
        <v>1</v>
      </c>
      <c r="J61" s="62">
        <f>KPIs!J32/KPIs!$J$32</f>
        <v>1</v>
      </c>
      <c r="K61" s="62">
        <f>KPIs!K32/KPIs!$K$32</f>
        <v>1</v>
      </c>
      <c r="L61" s="62">
        <f>KPIs!L32/KPIs!$L$32</f>
        <v>1</v>
      </c>
      <c r="M61" s="62">
        <f>KPIs!M32/KPIs!$M$32</f>
        <v>1</v>
      </c>
      <c r="N61" s="62">
        <f>KPIs!N32/KPIs!$N$32</f>
        <v>1</v>
      </c>
      <c r="O61" s="62">
        <f>KPIs!O32/KPIs!$O$32</f>
        <v>1</v>
      </c>
      <c r="P61" s="62">
        <f>KPIs!P32/KPIs!$P$32</f>
        <v>1</v>
      </c>
      <c r="Q61" s="62">
        <f>KPIs!Q32/KPIs!$Q$32</f>
        <v>1</v>
      </c>
      <c r="R61" s="62">
        <f>KPIs!R32/KPIs!$R$32</f>
        <v>1</v>
      </c>
      <c r="S61" s="62">
        <f>KPIs!S32/KPIs!$S$32</f>
        <v>1</v>
      </c>
      <c r="T61" s="62">
        <f>KPIs!T32/KPIs!$T$32</f>
        <v>1</v>
      </c>
      <c r="U61" s="62">
        <f>KPIs!U32/KPIs!$U$32</f>
        <v>1</v>
      </c>
      <c r="V61" s="62">
        <f>KPIs!V32/KPIs!$V$32</f>
        <v>1</v>
      </c>
      <c r="W61" s="62">
        <f>KPIs!W32/KPIs!$W$32</f>
        <v>1</v>
      </c>
      <c r="X61" s="62">
        <f>KPIs!X32/KPIs!$X$32</f>
        <v>1</v>
      </c>
      <c r="Y61" s="62">
        <f>KPIs!Y32/KPIs!$Y$32</f>
        <v>1</v>
      </c>
      <c r="Z61" s="62">
        <f>KPIs!Z32/KPIs!$Z$32</f>
        <v>1</v>
      </c>
      <c r="AA61" s="62">
        <f>KPIs!AA32/KPIs!$AA$32</f>
        <v>1</v>
      </c>
      <c r="AB61" s="62">
        <f>KPIs!AB32/KPIs!$AB$32</f>
        <v>1</v>
      </c>
      <c r="AC61" s="62">
        <f>KPIs!AC32/KPIs!$AC$32</f>
        <v>1</v>
      </c>
      <c r="AD61" s="62">
        <f>KPIs!AD32/KPIs!$AD$32</f>
        <v>1</v>
      </c>
      <c r="AE61" s="62">
        <f>KPIs!AE32/KPIs!$AE$32</f>
        <v>1</v>
      </c>
      <c r="AF61" s="62">
        <f>KPIs!AF32/KPIs!$AF$32</f>
        <v>1</v>
      </c>
      <c r="AG61" s="62">
        <f>KPIs!AG32/KPIs!AG$32</f>
        <v>1</v>
      </c>
      <c r="AH61" s="62">
        <f>KPIs!AH32/KPIs!$AH$32</f>
        <v>1</v>
      </c>
      <c r="AI61" s="56" t="s">
        <v>81</v>
      </c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</row>
    <row r="62" spans="1:80">
      <c r="A62" s="1"/>
      <c r="B62" s="56" t="s">
        <v>36</v>
      </c>
      <c r="C62" s="62">
        <f>KPIs!C33/KPIs!$C$32</f>
        <v>1.4263145484555528</v>
      </c>
      <c r="D62" s="62">
        <f>KPIs!D33/KPIs!$D$32</f>
        <v>1.4280476231558967</v>
      </c>
      <c r="E62" s="62">
        <f>KPIs!E33/KPIs!$E$32</f>
        <v>1.4298022874753129</v>
      </c>
      <c r="F62" s="62">
        <f>KPIs!F33/KPIs!$F$32</f>
        <v>1.4315789473684208</v>
      </c>
      <c r="G62" s="62">
        <f>KPIs!G33/KPIs!$G$32</f>
        <v>1.433378019031712</v>
      </c>
      <c r="H62" s="62">
        <f>KPIs!H33/KPIs!$H$32</f>
        <v>1.4351999292285913</v>
      </c>
      <c r="I62" s="62">
        <f>KPIs!I33/KPIs!$I$32</f>
        <v>1.437045115626878</v>
      </c>
      <c r="J62" s="62">
        <f>KPIs!J33/KPIs!$J$32</f>
        <v>1.4389140271493213</v>
      </c>
      <c r="K62" s="62">
        <f>KPIs!K33/KPIs!$K$32</f>
        <v>1.4408071243377296</v>
      </c>
      <c r="L62" s="62">
        <f>KPIs!L33/KPIs!$L$32</f>
        <v>1.4427248797313244</v>
      </c>
      <c r="M62" s="62">
        <f>KPIs!M33/KPIs!$M$32</f>
        <v>1.4446677782599759</v>
      </c>
      <c r="N62" s="62">
        <f>KPIs!N33/KPIs!$N$32</f>
        <v>1.4466363176530097</v>
      </c>
      <c r="O62" s="62">
        <f>KPIs!O33/KPIs!$O$32</f>
        <v>1.4459409874231344</v>
      </c>
      <c r="P62" s="62">
        <f>KPIs!P33/KPIs!$P$32</f>
        <v>1.4452448473185802</v>
      </c>
      <c r="Q62" s="62">
        <f>KPIs!Q33/KPIs!$Q$32</f>
        <v>1.4445478959235893</v>
      </c>
      <c r="R62" s="62">
        <f>KPIs!R33/KPIs!$R$32</f>
        <v>1.4438501318191035</v>
      </c>
      <c r="S62" s="62">
        <f>KPIs!S33/KPIs!$S$32</f>
        <v>1.4431515535827522</v>
      </c>
      <c r="T62" s="62">
        <f>KPIs!T33/KPIs!$T$32</f>
        <v>1.4424521597888433</v>
      </c>
      <c r="U62" s="62">
        <f>KPIs!U33/KPIs!$U$32</f>
        <v>1.4417519490083548</v>
      </c>
      <c r="V62" s="62">
        <f>KPIs!V33/KPIs!$V$32</f>
        <v>1.4410509198089236</v>
      </c>
      <c r="W62" s="62">
        <f>KPIs!W33/KPIs!$W$32</f>
        <v>1.4403490707548368</v>
      </c>
      <c r="X62" s="62">
        <f>KPIs!X33/KPIs!$X$32</f>
        <v>1.4396464004070211</v>
      </c>
      <c r="Y62" s="62">
        <f>KPIs!Y33/KPIs!$Y$32</f>
        <v>1.4389429073230331</v>
      </c>
      <c r="Z62" s="62">
        <f>KPIs!Z33/KPIs!$Z$32</f>
        <v>1.4382385900570498</v>
      </c>
      <c r="AA62" s="62">
        <f>KPIs!AA33/KPIs!$AA$32</f>
        <v>1.4375334471598582</v>
      </c>
      <c r="AB62" s="62">
        <f>KPIs!AB33/KPIs!$AB$32</f>
        <v>1.4368274771788463</v>
      </c>
      <c r="AC62" s="62">
        <f>KPIs!AC33/KPIs!$AC$32</f>
        <v>1.4361206786579921</v>
      </c>
      <c r="AD62" s="62">
        <f>KPIs!AD33/KPIs!$AD$32</f>
        <v>1.4354130501378537</v>
      </c>
      <c r="AE62" s="62">
        <f>KPIs!AE33/KPIs!$AE$32</f>
        <v>1.4347045901555595</v>
      </c>
      <c r="AF62" s="62">
        <f>KPIs!AF33/KPIs!$AF$32</f>
        <v>1.4339952972447989</v>
      </c>
      <c r="AG62" s="62">
        <f>KPIs!AG33/KPIs!$AG$32</f>
        <v>1.4332851699358105</v>
      </c>
      <c r="AH62" s="62">
        <f>KPIs!AH33/KPIs!$AH$32</f>
        <v>1.4325742067553735</v>
      </c>
      <c r="AI62" s="56" t="s">
        <v>96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</row>
    <row r="63" spans="1:80">
      <c r="A63" s="1"/>
      <c r="B63" s="56" t="s">
        <v>89</v>
      </c>
      <c r="C63" s="62">
        <f>KPIs!C34/KPIs!$C$32</f>
        <v>0.212685687337892</v>
      </c>
      <c r="D63" s="62">
        <f>KPIs!D34/KPIs!$D$32</f>
        <v>0.21292382020533174</v>
      </c>
      <c r="E63" s="62">
        <f>KPIs!E34/KPIs!$E$32</f>
        <v>0.21316491959111919</v>
      </c>
      <c r="F63" s="62">
        <f>KPIs!F34/KPIs!$F$32</f>
        <v>0.21340904127538762</v>
      </c>
      <c r="G63" s="62">
        <f>KPIs!G34/KPIs!$G$32</f>
        <v>0.21365624244555304</v>
      </c>
      <c r="H63" s="62">
        <f>KPIs!H34/KPIs!$H$32</f>
        <v>0.21390658174097663</v>
      </c>
      <c r="I63" s="62">
        <f>KPIs!I34/KPIs!$I$32</f>
        <v>0.21416011929933895</v>
      </c>
      <c r="J63" s="62">
        <f>KPIs!J34/KPIs!$J$32</f>
        <v>0.21441691680480263</v>
      </c>
      <c r="K63" s="62">
        <f>KPIs!K34/KPIs!$K$32</f>
        <v>0.21467703753804529</v>
      </c>
      <c r="L63" s="62">
        <f>KPIs!L34/KPIs!$L$32</f>
        <v>0.21494054642824728</v>
      </c>
      <c r="M63" s="62">
        <f>KPIs!M34/KPIs!$M$32</f>
        <v>0.21520751010712408</v>
      </c>
      <c r="N63" s="62">
        <f>KPIs!N34/KPIs!$N$32</f>
        <v>0.21547799696509864</v>
      </c>
      <c r="O63" s="62">
        <f>KPIs!O34/KPIs!$O$32</f>
        <v>0.21476832755522943</v>
      </c>
      <c r="P63" s="62">
        <f>KPIs!P34/KPIs!$P$32</f>
        <v>0.21405783156935229</v>
      </c>
      <c r="Q63" s="62">
        <f>KPIs!Q34/KPIs!$Q$32</f>
        <v>0.21334650756251425</v>
      </c>
      <c r="R63" s="62">
        <f>KPIs!R34/KPIs!$R$32</f>
        <v>0.2126343540863922</v>
      </c>
      <c r="S63" s="62">
        <f>KPIs!S34/KPIs!$S$32</f>
        <v>0.21192136968928346</v>
      </c>
      <c r="T63" s="62">
        <f>KPIs!T34/KPIs!$T$32</f>
        <v>0.21120755291609566</v>
      </c>
      <c r="U63" s="62">
        <f>KPIs!U34/KPIs!$U$32</f>
        <v>0.21049290230833692</v>
      </c>
      <c r="V63" s="62">
        <f>KPIs!V34/KPIs!$V$32</f>
        <v>0.20977741640410613</v>
      </c>
      <c r="W63" s="62">
        <f>KPIs!W34/KPIs!$W$32</f>
        <v>0.20906109373808252</v>
      </c>
      <c r="X63" s="62">
        <f>KPIs!X34/KPIs!$X$32</f>
        <v>0.20834393284151614</v>
      </c>
      <c r="Y63" s="62">
        <f>KPIs!Y34/KPIs!$Y$32</f>
        <v>0.20762593224221754</v>
      </c>
      <c r="Z63" s="62">
        <f>KPIs!Z34/KPIs!$Z$32</f>
        <v>0.20690709046454767</v>
      </c>
      <c r="AA63" s="62">
        <f>KPIs!AA34/KPIs!$AA$32</f>
        <v>0.20618740602940802</v>
      </c>
      <c r="AB63" s="62">
        <f>KPIs!AB34/KPIs!$AB$32</f>
        <v>0.20546687745423017</v>
      </c>
      <c r="AC63" s="62">
        <f>KPIs!AC34/KPIs!$AC$32</f>
        <v>0.20474550325296595</v>
      </c>
      <c r="AD63" s="62">
        <f>KPIs!AD34/KPIs!$AD$32</f>
        <v>0.2040232819360768</v>
      </c>
      <c r="AE63" s="62">
        <f>KPIs!AE34/KPIs!$AE$32</f>
        <v>0.2033002120105239</v>
      </c>
      <c r="AF63" s="62">
        <f>KPIs!AF34/KPIs!$AF$32</f>
        <v>0.20257629197975771</v>
      </c>
      <c r="AG63" s="62">
        <f>KPIs!AG34/KPIs!$AG$32</f>
        <v>0.20185152034370762</v>
      </c>
      <c r="AH63" s="62">
        <f>KPIs!AH34/KPIs!$AH$32</f>
        <v>0.20112589559877175</v>
      </c>
      <c r="AI63" s="56" t="s">
        <v>89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</row>
    <row r="64" spans="1:80">
      <c r="A64" s="1"/>
      <c r="B64" s="56" t="s">
        <v>88</v>
      </c>
      <c r="C64" s="62">
        <f>KPIs!C35/KPIs!$C$32</f>
        <v>0.24852629096911105</v>
      </c>
      <c r="D64" s="62">
        <f>KPIs!D35/KPIs!$D$32</f>
        <v>0.24892157708566992</v>
      </c>
      <c r="E64" s="62">
        <f>KPIs!E35/KPIs!$E$32</f>
        <v>0.24932178744275882</v>
      </c>
      <c r="F64" s="62">
        <f>KPIs!F35/KPIs!$F$32</f>
        <v>0.24972701463201569</v>
      </c>
      <c r="G64" s="62">
        <f>KPIs!G35/KPIs!$G$32</f>
        <v>0.25013735358108258</v>
      </c>
      <c r="H64" s="62">
        <f>KPIs!H35/KPIs!$H$32</f>
        <v>0.25055290162774241</v>
      </c>
      <c r="I64" s="62">
        <f>KPIs!I35/KPIs!$I$32</f>
        <v>0.2509737585968973</v>
      </c>
      <c r="J64" s="62">
        <f>KPIs!J35/KPIs!$J$32</f>
        <v>0.2514000268805161</v>
      </c>
      <c r="K64" s="62">
        <f>KPIs!K35/KPIs!$K$32</f>
        <v>0.2518318115206854</v>
      </c>
      <c r="L64" s="62">
        <f>KPIs!L35/KPIs!$L$32</f>
        <v>0.25226922029590632</v>
      </c>
      <c r="M64" s="62">
        <f>KPIs!M35/KPIs!$M$32</f>
        <v>0.25271236381078555</v>
      </c>
      <c r="N64" s="62">
        <f>KPIs!N35/KPIs!$N$32</f>
        <v>0.25316135558927666</v>
      </c>
      <c r="O64" s="62">
        <f>KPIs!O35/KPIs!$O$32</f>
        <v>0.25237239669003214</v>
      </c>
      <c r="P64" s="62">
        <f>KPIs!P35/KPIs!$P$32</f>
        <v>0.25158251886362487</v>
      </c>
      <c r="Q64" s="62">
        <f>KPIs!Q35/KPIs!$Q$32</f>
        <v>0.25079172050366094</v>
      </c>
      <c r="R64" s="62">
        <f>KPIs!R35/KPIs!$R$32</f>
        <v>0.25</v>
      </c>
      <c r="S64" s="62">
        <f>KPIs!S35/KPIs!$S$32</f>
        <v>0.24920735573874445</v>
      </c>
      <c r="T64" s="62">
        <f>KPIs!T35/KPIs!$T$32</f>
        <v>0.24841378610222831</v>
      </c>
      <c r="U64" s="62">
        <f>KPIs!U35/KPIs!$U$32</f>
        <v>0.24761928946900633</v>
      </c>
      <c r="V64" s="62">
        <f>KPIs!V35/KPIs!$V$32</f>
        <v>0.24682386421384286</v>
      </c>
      <c r="W64" s="62">
        <f>KPIs!W35/KPIs!$W$32</f>
        <v>0.2460275087077009</v>
      </c>
      <c r="X64" s="62">
        <f>KPIs!X35/KPIs!$X$32</f>
        <v>0.24523022131773087</v>
      </c>
      <c r="Y64" s="62">
        <f>KPIs!Y35/KPIs!$Y$32</f>
        <v>0.2444320004072594</v>
      </c>
      <c r="Z64" s="62">
        <f>KPIs!Z35/KPIs!$Z$32</f>
        <v>0.24363284433577831</v>
      </c>
      <c r="AA64" s="62">
        <f>KPIs!AA35/KPIs!$AA$32</f>
        <v>0.24283275145893327</v>
      </c>
      <c r="AB64" s="62">
        <f>KPIs!AB35/KPIs!$AB$32</f>
        <v>0.24203172012851243</v>
      </c>
      <c r="AC64" s="62">
        <f>KPIs!AC35/KPIs!$AC$32</f>
        <v>0.24122974869243527</v>
      </c>
      <c r="AD64" s="62">
        <f>KPIs!AD35/KPIs!$AD$32</f>
        <v>0.24042683549474114</v>
      </c>
      <c r="AE64" s="62">
        <f>KPIs!AE35/KPIs!$AE$32</f>
        <v>0.23962297887557793</v>
      </c>
      <c r="AF64" s="62">
        <f>KPIs!AF35/KPIs!$AF$32</f>
        <v>0.2388181771711905</v>
      </c>
      <c r="AG64" s="62">
        <f>KPIs!AG35/KPIs!$AG$32</f>
        <v>0.23801242871390943</v>
      </c>
      <c r="AH64" s="62">
        <f>KPIs!AH35/KPIs!$AH$32</f>
        <v>0.23720573183213919</v>
      </c>
      <c r="AI64" s="56" t="s">
        <v>88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</row>
    <row r="65" spans="1:80">
      <c r="A65" s="1"/>
      <c r="B65" s="56" t="s">
        <v>90</v>
      </c>
      <c r="C65" s="62">
        <f>KPIs!C36/KPIs!$C$32</f>
        <v>0.51898137231784958</v>
      </c>
      <c r="D65" s="62">
        <f>KPIs!D36/KPIs!$D$32</f>
        <v>0.51766456733672683</v>
      </c>
      <c r="E65" s="62">
        <f>KPIs!E36/KPIs!$E$32</f>
        <v>0.51633135837836663</v>
      </c>
      <c r="F65" s="62">
        <f>KPIs!F36/KPIs!$F$32</f>
        <v>0.514981436994977</v>
      </c>
      <c r="G65" s="62">
        <f>KPIs!G36/KPIs!$G$32</f>
        <v>0.51361448695690382</v>
      </c>
      <c r="H65" s="62">
        <f>KPIs!H36/KPIs!$H$32</f>
        <v>0.51223018400566167</v>
      </c>
      <c r="I65" s="62">
        <f>KPIs!I36/KPIs!$I$32</f>
        <v>0.51082819559749826</v>
      </c>
      <c r="J65" s="62">
        <f>KPIs!J36/KPIs!$J$32</f>
        <v>0.50940818063706828</v>
      </c>
      <c r="K65" s="62">
        <f>KPIs!K36/KPIs!$K$32</f>
        <v>0.50796978920076652</v>
      </c>
      <c r="L65" s="62">
        <f>KPIs!L36/KPIs!$L$32</f>
        <v>0.50651266224925118</v>
      </c>
      <c r="M65" s="62">
        <f>KPIs!M36/KPIs!$M$32</f>
        <v>0.5050364313286585</v>
      </c>
      <c r="N65" s="62">
        <f>KPIs!N36/KPIs!$N$32</f>
        <v>0.50354071825998992</v>
      </c>
      <c r="O65" s="62">
        <f>KPIs!O36/KPIs!$O$32</f>
        <v>0.50011387504112159</v>
      </c>
      <c r="P65" s="62">
        <f>KPIs!P36/KPIs!$P$32</f>
        <v>0.49668304046184225</v>
      </c>
      <c r="Q65" s="62">
        <f>KPIs!Q36/KPIs!$Q$32</f>
        <v>0.49324820754477977</v>
      </c>
      <c r="R65" s="62">
        <f>KPIs!R36/KPIs!$R$32</f>
        <v>0.48980936929628877</v>
      </c>
      <c r="S65" s="62">
        <f>KPIs!S36/KPIs!$S$32</f>
        <v>0.48636651870640457</v>
      </c>
      <c r="T65" s="62">
        <f>KPIs!T36/KPIs!$T$32</f>
        <v>0.48291964874879451</v>
      </c>
      <c r="U65" s="62">
        <f>KPIs!U36/KPIs!$U$32</f>
        <v>0.47946875238071052</v>
      </c>
      <c r="V65" s="62">
        <f>KPIs!V36/KPIs!$V$32</f>
        <v>0.47601382254294139</v>
      </c>
      <c r="W65" s="62">
        <f>KPIs!W36/KPIs!$W$32</f>
        <v>0.47255485215976406</v>
      </c>
      <c r="X65" s="62">
        <f>KPIs!X36/KPIs!$X$32</f>
        <v>0.46909183413889594</v>
      </c>
      <c r="Y65" s="62">
        <f>KPIs!Y36/KPIs!$Y$32</f>
        <v>0.46562476137144604</v>
      </c>
      <c r="Z65" s="62">
        <f>KPIs!Z36/KPIs!$Z$32</f>
        <v>0.46215362673186633</v>
      </c>
      <c r="AA65" s="62">
        <f>KPIs!AA36/KPIs!$AA$32</f>
        <v>0.45867842307790324</v>
      </c>
      <c r="AB65" s="62">
        <f>KPIs!AB36/KPIs!$AB$32</f>
        <v>0.45519914325054822</v>
      </c>
      <c r="AC65" s="62">
        <f>KPIs!AC36/KPIs!$AC$32</f>
        <v>0.45171578007398905</v>
      </c>
      <c r="AD65" s="62">
        <f>KPIs!AD36/KPIs!$AD$32</f>
        <v>0.44822832635556009</v>
      </c>
      <c r="AE65" s="62">
        <f>KPIs!AE36/KPIs!$AE$32</f>
        <v>0.44473677488569308</v>
      </c>
      <c r="AF65" s="62">
        <f>KPIs!AF36/KPIs!$AF$32</f>
        <v>0.44124111843786745</v>
      </c>
      <c r="AG65" s="62">
        <f>KPIs!AG36/KPIs!$AG$32</f>
        <v>0.43774134976855994</v>
      </c>
      <c r="AH65" s="62">
        <f>KPIs!AH36/KPIs!$AH$32</f>
        <v>0.43423746161719551</v>
      </c>
      <c r="AI65" s="56" t="s">
        <v>97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</row>
    <row r="66" spans="1:80">
      <c r="A66" s="1"/>
      <c r="B66" s="56" t="s">
        <v>48</v>
      </c>
      <c r="C66" s="62">
        <f>KPIs!C37/KPIs!$C$32</f>
        <v>0.41924074510728604</v>
      </c>
      <c r="D66" s="62">
        <f>KPIs!D37/KPIs!$D$32</f>
        <v>0.4011948925890777</v>
      </c>
      <c r="E66" s="62">
        <f>KPIs!E37/KPIs!$E$32</f>
        <v>0.38292423551880544</v>
      </c>
      <c r="F66" s="62">
        <f>KPIs!F37/KPIs!$F$32</f>
        <v>0.3644245468442891</v>
      </c>
      <c r="G66" s="62">
        <f>KPIs!G37/KPIs!$G$32</f>
        <v>0.34569149286860207</v>
      </c>
      <c r="H66" s="62">
        <f>KPIs!H37/KPIs!$H$32</f>
        <v>0.3267206298655343</v>
      </c>
      <c r="I66" s="62">
        <f>KPIs!I37/KPIs!$I$32</f>
        <v>0.30750740056533643</v>
      </c>
      <c r="J66" s="62">
        <f>KPIs!J37/KPIs!$J$32</f>
        <v>0.28804713050490571</v>
      </c>
      <c r="K66" s="62">
        <f>KPIs!K37/KPIs!$K$32</f>
        <v>0.26833502423627548</v>
      </c>
      <c r="L66" s="62">
        <f>KPIs!L37/KPIs!$L$32</f>
        <v>0.24836616138694745</v>
      </c>
      <c r="M66" s="62">
        <f>KPIs!M37/KPIs!$M$32</f>
        <v>0.22813549256526805</v>
      </c>
      <c r="N66" s="62">
        <f>KPIs!N37/KPIs!$N$32</f>
        <v>0.20763783510369246</v>
      </c>
      <c r="O66" s="62">
        <f>KPIs!O37/KPIs!$O$32</f>
        <v>0.20583546321836171</v>
      </c>
      <c r="P66" s="62">
        <f>KPIs!P37/KPIs!$P$32</f>
        <v>0.20403099204942521</v>
      </c>
      <c r="Q66" s="62">
        <f>KPIs!Q37/KPIs!$Q$32</f>
        <v>0.20222441792708573</v>
      </c>
      <c r="R66" s="62">
        <f>KPIs!R37/KPIs!$R$32</f>
        <v>0.20041573717298722</v>
      </c>
      <c r="S66" s="62">
        <f>KPIs!S37/KPIs!$S$32</f>
        <v>0.19860494610019022</v>
      </c>
      <c r="T66" s="62">
        <f>KPIs!T37/KPIs!$T$32</f>
        <v>0.19679204101314654</v>
      </c>
      <c r="U66" s="62">
        <f>KPIs!U37/KPIs!$U$32</f>
        <v>0.19497701820767413</v>
      </c>
      <c r="V66" s="62">
        <f>KPIs!V37/KPIs!$V$32</f>
        <v>0.19315987397093201</v>
      </c>
      <c r="W66" s="62">
        <f>KPIs!W37/KPIs!$W$32</f>
        <v>0.19134060458139476</v>
      </c>
      <c r="X66" s="62">
        <f>KPIs!X37/KPIs!$X$32</f>
        <v>0.18951920630882726</v>
      </c>
      <c r="Y66" s="62">
        <f>KPIs!Y37/KPIs!$Y$32</f>
        <v>0.18769567541425916</v>
      </c>
      <c r="Z66" s="62">
        <f>KPIs!Z37/KPIs!$Z$32</f>
        <v>0.18587000814995924</v>
      </c>
      <c r="AA66" s="62">
        <f>KPIs!AA37/KPIs!$AA$32</f>
        <v>0.18404220075940983</v>
      </c>
      <c r="AB66" s="62">
        <f>KPIs!AB37/KPIs!$AB$32</f>
        <v>0.18221224947728085</v>
      </c>
      <c r="AC66" s="62">
        <f>KPIs!AC37/KPIs!$AC$32</f>
        <v>0.18038015052940426</v>
      </c>
      <c r="AD66" s="62">
        <f>KPIs!AD37/KPIs!$AD$32</f>
        <v>0.17854590013274788</v>
      </c>
      <c r="AE66" s="62">
        <f>KPIs!AE37/KPIs!$AE$32</f>
        <v>0.17670949449538939</v>
      </c>
      <c r="AF66" s="62">
        <f>KPIs!AF37/KPIs!$AF$32</f>
        <v>0.17487092981649033</v>
      </c>
      <c r="AG66" s="62">
        <f>KPIs!AG37/KPIs!$AG$32</f>
        <v>0.17303020228626959</v>
      </c>
      <c r="AH66" s="62">
        <f>KPIs!AH37/KPIs!$AH$32</f>
        <v>0.17118730808597749</v>
      </c>
      <c r="AI66" s="56" t="s">
        <v>98</v>
      </c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</row>
    <row r="67" spans="1:80">
      <c r="A67" s="1"/>
      <c r="B67" s="56" t="s">
        <v>51</v>
      </c>
      <c r="C67" s="62">
        <f>KPIs!C38/KPIs!$C$32</f>
        <v>1.8561659985852392</v>
      </c>
      <c r="D67" s="62">
        <f>KPIs!D38/KPIs!$D$32</f>
        <v>1.8230955051332931</v>
      </c>
      <c r="E67" s="62">
        <f>KPIs!E38/KPIs!$E$32</f>
        <v>1.7896130390433402</v>
      </c>
      <c r="F67" s="62">
        <f>KPIs!F38/KPIs!$F$32</f>
        <v>1.7557108538982309</v>
      </c>
      <c r="G67" s="62">
        <f>KPIs!G38/KPIs!$G$32</f>
        <v>1.7213810078456364</v>
      </c>
      <c r="H67" s="62">
        <f>KPIs!H38/KPIs!$H$32</f>
        <v>1.686615357395612</v>
      </c>
      <c r="I67" s="62">
        <f>KPIs!I38/KPIs!$I$32</f>
        <v>1.6514055509804357</v>
      </c>
      <c r="J67" s="62">
        <f>KPIs!J38/KPIs!$J$32</f>
        <v>1.6157430222660274</v>
      </c>
      <c r="K67" s="62">
        <f>KPIs!K38/KPIs!$K$32</f>
        <v>1.5796189832036975</v>
      </c>
      <c r="L67" s="62">
        <f>KPIs!L38/KPIs!$L$32</f>
        <v>1.5430244168103842</v>
      </c>
      <c r="M67" s="62">
        <f>KPIs!M38/KPIs!$M$32</f>
        <v>1.5059500696649233</v>
      </c>
      <c r="N67" s="62">
        <f>KPIs!N38/KPIs!$N$32</f>
        <v>1.4683864441072332</v>
      </c>
      <c r="O67" s="62">
        <f>KPIs!O38/KPIs!$O$32</f>
        <v>1.4545512058101577</v>
      </c>
      <c r="P67" s="62">
        <f>KPIs!P38/KPIs!$P$32</f>
        <v>1.4406998531422492</v>
      </c>
      <c r="Q67" s="62">
        <f>KPIs!Q38/KPIs!$Q$32</f>
        <v>1.426832357933673</v>
      </c>
      <c r="R67" s="62">
        <f>KPIs!R38/KPIs!$R$32</f>
        <v>1.4129486919488947</v>
      </c>
      <c r="S67" s="62">
        <f>KPIs!S38/KPIs!$S$32</f>
        <v>1.3990488268864933</v>
      </c>
      <c r="T67" s="62">
        <f>KPIs!T38/KPIs!$T$32</f>
        <v>1.3851327343789654</v>
      </c>
      <c r="U67" s="62">
        <f>KPIs!U38/KPIs!$U$32</f>
        <v>1.3712003859925339</v>
      </c>
      <c r="V67" s="62">
        <f>KPIs!V38/KPIs!$V$32</f>
        <v>1.3572517532269541</v>
      </c>
      <c r="W67" s="62">
        <f>KPIs!W38/KPIs!$W$32</f>
        <v>1.3432868075153179</v>
      </c>
      <c r="X67" s="62">
        <f>KPIs!X38/KPIs!$X$32</f>
        <v>1.3293055202238615</v>
      </c>
      <c r="Y67" s="62">
        <f>KPIs!Y38/KPIs!$Y$32</f>
        <v>1.3153078626517678</v>
      </c>
      <c r="Z67" s="62">
        <f>KPIs!Z38/KPIs!$Z$32</f>
        <v>1.3012938060309698</v>
      </c>
      <c r="AA67" s="62">
        <f>KPIs!AA38/KPIs!$AA$32</f>
        <v>1.287263321525955</v>
      </c>
      <c r="AB67" s="62">
        <f>KPIs!AB38/KPIs!$AB$32</f>
        <v>1.2732163802335663</v>
      </c>
      <c r="AC67" s="62">
        <f>KPIs!AC38/KPIs!$AC$32</f>
        <v>1.2591529531828038</v>
      </c>
      <c r="AD67" s="62">
        <f>KPIs!AD38/KPIs!$AD$32</f>
        <v>1.2450730113346269</v>
      </c>
      <c r="AE67" s="62">
        <f>KPIs!AE38/KPIs!$AE$32</f>
        <v>1.2309765255817517</v>
      </c>
      <c r="AF67" s="62">
        <f>KPIs!AF38/KPIs!$AF$32</f>
        <v>1.2168634667484539</v>
      </c>
      <c r="AG67" s="62">
        <f>KPIs!AG38/KPIs!$AG$32</f>
        <v>1.2027338055903638</v>
      </c>
      <c r="AH67" s="62">
        <f>KPIs!AH38/KPIs!$AH$32</f>
        <v>1.1885875127942682</v>
      </c>
      <c r="AI67" s="56" t="s">
        <v>99</v>
      </c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</row>
    <row r="68" spans="1:80">
      <c r="A68" s="1"/>
      <c r="B68" s="56" t="s">
        <v>56</v>
      </c>
      <c r="C68" s="62">
        <f>KPIs!C39/KPIs!$C$32</f>
        <v>0.38670124970525821</v>
      </c>
      <c r="D68" s="62">
        <f>KPIs!D39/KPIs!$D$32</f>
        <v>0.38993615736347165</v>
      </c>
      <c r="E68" s="62">
        <f>KPIs!E39/KPIs!$E$32</f>
        <v>0.39321136358703906</v>
      </c>
      <c r="F68" s="62">
        <f>KPIs!F39/KPIs!$F$32</f>
        <v>0.39652762611924003</v>
      </c>
      <c r="G68" s="62">
        <f>KPIs!G39/KPIs!$G$32</f>
        <v>0.39988572182053927</v>
      </c>
      <c r="H68" s="62">
        <f>KPIs!H39/KPIs!$H$32</f>
        <v>0.40328644727530072</v>
      </c>
      <c r="I68" s="62">
        <f>KPIs!I39/KPIs!$I$32</f>
        <v>0.40673061942175431</v>
      </c>
      <c r="J68" s="62">
        <f>KPIs!J39/KPIs!$J$32</f>
        <v>0.41021907620626313</v>
      </c>
      <c r="K68" s="62">
        <f>KPIs!K39/KPIs!$K$32</f>
        <v>0.4137526772629917</v>
      </c>
      <c r="L68" s="62">
        <f>KPIs!L39/KPIs!$L$32</f>
        <v>0.41733230462013254</v>
      </c>
      <c r="M68" s="62">
        <f>KPIs!M39/KPIs!$M$32</f>
        <v>0.4209588634339097</v>
      </c>
      <c r="N68" s="62">
        <f>KPIs!N39/KPIs!$N$32</f>
        <v>0.42463328275164391</v>
      </c>
      <c r="O68" s="62">
        <f>KPIs!O39/KPIs!$O$32</f>
        <v>0.42583571627400868</v>
      </c>
      <c r="P68" s="62">
        <f>KPIs!P39/KPIs!$P$32</f>
        <v>0.4270395503114397</v>
      </c>
      <c r="Q68" s="62">
        <f>KPIs!Q39/KPIs!$Q$32</f>
        <v>0.42824478731220395</v>
      </c>
      <c r="R68" s="62">
        <f>KPIs!R39/KPIs!$R$32</f>
        <v>0.42945142973027778</v>
      </c>
      <c r="S68" s="62">
        <f>KPIs!S39/KPIs!$S$32</f>
        <v>0.43065948002536464</v>
      </c>
      <c r="T68" s="62">
        <f>KPIs!T39/KPIs!$T$32</f>
        <v>0.43186894066291054</v>
      </c>
      <c r="U68" s="62">
        <f>KPIs!U39/KPIs!$U$32</f>
        <v>0.43307981411412172</v>
      </c>
      <c r="V68" s="62">
        <f>KPIs!V39/KPIs!$V$32</f>
        <v>0.4342921028559813</v>
      </c>
      <c r="W68" s="62">
        <f>KPIs!W39/KPIs!$W$32</f>
        <v>0.43550580937126582</v>
      </c>
      <c r="X68" s="62">
        <f>KPIs!X39/KPIs!$X$32</f>
        <v>0.43672093614856272</v>
      </c>
      <c r="Y68" s="62">
        <f>KPIs!Y39/KPIs!$Y$32</f>
        <v>0.4379374856822868</v>
      </c>
      <c r="Z68" s="62">
        <f>KPIs!Z39/KPIs!$Z$32</f>
        <v>0.4391554604726976</v>
      </c>
      <c r="AA68" s="62">
        <f>KPIs!AA39/KPIs!$AA$32</f>
        <v>0.44037486302591677</v>
      </c>
      <c r="AB68" s="62">
        <f>KPIs!AB39/KPIs!$AB$32</f>
        <v>0.44159569585394459</v>
      </c>
      <c r="AC68" s="62">
        <f>KPIs!AC39/KPIs!$AC$32</f>
        <v>0.44281796147467789</v>
      </c>
      <c r="AD68" s="62">
        <f>KPIs!AD39/KPIs!$AD$32</f>
        <v>0.44404166241192694</v>
      </c>
      <c r="AE68" s="62">
        <f>KPIs!AE39/KPIs!$AE$32</f>
        <v>0.44526680119543283</v>
      </c>
      <c r="AF68" s="62">
        <f>KPIs!AF39/KPIs!$AF$32</f>
        <v>0.44649338036088537</v>
      </c>
      <c r="AG68" s="62">
        <f>KPIs!AG39/KPIs!$AG$32</f>
        <v>0.44772140244993985</v>
      </c>
      <c r="AH68" s="62">
        <f>KPIs!AH39/KPIs!$AH$32</f>
        <v>0.44895087001023543</v>
      </c>
      <c r="AI68" s="56" t="s">
        <v>100</v>
      </c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</row>
    <row r="69" spans="1:80">
      <c r="A69" s="1"/>
      <c r="B69" s="56" t="s">
        <v>59</v>
      </c>
      <c r="C69" s="62">
        <f>KPIs!C40/KPIs!$C$32</f>
        <v>1.415232256543268</v>
      </c>
      <c r="D69" s="62">
        <f>KPIs!D40/KPIs!$D$32</f>
        <v>1.3859459925804505</v>
      </c>
      <c r="E69" s="62">
        <f>KPIs!E40/KPIs!$E$32</f>
        <v>1.3562948976712892</v>
      </c>
      <c r="F69" s="62">
        <f>KPIs!F40/KPIs!$F$32</f>
        <v>1.3262721118148066</v>
      </c>
      <c r="G69" s="62">
        <f>KPIs!G40/KPIs!$G$32</f>
        <v>1.2958706019383335</v>
      </c>
      <c r="H69" s="62">
        <f>KPIs!H40/KPIs!$H$32</f>
        <v>1.2650831564048124</v>
      </c>
      <c r="I69" s="62">
        <f>KPIs!I40/KPIs!$I$32</f>
        <v>1.2339023793095774</v>
      </c>
      <c r="J69" s="62">
        <f>KPIs!J40/KPIs!$J$32</f>
        <v>1.2023206845571437</v>
      </c>
      <c r="K69" s="62">
        <f>KPIs!K40/KPIs!$K$32</f>
        <v>1.1703302897080374</v>
      </c>
      <c r="L69" s="62">
        <f>KPIs!L40/KPIs!$L$32</f>
        <v>1.1379232095851866</v>
      </c>
      <c r="M69" s="62">
        <f>KPIs!M40/KPIs!$M$32</f>
        <v>1.1050912496288343</v>
      </c>
      <c r="N69" s="62">
        <f>KPIs!N40/KPIs!$N$32</f>
        <v>1.0718259989883663</v>
      </c>
      <c r="O69" s="62">
        <f>KPIs!O40/KPIs!$O$32</f>
        <v>1.0643647037983655</v>
      </c>
      <c r="P69" s="62">
        <f>KPIs!P40/KPIs!$P$32</f>
        <v>1.0568947181850408</v>
      </c>
      <c r="Q69" s="62">
        <f>KPIs!Q40/KPIs!$Q$32</f>
        <v>1.0494160269564996</v>
      </c>
      <c r="R69" s="62">
        <f>KPIs!R40/KPIs!$R$32</f>
        <v>1.0419286148854188</v>
      </c>
      <c r="S69" s="62">
        <f>KPIs!S40/KPIs!$S$32</f>
        <v>1.0344324667089411</v>
      </c>
      <c r="T69" s="62">
        <f>KPIs!T40/KPIs!$T$32</f>
        <v>1.0269275671285722</v>
      </c>
      <c r="U69" s="62">
        <f>KPIs!U40/KPIs!$U$32</f>
        <v>1.0194139008100764</v>
      </c>
      <c r="V69" s="62">
        <f>KPIs!V40/KPIs!$V$32</f>
        <v>1.0118914523833724</v>
      </c>
      <c r="W69" s="62">
        <f>KPIs!W40/KPIs!$W$32</f>
        <v>1.0043602064424273</v>
      </c>
      <c r="X69" s="62">
        <f>KPIs!X40/KPIs!$X$32</f>
        <v>0.99682014754515391</v>
      </c>
      <c r="Y69" s="62">
        <f>KPIs!Y40/KPIs!$Y$32</f>
        <v>0.98927126021330225</v>
      </c>
      <c r="Z69" s="62">
        <f>KPIs!Z40/KPIs!$Z$32</f>
        <v>0.98171352893235531</v>
      </c>
      <c r="AA69" s="62">
        <f>KPIs!AA40/KPIs!$AA$32</f>
        <v>0.97414693815142328</v>
      </c>
      <c r="AB69" s="62">
        <f>KPIs!AB40/KPIs!$AB$32</f>
        <v>0.96657147228313522</v>
      </c>
      <c r="AC69" s="62">
        <f>KPIs!AC40/KPIs!$AC$32</f>
        <v>0.95898711570353357</v>
      </c>
      <c r="AD69" s="62">
        <f>KPIs!AD40/KPIs!$AD$32</f>
        <v>0.95139385275196575</v>
      </c>
      <c r="AE69" s="62">
        <f>KPIs!AE40/KPIs!$AE$32</f>
        <v>0.94379166773097645</v>
      </c>
      <c r="AF69" s="62">
        <f>KPIs!AF40/KPIs!$AF$32</f>
        <v>0.93618054490620051</v>
      </c>
      <c r="AG69" s="62">
        <f>KPIs!AG40/KPIs!$AG$32</f>
        <v>0.92856046850625262</v>
      </c>
      <c r="AH69" s="62">
        <f>KPIs!AH40/KPIs!$AH$32</f>
        <v>0.9209314227226203</v>
      </c>
      <c r="AI69" s="56" t="s">
        <v>101</v>
      </c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</row>
    <row r="70" spans="1:80">
      <c r="A70" s="1"/>
      <c r="B70" s="56" t="s">
        <v>5</v>
      </c>
      <c r="C70" s="62">
        <f>KPIs!C41/KPIs!$C$32</f>
        <v>1.452016033954256</v>
      </c>
      <c r="D70" s="62">
        <f>KPIs!D41/KPIs!$D$32</f>
        <v>1.4551591752221551</v>
      </c>
      <c r="E70" s="62">
        <f>KPIs!E41/KPIs!$E$32</f>
        <v>1.4583414718840202</v>
      </c>
      <c r="F70" s="62">
        <f>KPIs!F41/KPIs!$F$32</f>
        <v>1.4615636601878139</v>
      </c>
      <c r="G70" s="62">
        <f>KPIs!G41/KPIs!$G$32</f>
        <v>1.4648264949563763</v>
      </c>
      <c r="H70" s="62">
        <f>KPIs!H41/KPIs!$H$32</f>
        <v>1.4681307501769285</v>
      </c>
      <c r="I70" s="62">
        <f>KPIs!I41/KPIs!$I$32</f>
        <v>1.4714772196131674</v>
      </c>
      <c r="J70" s="62">
        <f>KPIs!J41/KPIs!$J$32</f>
        <v>1.4748667174409749</v>
      </c>
      <c r="K70" s="62">
        <f>KPIs!K41/KPIs!$K$32</f>
        <v>1.4783000789088039</v>
      </c>
      <c r="L70" s="62">
        <f>KPIs!L41/KPIs!$L$32</f>
        <v>1.4817781610238723</v>
      </c>
      <c r="M70" s="62">
        <f>KPIs!M41/KPIs!$M$32</f>
        <v>1.4853018432653435</v>
      </c>
      <c r="N70" s="62">
        <f>KPIs!N41/KPIs!$N$32</f>
        <v>1.4888720283257462</v>
      </c>
      <c r="O70" s="62">
        <f>KPIs!O41/KPIs!$O$32</f>
        <v>1.4811853126502519</v>
      </c>
      <c r="P70" s="62">
        <f>KPIs!P41/KPIs!$P$32</f>
        <v>1.4734896439965564</v>
      </c>
      <c r="Q70" s="62">
        <f>KPIs!Q41/KPIs!$Q$32</f>
        <v>1.4657850067137901</v>
      </c>
      <c r="R70" s="62">
        <f>KPIs!R41/KPIs!$R$32</f>
        <v>1.4580713851145812</v>
      </c>
      <c r="S70" s="62">
        <f>KPIs!S41/KPIs!$S$32</f>
        <v>1.4503487634749523</v>
      </c>
      <c r="T70" s="62">
        <f>KPIs!T41/KPIs!$T$32</f>
        <v>1.4426171260342115</v>
      </c>
      <c r="U70" s="62">
        <f>KPIs!U41/KPIs!$U$32</f>
        <v>1.4348764569948449</v>
      </c>
      <c r="V70" s="62">
        <f>KPIs!V41/KPIs!$V$32</f>
        <v>1.4271267405224108</v>
      </c>
      <c r="W70" s="62">
        <f>KPIs!W41/KPIs!$W$32</f>
        <v>1.4193679607454299</v>
      </c>
      <c r="X70" s="62">
        <f>KPIs!X41/KPIs!$X$32</f>
        <v>1.4116001017552786</v>
      </c>
      <c r="Y70" s="62">
        <f>KPIs!Y41/KPIs!$Y$32</f>
        <v>1.4038231476060783</v>
      </c>
      <c r="Z70" s="62">
        <f>KPIs!Z41/KPIs!$Z$32</f>
        <v>1.3960370823145882</v>
      </c>
      <c r="AA70" s="62">
        <f>KPIs!AA41/KPIs!$AA$32</f>
        <v>1.3882418898600954</v>
      </c>
      <c r="AB70" s="62">
        <f>KPIs!AB41/KPIs!$AB$32</f>
        <v>1.380437554184303</v>
      </c>
      <c r="AC70" s="62">
        <f>KPIs!AC41/KPIs!$AC$32</f>
        <v>1.3726240591912233</v>
      </c>
      <c r="AD70" s="62">
        <f>KPIs!AD41/KPIs!$AD$32</f>
        <v>1.3648013887470642</v>
      </c>
      <c r="AE70" s="62">
        <f>KPIs!AE41/KPIs!$AE$32</f>
        <v>1.3569695266801194</v>
      </c>
      <c r="AF70" s="62">
        <f>KPIs!AF41/KPIs!$AF$32</f>
        <v>1.3491284567806574</v>
      </c>
      <c r="AG70" s="62">
        <f>KPIs!AG41/KPIs!$AG$32</f>
        <v>1.3412781628008081</v>
      </c>
      <c r="AH70" s="62">
        <f>KPIs!AH41/KPIs!$AH$32</f>
        <v>1.3334186284544525</v>
      </c>
      <c r="AI70" s="56" t="s">
        <v>5</v>
      </c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</row>
    <row r="71" spans="1:80">
      <c r="A71" s="1"/>
      <c r="B71" s="56" t="s">
        <v>6</v>
      </c>
      <c r="C71" s="62">
        <f>KPIs!C42/KPIs!$C$32</f>
        <v>2.2164583824569677</v>
      </c>
      <c r="D71" s="62">
        <f>KPIs!D42/KPIs!$D$32</f>
        <v>2.2230933482874646</v>
      </c>
      <c r="E71" s="62">
        <f>KPIs!E42/KPIs!$E$32</f>
        <v>2.2298109685960457</v>
      </c>
      <c r="F71" s="62">
        <f>KPIs!F42/KPIs!$F$32</f>
        <v>2.2366127975540508</v>
      </c>
      <c r="G71" s="62">
        <f>KPIs!G42/KPIs!$G$32</f>
        <v>2.2435004285431726</v>
      </c>
      <c r="H71" s="62">
        <f>KPIs!H42/KPIs!$H$32</f>
        <v>2.2504754953998583</v>
      </c>
      <c r="I71" s="62">
        <f>KPIs!I42/KPIs!$I$32</f>
        <v>2.2575396737074049</v>
      </c>
      <c r="J71" s="62">
        <f>KPIs!J42/KPIs!$J$32</f>
        <v>2.2646946821378973</v>
      </c>
      <c r="K71" s="62">
        <f>KPIs!K42/KPIs!$K$32</f>
        <v>2.2719422838462409</v>
      </c>
      <c r="L71" s="62">
        <f>KPIs!L42/KPIs!$L$32</f>
        <v>2.2792842879186712</v>
      </c>
      <c r="M71" s="62">
        <f>KPIs!M42/KPIs!$M$32</f>
        <v>2.2867225508782347</v>
      </c>
      <c r="N71" s="62">
        <f>KPIs!N42/KPIs!$N$32</f>
        <v>2.2942589782498737</v>
      </c>
      <c r="O71" s="62">
        <f>KPIs!O42/KPIs!$O$32</f>
        <v>2.2896474934838174</v>
      </c>
      <c r="P71" s="62">
        <f>KPIs!P42/KPIs!$P$32</f>
        <v>2.2850306375651996</v>
      </c>
      <c r="Q71" s="62">
        <f>KPIs!Q42/KPIs!$Q$32</f>
        <v>2.2804084011046086</v>
      </c>
      <c r="R71" s="62">
        <f>KPIs!R42/KPIs!$R$32</f>
        <v>2.2757807746907321</v>
      </c>
      <c r="S71" s="62">
        <f>KPIs!S42/KPIs!$S$32</f>
        <v>2.2711477488902982</v>
      </c>
      <c r="T71" s="62">
        <f>KPIs!T42/KPIs!$T$32</f>
        <v>2.2665093142480077</v>
      </c>
      <c r="U71" s="62">
        <f>KPIs!U42/KPIs!$U$32</f>
        <v>2.2618654612864724</v>
      </c>
      <c r="V71" s="62">
        <f>KPIs!V42/KPIs!$V$32</f>
        <v>2.2572161805061493</v>
      </c>
      <c r="W71" s="62">
        <f>KPIs!W42/KPIs!$W$32</f>
        <v>2.2525614623852745</v>
      </c>
      <c r="X71" s="62">
        <f>KPIs!X42/KPIs!$X$32</f>
        <v>2.2479012973798014</v>
      </c>
      <c r="Y71" s="62">
        <f>KPIs!Y42/KPIs!$Y$32</f>
        <v>2.2432356759233336</v>
      </c>
      <c r="Z71" s="62">
        <f>KPIs!Z42/KPIs!$Z$32</f>
        <v>2.238564588427058</v>
      </c>
      <c r="AA71" s="62">
        <f>KPIs!AA42/KPIs!$AA$32</f>
        <v>2.2338880252796822</v>
      </c>
      <c r="AB71" s="62">
        <f>KPIs!AB42/KPIs!$AB$32</f>
        <v>2.229205976847366</v>
      </c>
      <c r="AC71" s="62">
        <f>KPIs!AC42/KPIs!$AC$32</f>
        <v>2.2245184334736572</v>
      </c>
      <c r="AD71" s="62">
        <f>KPIs!AD42/KPIs!$AD$32</f>
        <v>2.2198253854794241</v>
      </c>
      <c r="AE71" s="62">
        <f>KPIs!AE42/KPIs!$AE$32</f>
        <v>2.2151268231627883</v>
      </c>
      <c r="AF71" s="62">
        <f>KPIs!AF42/KPIs!$AF$32</f>
        <v>2.2104227367990594</v>
      </c>
      <c r="AG71" s="62">
        <f>KPIs!AG42/KPIs!$AG$32</f>
        <v>2.2057131166406667</v>
      </c>
      <c r="AH71" s="62">
        <f>KPIs!AH42/KPIs!$AH$32</f>
        <v>2.2009979529170933</v>
      </c>
      <c r="AI71" s="56" t="s">
        <v>102</v>
      </c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</row>
    <row r="72" spans="1:80">
      <c r="A72" s="1"/>
      <c r="B72" s="56" t="s">
        <v>7</v>
      </c>
      <c r="C72" s="62">
        <f>KPIs!C43/KPIs!$C$32</f>
        <v>0.95142655034190049</v>
      </c>
      <c r="D72" s="62">
        <f>KPIs!D43/KPIs!$D$32</f>
        <v>0.95320722974721761</v>
      </c>
      <c r="E72" s="62">
        <f>KPIs!E43/KPIs!$E$32</f>
        <v>0.95501009180285179</v>
      </c>
      <c r="F72" s="62">
        <f>KPIs!F43/KPIs!$F$32</f>
        <v>0.95683555361432615</v>
      </c>
      <c r="G72" s="62">
        <f>KPIs!G43/KPIs!$G$32</f>
        <v>0.95868404281036401</v>
      </c>
      <c r="H72" s="62">
        <f>KPIs!H43/KPIs!$H$32</f>
        <v>0.96055599787685764</v>
      </c>
      <c r="I72" s="62">
        <f>KPIs!I43/KPIs!$I$32</f>
        <v>0.96245186850363906</v>
      </c>
      <c r="J72" s="62">
        <f>KPIs!J43/KPIs!$J$32</f>
        <v>0.96437211594462613</v>
      </c>
      <c r="K72" s="62">
        <f>KPIs!K43/KPIs!$K$32</f>
        <v>0.96631721339195131</v>
      </c>
      <c r="L72" s="62">
        <f>KPIs!L43/KPIs!$L$32</f>
        <v>0.9682876463647091</v>
      </c>
      <c r="M72" s="62">
        <f>KPIs!M43/KPIs!$M$32</f>
        <v>0.97028391311299433</v>
      </c>
      <c r="N72" s="62">
        <f>KPIs!N43/KPIs!$N$32</f>
        <v>0.97230652503793624</v>
      </c>
      <c r="O72" s="62">
        <f>KPIs!O43/KPIs!$O$32</f>
        <v>0.9694688361970798</v>
      </c>
      <c r="P72" s="62">
        <f>KPIs!P43/KPIs!$P$32</f>
        <v>0.96662784220387898</v>
      </c>
      <c r="Q72" s="62">
        <f>KPIs!Q43/KPIs!$Q$32</f>
        <v>0.96378353728053512</v>
      </c>
      <c r="R72" s="62">
        <f>KPIs!R43/KPIs!$R$32</f>
        <v>0.96093591563577363</v>
      </c>
      <c r="S72" s="62">
        <f>KPIs!S43/KPIs!$S$32</f>
        <v>0.95808497146480665</v>
      </c>
      <c r="T72" s="62">
        <f>KPIs!T43/KPIs!$T$32</f>
        <v>0.95523069894929202</v>
      </c>
      <c r="U72" s="62">
        <f>KPIs!U43/KPIs!$U$32</f>
        <v>0.9523730922572945</v>
      </c>
      <c r="V72" s="62">
        <f>KPIs!V43/KPIs!$V$32</f>
        <v>0.94951214554324626</v>
      </c>
      <c r="W72" s="62">
        <f>KPIs!W43/KPIs!$W$32</f>
        <v>0.94664785294790621</v>
      </c>
      <c r="X72" s="62">
        <f>KPIs!X43/KPIs!$X$32</f>
        <v>0.94378020859832101</v>
      </c>
      <c r="Y72" s="62">
        <f>KPIs!Y43/KPIs!$Y$32</f>
        <v>0.94090920660778388</v>
      </c>
      <c r="Z72" s="62">
        <f>KPIs!Z43/KPIs!$Z$32</f>
        <v>0.9380348410757946</v>
      </c>
      <c r="AA72" s="62">
        <f>KPIs!AA43/KPIs!$AA$32</f>
        <v>0.93515710608802027</v>
      </c>
      <c r="AB72" s="62">
        <f>KPIs!AB43/KPIs!$AB$32</f>
        <v>0.93227599571625264</v>
      </c>
      <c r="AC72" s="62">
        <f>KPIs!AC43/KPIs!$AC$32</f>
        <v>0.92939150401836967</v>
      </c>
      <c r="AD72" s="62">
        <f>KPIs!AD43/KPIs!$AD$32</f>
        <v>0.92650362503829276</v>
      </c>
      <c r="AE72" s="62">
        <f>KPIs!AE43/KPIs!$AE$32</f>
        <v>0.92361235280594645</v>
      </c>
      <c r="AF72" s="62">
        <f>KPIs!AF43/KPIs!$AF$32</f>
        <v>0.92071768133721821</v>
      </c>
      <c r="AG72" s="62">
        <f>KPIs!AG43/KPIs!$AG$32</f>
        <v>0.91781960463391543</v>
      </c>
      <c r="AH72" s="62">
        <f>KPIs!AH43/KPIs!$AH$32</f>
        <v>0.91491811668372569</v>
      </c>
      <c r="AI72" s="56" t="s">
        <v>7</v>
      </c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</row>
    <row r="73" spans="1:80">
      <c r="A73" s="1"/>
      <c r="B73" s="56" t="s">
        <v>72</v>
      </c>
      <c r="C73" s="62">
        <f>KPIs!C44/KPIs!$C$32</f>
        <v>1.3420183918887054</v>
      </c>
      <c r="D73" s="62">
        <f>KPIs!D44/KPIs!$D$32</f>
        <v>1.3473060995600035</v>
      </c>
      <c r="E73" s="62">
        <f>KPIs!E44/KPIs!$E$32</f>
        <v>1.3526596783644769</v>
      </c>
      <c r="F73" s="62">
        <f>KPIs!F44/KPIs!$F$32</f>
        <v>1.3580803668923345</v>
      </c>
      <c r="G73" s="62">
        <f>KPIs!G44/KPIs!$G$32</f>
        <v>1.3635694349823086</v>
      </c>
      <c r="H73" s="62">
        <f>KPIs!H44/KPIs!$H$32</f>
        <v>1.3691281847133756</v>
      </c>
      <c r="I73" s="62">
        <f>KPIs!I44/KPIs!$I$32</f>
        <v>1.3747579514344856</v>
      </c>
      <c r="J73" s="62">
        <f>KPIs!J44/KPIs!$J$32</f>
        <v>1.3804601048340128</v>
      </c>
      <c r="K73" s="62">
        <f>KPIs!K44/KPIs!$K$32</f>
        <v>1.3862360500507269</v>
      </c>
      <c r="L73" s="62">
        <f>KPIs!L44/KPIs!$L$32</f>
        <v>1.3920872288281745</v>
      </c>
      <c r="M73" s="62">
        <f>KPIs!M44/KPIs!$M$32</f>
        <v>1.3980151207144653</v>
      </c>
      <c r="N73" s="62">
        <f>KPIs!N44/KPIs!$N$32</f>
        <v>1.4040212443095599</v>
      </c>
      <c r="O73" s="62">
        <f>KPIs!O44/KPIs!$O$32</f>
        <v>1.4025862287116939</v>
      </c>
      <c r="P73" s="62">
        <f>KPIs!P44/KPIs!$P$32</f>
        <v>1.401149541702537</v>
      </c>
      <c r="Q73" s="62">
        <f>KPIs!Q44/KPIs!$Q$32</f>
        <v>1.3997111803602647</v>
      </c>
      <c r="R73" s="62">
        <f>KPIs!R44/KPIs!$R$32</f>
        <v>1.3982711417562359</v>
      </c>
      <c r="S73" s="62">
        <f>KPIs!S44/KPIs!$S$32</f>
        <v>1.3968294229549778</v>
      </c>
      <c r="T73" s="62">
        <f>KPIs!T44/KPIs!$T$32</f>
        <v>1.395386021014162</v>
      </c>
      <c r="U73" s="62">
        <f>KPIs!U44/KPIs!$U$32</f>
        <v>1.3939409329845855</v>
      </c>
      <c r="V73" s="62">
        <f>KPIs!V44/KPIs!$V$32</f>
        <v>1.3924941559101536</v>
      </c>
      <c r="W73" s="62">
        <f>KPIs!W44/KPIs!$W$32</f>
        <v>1.3910456868278542</v>
      </c>
      <c r="X73" s="62">
        <f>KPIs!X44/KPIs!$X$32</f>
        <v>1.3895955227677437</v>
      </c>
      <c r="Y73" s="62">
        <f>KPIs!Y44/KPIs!$Y$32</f>
        <v>1.3881436607529209</v>
      </c>
      <c r="Z73" s="62">
        <f>KPIs!Z44/KPIs!$Z$32</f>
        <v>1.3866900977995109</v>
      </c>
      <c r="AA73" s="62">
        <f>KPIs!AA44/KPIs!$AA$32</f>
        <v>1.3852348309166433</v>
      </c>
      <c r="AB73" s="62">
        <f>KPIs!AB44/KPIs!$AB$32</f>
        <v>1.3837778571064305</v>
      </c>
      <c r="AC73" s="62">
        <f>KPIs!AC44/KPIs!$AC$32</f>
        <v>1.3823191733639495</v>
      </c>
      <c r="AD73" s="62">
        <f>KPIs!AD44/KPIs!$AD$32</f>
        <v>1.3808587766772187</v>
      </c>
      <c r="AE73" s="62">
        <f>KPIs!AE44/KPIs!$AE$32</f>
        <v>1.3793966640271782</v>
      </c>
      <c r="AF73" s="62">
        <f>KPIs!AF44/KPIs!$AF$32</f>
        <v>1.3779328323876707</v>
      </c>
      <c r="AG73" s="62">
        <f>KPIs!AG44/KPIs!$AG$32</f>
        <v>1.3764672787254173</v>
      </c>
      <c r="AH73" s="62">
        <f>KPIs!AH44/KPIs!$AH$32</f>
        <v>1.375</v>
      </c>
      <c r="AI73" s="56" t="s">
        <v>103</v>
      </c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</row>
    <row r="74" spans="1:80">
      <c r="A74" s="1"/>
      <c r="B74" s="1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</row>
    <row r="75" spans="1:80">
      <c r="A75" s="1"/>
      <c r="B75" s="56" t="s">
        <v>115</v>
      </c>
      <c r="C75" s="56">
        <v>2019</v>
      </c>
      <c r="D75" s="56">
        <v>2020</v>
      </c>
      <c r="E75" s="56">
        <v>2021</v>
      </c>
      <c r="F75" s="56">
        <v>2022</v>
      </c>
      <c r="G75" s="56">
        <v>2023</v>
      </c>
      <c r="H75" s="56">
        <v>2024</v>
      </c>
      <c r="I75" s="56">
        <v>2025</v>
      </c>
      <c r="J75" s="56">
        <v>2026</v>
      </c>
      <c r="K75" s="56">
        <v>2027</v>
      </c>
      <c r="L75" s="56">
        <v>2028</v>
      </c>
      <c r="M75" s="56">
        <v>2029</v>
      </c>
      <c r="N75" s="56">
        <v>2030</v>
      </c>
      <c r="O75" s="56">
        <v>2031</v>
      </c>
      <c r="P75" s="56">
        <v>2032</v>
      </c>
      <c r="Q75" s="56">
        <v>2033</v>
      </c>
      <c r="R75" s="56">
        <v>2034</v>
      </c>
      <c r="S75" s="56">
        <v>2035</v>
      </c>
      <c r="T75" s="56">
        <v>2036</v>
      </c>
      <c r="U75" s="56">
        <v>2037</v>
      </c>
      <c r="V75" s="56">
        <v>2038</v>
      </c>
      <c r="W75" s="56">
        <v>2039</v>
      </c>
      <c r="X75" s="56">
        <v>2040</v>
      </c>
      <c r="Y75" s="56">
        <v>2041</v>
      </c>
      <c r="Z75" s="56">
        <v>2042</v>
      </c>
      <c r="AA75" s="56">
        <v>2043</v>
      </c>
      <c r="AB75" s="56">
        <v>2044</v>
      </c>
      <c r="AC75" s="56">
        <v>2045</v>
      </c>
      <c r="AD75" s="56">
        <v>2046</v>
      </c>
      <c r="AE75" s="56">
        <v>2047</v>
      </c>
      <c r="AF75" s="56">
        <v>2048</v>
      </c>
      <c r="AG75" s="56">
        <v>2049</v>
      </c>
      <c r="AH75" s="56">
        <v>2050</v>
      </c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</row>
    <row r="76" spans="1:80">
      <c r="A76" s="1"/>
      <c r="B76" s="71">
        <v>1</v>
      </c>
      <c r="C76" s="47" t="str">
        <f>VLOOKUP(SMALL($C$61:$C$73,1),$C$61:$AI$73,33,FALSE)</f>
        <v>Gas - CT</v>
      </c>
      <c r="D76" s="48" t="str">
        <f>VLOOKUP(SMALL(D61:D73,1),$D$61:$AI$73,32,FALSE)</f>
        <v>Gas - CT</v>
      </c>
      <c r="E76" s="48" t="str">
        <f>VLOOKUP(SMALL(E61:E73,1),$E$61:$AI$73,31,FALSE)</f>
        <v>Gas - CT</v>
      </c>
      <c r="F76" s="48" t="str">
        <f>VLOOKUP(SMALL(F61:F73,1),$F$61:$AI$73,30,FALSE)</f>
        <v>Gas - CT</v>
      </c>
      <c r="G76" s="48" t="str">
        <f>VLOOKUP(SMALL(G61:G73,1),$G$61:$AI$73,29,FALSE)</f>
        <v>Gas - CT</v>
      </c>
      <c r="H76" s="48" t="str">
        <f>VLOOKUP(SMALL(H61:H73,1),H61:AI73,28,FALSE)</f>
        <v>Gas - CT</v>
      </c>
      <c r="I76" s="48" t="str">
        <f>VLOOKUP(SMALL(I61:I73,1),I61:AI73,27,FALSE)</f>
        <v>Gas - CT</v>
      </c>
      <c r="J76" s="48" t="str">
        <f>VLOOKUP(SMALL(J61:J73,1),J61:AI73,26,FALSE)</f>
        <v>Gas - CT</v>
      </c>
      <c r="K76" s="48" t="str">
        <f>VLOOKUP(SMALL(K61:K73,1),K61:AI73,25,FALSE)</f>
        <v>Gas - CT</v>
      </c>
      <c r="L76" s="48" t="str">
        <f>VLOOKUP(SMALL(L61:L73,1),L61:AI73,24,FALSE)</f>
        <v>Gas - CT</v>
      </c>
      <c r="M76" s="48" t="str">
        <f>VLOOKUP(SMALL(M61:M73,1),M61:AI73,23,FALSE)</f>
        <v>Gas - CT</v>
      </c>
      <c r="N76" s="48" t="str">
        <f>VLOOKUP(SMALL(N61:N73,1),N61:AI73,22,FALSE)</f>
        <v>Solar PV</v>
      </c>
      <c r="O76" s="48" t="str">
        <f>VLOOKUP(SMALL(O61:O73,1),O61:AI73,21,FALSE)</f>
        <v>Solar PV</v>
      </c>
      <c r="P76" s="48" t="str">
        <f>VLOOKUP(SMALL(P61:P73,1),P61:AI73,20,FALSE)</f>
        <v>Solar PV</v>
      </c>
      <c r="Q76" s="48" t="str">
        <f>VLOOKUP(SMALL(Q61:Q73,1),Q61:AI73,19,FALSE)</f>
        <v>Solar PV</v>
      </c>
      <c r="R76" s="48" t="str">
        <f>VLOOKUP(SMALL(R61:R73,1),R61:AI73,18,FALSE)</f>
        <v>Solar PV</v>
      </c>
      <c r="S76" s="48" t="str">
        <f>VLOOKUP(SMALL(S61:S73,1),S61:AI73,17,FALSE)</f>
        <v>Solar PV</v>
      </c>
      <c r="T76" s="48" t="str">
        <f>VLOOKUP(SMALL(T61:T73,1),T61:AI73,16,FALSE)</f>
        <v>Solar PV</v>
      </c>
      <c r="U76" s="48" t="str">
        <f>VLOOKUP(SMALL(U61:U73,1),U61:AI73,15,FALSE)</f>
        <v>Solar PV</v>
      </c>
      <c r="V76" s="48" t="str">
        <f>VLOOKUP(SMALL(V61:V73,1),V61:AI73,14,FALSE)</f>
        <v>Solar PV</v>
      </c>
      <c r="W76" s="48" t="str">
        <f>VLOOKUP(SMALL(W61:W73,1),W61:AI73,13,FALSE)</f>
        <v>Solar PV</v>
      </c>
      <c r="X76" s="48" t="str">
        <f>VLOOKUP(SMALL(X61:X73,1),X61:AI73,12,FALSE)</f>
        <v>Solar PV</v>
      </c>
      <c r="Y76" s="48" t="str">
        <f>VLOOKUP(SMALL(Y61:Y73,1),Y61:AI73,11,FALSE)</f>
        <v>Solar PV</v>
      </c>
      <c r="Z76" s="48" t="str">
        <f>VLOOKUP(SMALL(Z61:Z73,1),Z61:AI73,10,FALSE)</f>
        <v>Solar PV</v>
      </c>
      <c r="AA76" s="48" t="str">
        <f>VLOOKUP(SMALL(AA61:AA73,1),AA61:AI73,9,FALSE)</f>
        <v>Solar PV</v>
      </c>
      <c r="AB76" s="48" t="str">
        <f>VLOOKUP(SMALL(AB61:AB73,1),AB61:AI73,8,FALSE)</f>
        <v>Solar PV</v>
      </c>
      <c r="AC76" s="48" t="str">
        <f>VLOOKUP(SMALL(AC61:AC73,1),AC61:AI73,7,FALSE)</f>
        <v>Solar PV</v>
      </c>
      <c r="AD76" s="48" t="str">
        <f>VLOOKUP(SMALL(AD61:AD73,1),AD61:AI73,6,FALSE)</f>
        <v>Solar PV</v>
      </c>
      <c r="AE76" s="48" t="str">
        <f>VLOOKUP(SMALL(AE61:AE73,1),AE61:AI73,5,FALSE)</f>
        <v>Solar PV</v>
      </c>
      <c r="AF76" s="48" t="str">
        <f>VLOOKUP(SMALL(AF61:AF73,1),AF61:AI73,4,FALSE)</f>
        <v>Solar PV</v>
      </c>
      <c r="AG76" s="48" t="str">
        <f>VLOOKUP(SMALL(AG61:AG73,1),AG61:AI73,3,FALSE)</f>
        <v>Solar PV</v>
      </c>
      <c r="AH76" s="48" t="str">
        <f>VLOOKUP(SMALL(AH61:AH73,1),AH61:AI73,2,FALSE)</f>
        <v>Solar PV</v>
      </c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</row>
    <row r="77" spans="1:80">
      <c r="A77" s="1"/>
      <c r="B77" s="71">
        <v>2</v>
      </c>
      <c r="C77" s="47" t="str">
        <f>VLOOKUP(SMALL($C$61:$C$73,2),$C$61:$AI$73,33,FALSE)</f>
        <v>Gas - CC</v>
      </c>
      <c r="D77" s="48" t="str">
        <f>VLOOKUP(SMALL(D61:D73,2),$D$61:$AI$73,32,FALSE)</f>
        <v>Gas - CC</v>
      </c>
      <c r="E77" s="48" t="str">
        <f>VLOOKUP(SMALL(E61:E73,2),$E$61:$AI$73,31,FALSE)</f>
        <v>Gas - CC</v>
      </c>
      <c r="F77" s="48" t="str">
        <f>VLOOKUP(SMALL(F61:F73,2),$F$61:$AI$73,30,FALSE)</f>
        <v>Gas - CC</v>
      </c>
      <c r="G77" s="48" t="str">
        <f>VLOOKUP(SMALL(G61:G73,2),$G$61:$AI$73,29,FALSE)</f>
        <v>Gas - CC</v>
      </c>
      <c r="H77" s="48" t="str">
        <f>VLOOKUP(SMALL(H61:H73,2),H61:AI73,28,FALSE)</f>
        <v>Gas - CC</v>
      </c>
      <c r="I77" s="48" t="str">
        <f>VLOOKUP(SMALL(I61:I73,2),I61:AI73,27,FALSE)</f>
        <v>Gas - CC</v>
      </c>
      <c r="J77" s="48" t="str">
        <f>VLOOKUP(SMALL(J61:J73,2),J61:AI73,26,FALSE)</f>
        <v>Gas - CC</v>
      </c>
      <c r="K77" s="48" t="str">
        <f>VLOOKUP(SMALL(K61:K73,2),K61:AI73,25,FALSE)</f>
        <v>Gas - CC</v>
      </c>
      <c r="L77" s="48" t="str">
        <f>VLOOKUP(SMALL(L61:L73,2),L61:AI73,24,FALSE)</f>
        <v>Solar PV</v>
      </c>
      <c r="M77" s="48" t="str">
        <f>VLOOKUP(SMALL(M61:M73,2),M61:AI73,23,FALSE)</f>
        <v>Solar PV</v>
      </c>
      <c r="N77" s="48" t="str">
        <f>VLOOKUP(SMALL(N61:N73,2),N61:AI73,22,FALSE)</f>
        <v>Gas - CT</v>
      </c>
      <c r="O77" s="48" t="str">
        <f>VLOOKUP(SMALL(O61:O73,2),O61:AI73,21,FALSE)</f>
        <v>Gas - CT</v>
      </c>
      <c r="P77" s="48" t="str">
        <f>VLOOKUP(SMALL(P61:P73,2),P61:AI73,20,FALSE)</f>
        <v>Gas - CT</v>
      </c>
      <c r="Q77" s="48" t="str">
        <f>VLOOKUP(SMALL(Q61:Q73,2),Q61:AI73,19,FALSE)</f>
        <v>Gas - CT</v>
      </c>
      <c r="R77" s="48" t="str">
        <f>VLOOKUP(SMALL(R61:R73,2),R61:AI73,18,FALSE)</f>
        <v>Gas - CT</v>
      </c>
      <c r="S77" s="48" t="str">
        <f>VLOOKUP(SMALL(S61:S73,2),S61:AI73,17,FALSE)</f>
        <v>Gas - CT</v>
      </c>
      <c r="T77" s="48" t="str">
        <f>VLOOKUP(SMALL(T61:T73,2),T61:AI73,16,FALSE)</f>
        <v>Gas - CT</v>
      </c>
      <c r="U77" s="48" t="str">
        <f>VLOOKUP(SMALL(U61:U73,2),U61:AI73,15,FALSE)</f>
        <v>Gas - CT</v>
      </c>
      <c r="V77" s="48" t="str">
        <f>VLOOKUP(SMALL(V61:V73,2),V61:AI73,14,FALSE)</f>
        <v>Gas - CT</v>
      </c>
      <c r="W77" s="48" t="str">
        <f>VLOOKUP(SMALL(W61:W73,2),W61:AI73,13,FALSE)</f>
        <v>Gas - CT</v>
      </c>
      <c r="X77" s="48" t="str">
        <f>VLOOKUP(SMALL(X61:X73,2),X61:AI73,12,FALSE)</f>
        <v>Gas - CT</v>
      </c>
      <c r="Y77" s="48" t="str">
        <f>VLOOKUP(SMALL(Y61:Y73,2),Y61:AI73,11,FALSE)</f>
        <v>Gas - CT</v>
      </c>
      <c r="Z77" s="48" t="str">
        <f>VLOOKUP(SMALL(Z61:Z73,2),Z61:AI73,10,FALSE)</f>
        <v>Gas - CT</v>
      </c>
      <c r="AA77" s="48" t="str">
        <f>VLOOKUP(SMALL(AA61:AA73,2),AA61:AI73,9,FALSE)</f>
        <v>Gas - CT</v>
      </c>
      <c r="AB77" s="48" t="str">
        <f>VLOOKUP(SMALL(AB61:AB73,2),AB61:AI73,8,FALSE)</f>
        <v>Gas - CT</v>
      </c>
      <c r="AC77" s="48" t="str">
        <f>VLOOKUP(SMALL(AC61:AC73,2),AC61:AI73,7,FALSE)</f>
        <v>Gas - CT</v>
      </c>
      <c r="AD77" s="48" t="str">
        <f>VLOOKUP(SMALL(AD61:AD73,2),AD61:AI73,6,FALSE)</f>
        <v>Gas - CT</v>
      </c>
      <c r="AE77" s="48" t="str">
        <f>VLOOKUP(SMALL(AE61:AE73,2),AE61:AI73,5,FALSE)</f>
        <v>Gas - CT</v>
      </c>
      <c r="AF77" s="48" t="str">
        <f>VLOOKUP(SMALL(AF61:AF73,2),AF61:AI73,4,FALSE)</f>
        <v>Gas - CT</v>
      </c>
      <c r="AG77" s="48" t="str">
        <f>VLOOKUP(SMALL(AG61:AG73,2),AG61:AI73,3,FALSE)</f>
        <v>Gas - CT</v>
      </c>
      <c r="AH77" s="48" t="str">
        <f>VLOOKUP(SMALL(AH61:AH73,2),AH61:AI73,2,FALSE)</f>
        <v>Gas - CT</v>
      </c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</row>
    <row r="78" spans="1:80">
      <c r="A78" s="1"/>
      <c r="B78" s="71">
        <v>3</v>
      </c>
      <c r="C78" s="47" t="str">
        <f>VLOOKUP(SMALL($C$61:$C$73,3),$C$61:$AI$73,33,FALSE)</f>
        <v>Wind On</v>
      </c>
      <c r="D78" s="48" t="str">
        <f>VLOOKUP(SMALL(D61:D73,3),$D$61:$AI$73,32,FALSE)</f>
        <v>Wind On</v>
      </c>
      <c r="E78" s="48" t="str">
        <f>VLOOKUP(SMALL(E61:E73,3),$E$61:$AI$73,31,FALSE)</f>
        <v>Solar PV</v>
      </c>
      <c r="F78" s="48" t="str">
        <f>VLOOKUP(SMALL(F61:F73,3),$F$61:$AI$73,30,FALSE)</f>
        <v>Solar PV</v>
      </c>
      <c r="G78" s="48" t="str">
        <f>VLOOKUP(SMALL(G61:G73,3),$G$61:$AI$73,29,FALSE)</f>
        <v>Solar PV</v>
      </c>
      <c r="H78" s="48" t="str">
        <f>VLOOKUP(SMALL(H61:H73,3),H61:AI73,28,FALSE)</f>
        <v>Solar PV</v>
      </c>
      <c r="I78" s="48" t="str">
        <f>VLOOKUP(SMALL(I61:I73,3),I61:AI73,27,FALSE)</f>
        <v>Solar PV</v>
      </c>
      <c r="J78" s="48" t="str">
        <f>VLOOKUP(SMALL(J61:J73,3),J61:AI73,26,FALSE)</f>
        <v>Solar PV</v>
      </c>
      <c r="K78" s="48" t="str">
        <f>VLOOKUP(SMALL(K61:K73,3),K61:AI73,25,FALSE)</f>
        <v>Solar PV</v>
      </c>
      <c r="L78" s="48" t="str">
        <f>VLOOKUP(SMALL(L61:L73,3),L61:AI73,24,FALSE)</f>
        <v>Gas - CC</v>
      </c>
      <c r="M78" s="48" t="str">
        <f>VLOOKUP(SMALL(M61:M73,3),M61:AI73,23,FALSE)</f>
        <v>Gas - CC</v>
      </c>
      <c r="N78" s="48" t="str">
        <f>VLOOKUP(SMALL(N61:N73,3),N61:AI73,22,FALSE)</f>
        <v>Gas - CC</v>
      </c>
      <c r="O78" s="48" t="str">
        <f>VLOOKUP(SMALL(O61:O73,3),O61:AI73,21,FALSE)</f>
        <v>Gas - CC</v>
      </c>
      <c r="P78" s="48" t="str">
        <f>VLOOKUP(SMALL(P61:P73,3),P61:AI73,20,FALSE)</f>
        <v>Gas - CC</v>
      </c>
      <c r="Q78" s="48" t="str">
        <f>VLOOKUP(SMALL(Q61:Q73,3),Q61:AI73,19,FALSE)</f>
        <v>Gas - CC</v>
      </c>
      <c r="R78" s="48" t="str">
        <f>VLOOKUP(SMALL(R61:R73,3),R61:AI73,18,FALSE)</f>
        <v>Gas - CC</v>
      </c>
      <c r="S78" s="48" t="str">
        <f>VLOOKUP(SMALL(S61:S73,3),S61:AI73,17,FALSE)</f>
        <v>Gas - CC</v>
      </c>
      <c r="T78" s="48" t="str">
        <f>VLOOKUP(SMALL(T61:T73,3),T61:AI73,16,FALSE)</f>
        <v>Gas - CC</v>
      </c>
      <c r="U78" s="48" t="str">
        <f>VLOOKUP(SMALL(U61:U73,3),U61:AI73,15,FALSE)</f>
        <v>Gas - CC</v>
      </c>
      <c r="V78" s="48" t="str">
        <f>VLOOKUP(SMALL(V61:V73,3),V61:AI73,14,FALSE)</f>
        <v>Gas - CC</v>
      </c>
      <c r="W78" s="48" t="str">
        <f>VLOOKUP(SMALL(W61:W73,3),W61:AI73,13,FALSE)</f>
        <v>Gas - CC</v>
      </c>
      <c r="X78" s="48" t="str">
        <f>VLOOKUP(SMALL(X61:X73,3),X61:AI73,12,FALSE)</f>
        <v>Gas - CC</v>
      </c>
      <c r="Y78" s="48" t="str">
        <f>VLOOKUP(SMALL(Y61:Y73,3),Y61:AI73,11,FALSE)</f>
        <v>Gas - CC</v>
      </c>
      <c r="Z78" s="48" t="str">
        <f>VLOOKUP(SMALL(Z61:Z73,3),Z61:AI73,10,FALSE)</f>
        <v>Gas - CC</v>
      </c>
      <c r="AA78" s="48" t="str">
        <f>VLOOKUP(SMALL(AA61:AA73,3),AA61:AI73,9,FALSE)</f>
        <v>Gas - CC</v>
      </c>
      <c r="AB78" s="48" t="str">
        <f>VLOOKUP(SMALL(AB61:AB73,3),AB61:AI73,8,FALSE)</f>
        <v>Gas - CC</v>
      </c>
      <c r="AC78" s="48" t="str">
        <f>VLOOKUP(SMALL(AC61:AC73,3),AC61:AI73,7,FALSE)</f>
        <v>Gas - CC</v>
      </c>
      <c r="AD78" s="48" t="str">
        <f>VLOOKUP(SMALL(AD61:AD73,3),AD61:AI73,6,FALSE)</f>
        <v>Gas - CC</v>
      </c>
      <c r="AE78" s="48" t="str">
        <f>VLOOKUP(SMALL(AE61:AE73,3),AE61:AI73,5,FALSE)</f>
        <v>Gas - CC</v>
      </c>
      <c r="AF78" s="48" t="str">
        <f>VLOOKUP(SMALL(AF61:AF73,3),AF61:AI73,4,FALSE)</f>
        <v>Gas - CC</v>
      </c>
      <c r="AG78" s="48" t="str">
        <f>VLOOKUP(SMALL(AG61:AG73,3),AG61:AI73,3,FALSE)</f>
        <v>Gas - CC</v>
      </c>
      <c r="AH78" s="48" t="str">
        <f>VLOOKUP(SMALL(AH61:AH73,3),AH61:AI73,2,FALSE)</f>
        <v>Gas - CC</v>
      </c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</row>
    <row r="79" spans="1:80">
      <c r="A79" s="1"/>
      <c r="B79" s="71">
        <v>4</v>
      </c>
      <c r="C79" s="47" t="str">
        <f>VLOOKUP(SMALL($C$61:$C$73,4),$C$61:$AI$73,33,FALSE)</f>
        <v>Solar PV</v>
      </c>
      <c r="D79" s="48" t="str">
        <f>VLOOKUP(SMALL(D61:D73,4),$D$61:$AI$73,32,FALSE)</f>
        <v>Solar PV</v>
      </c>
      <c r="E79" s="48" t="str">
        <f>VLOOKUP(SMALL(E61:E73,4),$E$61:$AI$73,31,FALSE)</f>
        <v>Wind On</v>
      </c>
      <c r="F79" s="48" t="str">
        <f>VLOOKUP(SMALL(F61:F73,4),$F$61:$AI$73,30,FALSE)</f>
        <v>Wind On</v>
      </c>
      <c r="G79" s="48" t="str">
        <f>VLOOKUP(SMALL(G61:G73,4),$G$61:$AI$73,29,FALSE)</f>
        <v>Wind On</v>
      </c>
      <c r="H79" s="48" t="str">
        <f>VLOOKUP(SMALL(H61:H73,4),H61:AI73,28,FALSE)</f>
        <v>Wind On</v>
      </c>
      <c r="I79" s="48" t="str">
        <f>VLOOKUP(SMALL(I61:I73,4),I61:AI73,27,FALSE)</f>
        <v>Wind On</v>
      </c>
      <c r="J79" s="48" t="str">
        <f>VLOOKUP(SMALL(J61:J73,4),J61:AI73,26,FALSE)</f>
        <v>Wind On</v>
      </c>
      <c r="K79" s="48" t="str">
        <f>VLOOKUP(SMALL(K61:K73,4),K61:AI73,25,FALSE)</f>
        <v>Wind On</v>
      </c>
      <c r="L79" s="48" t="str">
        <f>VLOOKUP(SMALL(L61:L73,4),L61:AI73,24,FALSE)</f>
        <v>Wind On</v>
      </c>
      <c r="M79" s="48" t="str">
        <f>VLOOKUP(SMALL(M61:M73,4),M61:AI73,23,FALSE)</f>
        <v>Wind On</v>
      </c>
      <c r="N79" s="48" t="str">
        <f>VLOOKUP(SMALL(N61:N73,4),N61:AI73,22,FALSE)</f>
        <v>Wind On</v>
      </c>
      <c r="O79" s="48" t="str">
        <f>VLOOKUP(SMALL(O61:O73,4),O61:AI73,21,FALSE)</f>
        <v>Wind On</v>
      </c>
      <c r="P79" s="48" t="str">
        <f>VLOOKUP(SMALL(P61:P73,4),P61:AI73,20,FALSE)</f>
        <v>Wind On</v>
      </c>
      <c r="Q79" s="48" t="str">
        <f>VLOOKUP(SMALL(Q61:Q73,4),Q61:AI73,19,FALSE)</f>
        <v>Wind On</v>
      </c>
      <c r="R79" s="48" t="str">
        <f>VLOOKUP(SMALL(R61:R73,4),R61:AI73,18,FALSE)</f>
        <v>Wind On</v>
      </c>
      <c r="S79" s="48" t="str">
        <f>VLOOKUP(SMALL(S61:S73,4),S61:AI73,17,FALSE)</f>
        <v>Wind On</v>
      </c>
      <c r="T79" s="48" t="str">
        <f>VLOOKUP(SMALL(T61:T73,4),T61:AI73,16,FALSE)</f>
        <v>Wind On</v>
      </c>
      <c r="U79" s="48" t="str">
        <f>VLOOKUP(SMALL(U61:U73,4),U61:AI73,15,FALSE)</f>
        <v>Wind On</v>
      </c>
      <c r="V79" s="48" t="str">
        <f>VLOOKUP(SMALL(V61:V73,4),V61:AI73,14,FALSE)</f>
        <v>Wind On</v>
      </c>
      <c r="W79" s="48" t="str">
        <f>VLOOKUP(SMALL(W61:W73,4),W61:AI73,13,FALSE)</f>
        <v>Wind On</v>
      </c>
      <c r="X79" s="48" t="str">
        <f>VLOOKUP(SMALL(X61:X73,4),X61:AI73,12,FALSE)</f>
        <v>Wind On</v>
      </c>
      <c r="Y79" s="48" t="str">
        <f>VLOOKUP(SMALL(Y61:Y73,4),Y61:AI73,11,FALSE)</f>
        <v>Wind On</v>
      </c>
      <c r="Z79" s="48" t="str">
        <f>VLOOKUP(SMALL(Z61:Z73,4),Z61:AI73,10,FALSE)</f>
        <v>Wind On</v>
      </c>
      <c r="AA79" s="48" t="str">
        <f>VLOOKUP(SMALL(AA61:AA73,4),AA61:AI73,9,FALSE)</f>
        <v>Wind On</v>
      </c>
      <c r="AB79" s="48" t="str">
        <f>VLOOKUP(SMALL(AB61:AB73,4),AB61:AI73,8,FALSE)</f>
        <v>Wind On</v>
      </c>
      <c r="AC79" s="48" t="str">
        <f>VLOOKUP(SMALL(AC61:AC73,4),AC61:AI73,7,FALSE)</f>
        <v>Wind On</v>
      </c>
      <c r="AD79" s="48" t="str">
        <f>VLOOKUP(SMALL(AD61:AD73,4),AD61:AI73,6,FALSE)</f>
        <v>Wind On</v>
      </c>
      <c r="AE79" s="48" t="str">
        <f>VLOOKUP(SMALL(AE61:AE73,4),AE61:AI73,5,FALSE)</f>
        <v>Gas CCS</v>
      </c>
      <c r="AF79" s="48" t="str">
        <f>VLOOKUP(SMALL(AF61:AF73,4),AF61:AI73,4,FALSE)</f>
        <v>Gas CCS</v>
      </c>
      <c r="AG79" s="48" t="str">
        <f>VLOOKUP(SMALL(AG61:AG73,4),AG61:AI73,3,FALSE)</f>
        <v>Gas CCS</v>
      </c>
      <c r="AH79" s="48" t="str">
        <f>VLOOKUP(SMALL(AH61:AH73,4),AH61:AI73,2,FALSE)</f>
        <v>Gas CCS</v>
      </c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</row>
    <row r="80" spans="1:80">
      <c r="A80" s="1"/>
      <c r="B80" s="71">
        <v>5</v>
      </c>
      <c r="C80" s="47" t="str">
        <f>VLOOKUP(SMALL($C$61:$C$73,5),$C$61:$AI$73,33,FALSE)</f>
        <v>Gas CCS</v>
      </c>
      <c r="D80" s="48" t="str">
        <f>VLOOKUP(SMALL(D61:D73,5),$D$61:$AI$73,32,FALSE)</f>
        <v>Gas CCS</v>
      </c>
      <c r="E80" s="48" t="str">
        <f>VLOOKUP(SMALL(E61:E73,5),$E$61:$AI$73,31,FALSE)</f>
        <v>Gas CCS</v>
      </c>
      <c r="F80" s="48" t="str">
        <f>VLOOKUP(SMALL(F61:F73,5),$F$61:$AI$73,30,FALSE)</f>
        <v>Gas CCS</v>
      </c>
      <c r="G80" s="48" t="str">
        <f>VLOOKUP(SMALL(G61:G73,5),$G$61:$AI$73,29,FALSE)</f>
        <v>Gas CCS</v>
      </c>
      <c r="H80" s="48" t="str">
        <f>VLOOKUP(SMALL(H61:H73,5),H61:AI73,28,FALSE)</f>
        <v>Gas CCS</v>
      </c>
      <c r="I80" s="48" t="str">
        <f>VLOOKUP(SMALL(I61:I73,5),I61:AI73,27,FALSE)</f>
        <v>Gas CCS</v>
      </c>
      <c r="J80" s="48" t="str">
        <f>VLOOKUP(SMALL(J61:J73,5),J61:AI73,26,FALSE)</f>
        <v>Gas CCS</v>
      </c>
      <c r="K80" s="48" t="str">
        <f>VLOOKUP(SMALL(K61:K73,5),K61:AI73,25,FALSE)</f>
        <v>Gas CCS</v>
      </c>
      <c r="L80" s="48" t="str">
        <f>VLOOKUP(SMALL(L61:L73,5),L61:AI73,24,FALSE)</f>
        <v>Gas CCS</v>
      </c>
      <c r="M80" s="48" t="str">
        <f>VLOOKUP(SMALL(M61:M73,5),M61:AI73,23,FALSE)</f>
        <v>Gas CCS</v>
      </c>
      <c r="N80" s="48" t="str">
        <f>VLOOKUP(SMALL(N61:N73,5),N61:AI73,22,FALSE)</f>
        <v>Gas CCS</v>
      </c>
      <c r="O80" s="48" t="str">
        <f>VLOOKUP(SMALL(O61:O73,5),O61:AI73,21,FALSE)</f>
        <v>Gas CCS</v>
      </c>
      <c r="P80" s="48" t="str">
        <f>VLOOKUP(SMALL(P61:P73,5),P61:AI73,20,FALSE)</f>
        <v>Gas CCS</v>
      </c>
      <c r="Q80" s="48" t="str">
        <f>VLOOKUP(SMALL(Q61:Q73,5),Q61:AI73,19,FALSE)</f>
        <v>Gas CCS</v>
      </c>
      <c r="R80" s="48" t="str">
        <f>VLOOKUP(SMALL(R61:R73,5),R61:AI73,18,FALSE)</f>
        <v>Gas CCS</v>
      </c>
      <c r="S80" s="48" t="str">
        <f>VLOOKUP(SMALL(S61:S73,5),S61:AI73,17,FALSE)</f>
        <v>Gas CCS</v>
      </c>
      <c r="T80" s="48" t="str">
        <f>VLOOKUP(SMALL(T61:T73,5),T61:AI73,16,FALSE)</f>
        <v>Gas CCS</v>
      </c>
      <c r="U80" s="48" t="str">
        <f>VLOOKUP(SMALL(U61:U73,5),U61:AI73,15,FALSE)</f>
        <v>Gas CCS</v>
      </c>
      <c r="V80" s="48" t="str">
        <f>VLOOKUP(SMALL(V61:V73,5),V61:AI73,14,FALSE)</f>
        <v>Gas CCS</v>
      </c>
      <c r="W80" s="48" t="str">
        <f>VLOOKUP(SMALL(W61:W73,5),W61:AI73,13,FALSE)</f>
        <v>Gas CCS</v>
      </c>
      <c r="X80" s="48" t="str">
        <f>VLOOKUP(SMALL(X61:X73,5),X61:AI73,12,FALSE)</f>
        <v>Gas CCS</v>
      </c>
      <c r="Y80" s="48" t="str">
        <f>VLOOKUP(SMALL(Y61:Y73,5),Y61:AI73,11,FALSE)</f>
        <v>Gas CCS</v>
      </c>
      <c r="Z80" s="48" t="str">
        <f>VLOOKUP(SMALL(Z61:Z73,5),Z61:AI73,10,FALSE)</f>
        <v>Gas CCS</v>
      </c>
      <c r="AA80" s="48" t="str">
        <f>VLOOKUP(SMALL(AA61:AA73,5),AA61:AI73,9,FALSE)</f>
        <v>Gas CCS</v>
      </c>
      <c r="AB80" s="48" t="str">
        <f>VLOOKUP(SMALL(AB61:AB73,5),AB61:AI73,8,FALSE)</f>
        <v>Gas CCS</v>
      </c>
      <c r="AC80" s="48" t="str">
        <f>VLOOKUP(SMALL(AC61:AC73,5),AC61:AI73,7,FALSE)</f>
        <v>Gas CCS</v>
      </c>
      <c r="AD80" s="48" t="str">
        <f>VLOOKUP(SMALL(AD61:AD73,5),AD61:AI73,6,FALSE)</f>
        <v>Gas CCS</v>
      </c>
      <c r="AE80" s="48" t="str">
        <f>VLOOKUP(SMALL(AE61:AE73,5),AE61:AI73,5,FALSE)</f>
        <v>Wind On</v>
      </c>
      <c r="AF80" s="48" t="str">
        <f>VLOOKUP(SMALL(AF61:AF73,5),AF61:AI73,4,FALSE)</f>
        <v>Wind On</v>
      </c>
      <c r="AG80" s="48" t="str">
        <f>VLOOKUP(SMALL(AG61:AG73,5),AG61:AI73,3,FALSE)</f>
        <v>Wind On</v>
      </c>
      <c r="AH80" s="48" t="str">
        <f>VLOOKUP(SMALL(AH61:AH73,5),AH61:AI73,2,FALSE)</f>
        <v>Wind On</v>
      </c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</row>
    <row r="81" spans="1:80">
      <c r="A81" s="1"/>
      <c r="B81" s="1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</row>
    <row r="82" spans="1:80">
      <c r="A82" s="1"/>
      <c r="B82" s="71" t="s">
        <v>116</v>
      </c>
      <c r="C82" s="71">
        <v>2019</v>
      </c>
      <c r="D82" s="71">
        <v>2020</v>
      </c>
      <c r="E82" s="71">
        <v>2021</v>
      </c>
      <c r="F82" s="71">
        <v>2022</v>
      </c>
      <c r="G82" s="71">
        <v>2023</v>
      </c>
      <c r="H82" s="71">
        <v>2024</v>
      </c>
      <c r="I82" s="71">
        <v>2025</v>
      </c>
      <c r="J82" s="71">
        <v>2026</v>
      </c>
      <c r="K82" s="71">
        <v>2027</v>
      </c>
      <c r="L82" s="71">
        <v>2028</v>
      </c>
      <c r="M82" s="71">
        <v>2029</v>
      </c>
      <c r="N82" s="71">
        <v>2030</v>
      </c>
      <c r="O82" s="71">
        <v>2031</v>
      </c>
      <c r="P82" s="71">
        <v>2032</v>
      </c>
      <c r="Q82" s="71">
        <v>2033</v>
      </c>
      <c r="R82" s="71">
        <v>2034</v>
      </c>
      <c r="S82" s="71">
        <v>2035</v>
      </c>
      <c r="T82" s="71">
        <v>2036</v>
      </c>
      <c r="U82" s="71">
        <v>2037</v>
      </c>
      <c r="V82" s="71">
        <v>2038</v>
      </c>
      <c r="W82" s="71">
        <v>2039</v>
      </c>
      <c r="X82" s="71">
        <v>2040</v>
      </c>
      <c r="Y82" s="71">
        <v>2041</v>
      </c>
      <c r="Z82" s="71">
        <v>2042</v>
      </c>
      <c r="AA82" s="71">
        <v>2043</v>
      </c>
      <c r="AB82" s="71">
        <v>2044</v>
      </c>
      <c r="AC82" s="71">
        <v>2045</v>
      </c>
      <c r="AD82" s="71">
        <v>2046</v>
      </c>
      <c r="AE82" s="71">
        <v>2047</v>
      </c>
      <c r="AF82" s="71">
        <v>2048</v>
      </c>
      <c r="AG82" s="71">
        <v>2049</v>
      </c>
      <c r="AH82" s="71">
        <v>2050</v>
      </c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</row>
    <row r="83" spans="1:80">
      <c r="A83" s="1"/>
      <c r="B83" s="71">
        <v>1</v>
      </c>
      <c r="C83" s="79">
        <f t="shared" ref="C83:AH83" si="5">SMALL(C61:C73,1)</f>
        <v>0.212685687337892</v>
      </c>
      <c r="D83" s="79">
        <f t="shared" si="5"/>
        <v>0.21292382020533174</v>
      </c>
      <c r="E83" s="79">
        <f t="shared" si="5"/>
        <v>0.21316491959111919</v>
      </c>
      <c r="F83" s="79">
        <f t="shared" si="5"/>
        <v>0.21340904127538762</v>
      </c>
      <c r="G83" s="79">
        <f t="shared" si="5"/>
        <v>0.21365624244555304</v>
      </c>
      <c r="H83" s="79">
        <f t="shared" si="5"/>
        <v>0.21390658174097663</v>
      </c>
      <c r="I83" s="79">
        <f t="shared" si="5"/>
        <v>0.21416011929933895</v>
      </c>
      <c r="J83" s="79">
        <f t="shared" si="5"/>
        <v>0.21441691680480263</v>
      </c>
      <c r="K83" s="79">
        <f t="shared" si="5"/>
        <v>0.21467703753804529</v>
      </c>
      <c r="L83" s="79">
        <f t="shared" si="5"/>
        <v>0.21494054642824728</v>
      </c>
      <c r="M83" s="79">
        <f t="shared" si="5"/>
        <v>0.21520751010712408</v>
      </c>
      <c r="N83" s="79">
        <f t="shared" si="5"/>
        <v>0.20763783510369246</v>
      </c>
      <c r="O83" s="79">
        <f t="shared" si="5"/>
        <v>0.20583546321836171</v>
      </c>
      <c r="P83" s="79">
        <f t="shared" si="5"/>
        <v>0.20403099204942521</v>
      </c>
      <c r="Q83" s="79">
        <f t="shared" si="5"/>
        <v>0.20222441792708573</v>
      </c>
      <c r="R83" s="79">
        <f t="shared" si="5"/>
        <v>0.20041573717298722</v>
      </c>
      <c r="S83" s="79">
        <f t="shared" si="5"/>
        <v>0.19860494610019022</v>
      </c>
      <c r="T83" s="79">
        <f t="shared" si="5"/>
        <v>0.19679204101314654</v>
      </c>
      <c r="U83" s="79">
        <f t="shared" si="5"/>
        <v>0.19497701820767413</v>
      </c>
      <c r="V83" s="79">
        <f t="shared" si="5"/>
        <v>0.19315987397093201</v>
      </c>
      <c r="W83" s="79">
        <f t="shared" si="5"/>
        <v>0.19134060458139476</v>
      </c>
      <c r="X83" s="79">
        <f t="shared" si="5"/>
        <v>0.18951920630882726</v>
      </c>
      <c r="Y83" s="79">
        <f t="shared" si="5"/>
        <v>0.18769567541425916</v>
      </c>
      <c r="Z83" s="79">
        <f t="shared" si="5"/>
        <v>0.18587000814995924</v>
      </c>
      <c r="AA83" s="79">
        <f t="shared" si="5"/>
        <v>0.18404220075940983</v>
      </c>
      <c r="AB83" s="79">
        <f t="shared" si="5"/>
        <v>0.18221224947728085</v>
      </c>
      <c r="AC83" s="79">
        <f t="shared" si="5"/>
        <v>0.18038015052940426</v>
      </c>
      <c r="AD83" s="79">
        <f t="shared" si="5"/>
        <v>0.17854590013274788</v>
      </c>
      <c r="AE83" s="79">
        <f t="shared" si="5"/>
        <v>0.17670949449538939</v>
      </c>
      <c r="AF83" s="79">
        <f t="shared" si="5"/>
        <v>0.17487092981649033</v>
      </c>
      <c r="AG83" s="79">
        <f t="shared" si="5"/>
        <v>0.17303020228626959</v>
      </c>
      <c r="AH83" s="79">
        <f t="shared" si="5"/>
        <v>0.17118730808597749</v>
      </c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</row>
    <row r="84" spans="1:80">
      <c r="A84" s="1"/>
      <c r="B84" s="71">
        <v>2</v>
      </c>
      <c r="C84" s="79">
        <f t="shared" ref="C84:AH84" si="6">SMALL(C61:C73,2)</f>
        <v>0.24852629096911105</v>
      </c>
      <c r="D84" s="79">
        <f t="shared" si="6"/>
        <v>0.24892157708566992</v>
      </c>
      <c r="E84" s="79">
        <f t="shared" si="6"/>
        <v>0.24932178744275882</v>
      </c>
      <c r="F84" s="79">
        <f t="shared" si="6"/>
        <v>0.24972701463201569</v>
      </c>
      <c r="G84" s="79">
        <f t="shared" si="6"/>
        <v>0.25013735358108258</v>
      </c>
      <c r="H84" s="79">
        <f>SMALL(H61:H73,2)</f>
        <v>0.25055290162774241</v>
      </c>
      <c r="I84" s="79">
        <f t="shared" si="6"/>
        <v>0.2509737585968973</v>
      </c>
      <c r="J84" s="79">
        <f t="shared" si="6"/>
        <v>0.2514000268805161</v>
      </c>
      <c r="K84" s="79">
        <f t="shared" si="6"/>
        <v>0.2518318115206854</v>
      </c>
      <c r="L84" s="79">
        <f t="shared" si="6"/>
        <v>0.24836616138694745</v>
      </c>
      <c r="M84" s="79">
        <f t="shared" si="6"/>
        <v>0.22813549256526805</v>
      </c>
      <c r="N84" s="79">
        <f t="shared" si="6"/>
        <v>0.21547799696509864</v>
      </c>
      <c r="O84" s="79">
        <f t="shared" si="6"/>
        <v>0.21476832755522943</v>
      </c>
      <c r="P84" s="79">
        <f t="shared" si="6"/>
        <v>0.21405783156935229</v>
      </c>
      <c r="Q84" s="79">
        <f t="shared" si="6"/>
        <v>0.21334650756251425</v>
      </c>
      <c r="R84" s="79">
        <f t="shared" si="6"/>
        <v>0.2126343540863922</v>
      </c>
      <c r="S84" s="79">
        <f t="shared" si="6"/>
        <v>0.21192136968928346</v>
      </c>
      <c r="T84" s="79">
        <f t="shared" si="6"/>
        <v>0.21120755291609566</v>
      </c>
      <c r="U84" s="79">
        <f t="shared" si="6"/>
        <v>0.21049290230833692</v>
      </c>
      <c r="V84" s="79">
        <f t="shared" si="6"/>
        <v>0.20977741640410613</v>
      </c>
      <c r="W84" s="79">
        <f t="shared" si="6"/>
        <v>0.20906109373808252</v>
      </c>
      <c r="X84" s="79">
        <f t="shared" si="6"/>
        <v>0.20834393284151614</v>
      </c>
      <c r="Y84" s="79">
        <f t="shared" si="6"/>
        <v>0.20762593224221754</v>
      </c>
      <c r="Z84" s="79">
        <f t="shared" si="6"/>
        <v>0.20690709046454767</v>
      </c>
      <c r="AA84" s="79">
        <f t="shared" si="6"/>
        <v>0.20618740602940802</v>
      </c>
      <c r="AB84" s="79">
        <f t="shared" si="6"/>
        <v>0.20546687745423017</v>
      </c>
      <c r="AC84" s="79">
        <f t="shared" si="6"/>
        <v>0.20474550325296595</v>
      </c>
      <c r="AD84" s="79">
        <f t="shared" si="6"/>
        <v>0.2040232819360768</v>
      </c>
      <c r="AE84" s="79">
        <f t="shared" si="6"/>
        <v>0.2033002120105239</v>
      </c>
      <c r="AF84" s="79">
        <f t="shared" si="6"/>
        <v>0.20257629197975771</v>
      </c>
      <c r="AG84" s="79">
        <f t="shared" si="6"/>
        <v>0.20185152034370762</v>
      </c>
      <c r="AH84" s="79">
        <f t="shared" si="6"/>
        <v>0.20112589559877175</v>
      </c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</row>
    <row r="85" spans="1:80">
      <c r="A85" s="1"/>
      <c r="B85" s="71">
        <v>3</v>
      </c>
      <c r="C85" s="79">
        <f t="shared" ref="C85:AH85" si="7">SMALL(C61:C73,3)</f>
        <v>0.38670124970525821</v>
      </c>
      <c r="D85" s="79">
        <f t="shared" si="7"/>
        <v>0.38993615736347165</v>
      </c>
      <c r="E85" s="79">
        <f t="shared" si="7"/>
        <v>0.38292423551880544</v>
      </c>
      <c r="F85" s="79">
        <f t="shared" si="7"/>
        <v>0.3644245468442891</v>
      </c>
      <c r="G85" s="79">
        <f t="shared" si="7"/>
        <v>0.34569149286860207</v>
      </c>
      <c r="H85" s="79">
        <f t="shared" si="7"/>
        <v>0.3267206298655343</v>
      </c>
      <c r="I85" s="79">
        <f t="shared" si="7"/>
        <v>0.30750740056533643</v>
      </c>
      <c r="J85" s="79">
        <f t="shared" si="7"/>
        <v>0.28804713050490571</v>
      </c>
      <c r="K85" s="79">
        <f t="shared" si="7"/>
        <v>0.26833502423627548</v>
      </c>
      <c r="L85" s="79">
        <f t="shared" si="7"/>
        <v>0.25226922029590632</v>
      </c>
      <c r="M85" s="79">
        <f t="shared" si="7"/>
        <v>0.25271236381078555</v>
      </c>
      <c r="N85" s="79">
        <f t="shared" si="7"/>
        <v>0.25316135558927666</v>
      </c>
      <c r="O85" s="79">
        <f t="shared" si="7"/>
        <v>0.25237239669003214</v>
      </c>
      <c r="P85" s="79">
        <f t="shared" si="7"/>
        <v>0.25158251886362487</v>
      </c>
      <c r="Q85" s="79">
        <f t="shared" si="7"/>
        <v>0.25079172050366094</v>
      </c>
      <c r="R85" s="79">
        <f t="shared" si="7"/>
        <v>0.25</v>
      </c>
      <c r="S85" s="79">
        <f t="shared" si="7"/>
        <v>0.24920735573874445</v>
      </c>
      <c r="T85" s="79">
        <f t="shared" si="7"/>
        <v>0.24841378610222831</v>
      </c>
      <c r="U85" s="79">
        <f t="shared" si="7"/>
        <v>0.24761928946900633</v>
      </c>
      <c r="V85" s="79">
        <f t="shared" si="7"/>
        <v>0.24682386421384286</v>
      </c>
      <c r="W85" s="79">
        <f t="shared" si="7"/>
        <v>0.2460275087077009</v>
      </c>
      <c r="X85" s="79">
        <f t="shared" si="7"/>
        <v>0.24523022131773087</v>
      </c>
      <c r="Y85" s="79">
        <f t="shared" si="7"/>
        <v>0.2444320004072594</v>
      </c>
      <c r="Z85" s="79">
        <f t="shared" si="7"/>
        <v>0.24363284433577831</v>
      </c>
      <c r="AA85" s="79">
        <f t="shared" si="7"/>
        <v>0.24283275145893327</v>
      </c>
      <c r="AB85" s="79">
        <f t="shared" si="7"/>
        <v>0.24203172012851243</v>
      </c>
      <c r="AC85" s="79">
        <f t="shared" si="7"/>
        <v>0.24122974869243527</v>
      </c>
      <c r="AD85" s="79">
        <f t="shared" si="7"/>
        <v>0.24042683549474114</v>
      </c>
      <c r="AE85" s="79">
        <f t="shared" si="7"/>
        <v>0.23962297887557793</v>
      </c>
      <c r="AF85" s="79">
        <f t="shared" si="7"/>
        <v>0.2388181771711905</v>
      </c>
      <c r="AG85" s="79">
        <f t="shared" si="7"/>
        <v>0.23801242871390943</v>
      </c>
      <c r="AH85" s="79">
        <f t="shared" si="7"/>
        <v>0.23720573183213919</v>
      </c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</row>
    <row r="86" spans="1:80">
      <c r="A86" s="1"/>
      <c r="B86" s="71">
        <v>4</v>
      </c>
      <c r="C86" s="79">
        <f t="shared" ref="C86:AH86" si="8">SMALL(C61:C73,4)</f>
        <v>0.41924074510728604</v>
      </c>
      <c r="D86" s="79">
        <f t="shared" si="8"/>
        <v>0.4011948925890777</v>
      </c>
      <c r="E86" s="79">
        <f t="shared" si="8"/>
        <v>0.39321136358703906</v>
      </c>
      <c r="F86" s="79">
        <f t="shared" si="8"/>
        <v>0.39652762611924003</v>
      </c>
      <c r="G86" s="79">
        <f t="shared" si="8"/>
        <v>0.39988572182053927</v>
      </c>
      <c r="H86" s="79">
        <f t="shared" si="8"/>
        <v>0.40328644727530072</v>
      </c>
      <c r="I86" s="79">
        <f t="shared" si="8"/>
        <v>0.40673061942175431</v>
      </c>
      <c r="J86" s="79">
        <f t="shared" si="8"/>
        <v>0.41021907620626313</v>
      </c>
      <c r="K86" s="79">
        <f t="shared" si="8"/>
        <v>0.4137526772629917</v>
      </c>
      <c r="L86" s="79">
        <f t="shared" si="8"/>
        <v>0.41733230462013254</v>
      </c>
      <c r="M86" s="79">
        <f t="shared" si="8"/>
        <v>0.4209588634339097</v>
      </c>
      <c r="N86" s="79">
        <f t="shared" si="8"/>
        <v>0.42463328275164391</v>
      </c>
      <c r="O86" s="79">
        <f t="shared" si="8"/>
        <v>0.42583571627400868</v>
      </c>
      <c r="P86" s="79">
        <f t="shared" si="8"/>
        <v>0.4270395503114397</v>
      </c>
      <c r="Q86" s="79">
        <f t="shared" si="8"/>
        <v>0.42824478731220395</v>
      </c>
      <c r="R86" s="79">
        <f t="shared" si="8"/>
        <v>0.42945142973027778</v>
      </c>
      <c r="S86" s="79">
        <f t="shared" si="8"/>
        <v>0.43065948002536464</v>
      </c>
      <c r="T86" s="79">
        <f t="shared" si="8"/>
        <v>0.43186894066291054</v>
      </c>
      <c r="U86" s="79">
        <f t="shared" si="8"/>
        <v>0.43307981411412172</v>
      </c>
      <c r="V86" s="79">
        <f t="shared" si="8"/>
        <v>0.4342921028559813</v>
      </c>
      <c r="W86" s="79">
        <f t="shared" si="8"/>
        <v>0.43550580937126582</v>
      </c>
      <c r="X86" s="79">
        <f t="shared" si="8"/>
        <v>0.43672093614856272</v>
      </c>
      <c r="Y86" s="79">
        <f t="shared" si="8"/>
        <v>0.4379374856822868</v>
      </c>
      <c r="Z86" s="79">
        <f t="shared" si="8"/>
        <v>0.4391554604726976</v>
      </c>
      <c r="AA86" s="79">
        <f t="shared" si="8"/>
        <v>0.44037486302591677</v>
      </c>
      <c r="AB86" s="79">
        <f t="shared" si="8"/>
        <v>0.44159569585394459</v>
      </c>
      <c r="AC86" s="79">
        <f t="shared" si="8"/>
        <v>0.44281796147467789</v>
      </c>
      <c r="AD86" s="79">
        <f t="shared" si="8"/>
        <v>0.44404166241192694</v>
      </c>
      <c r="AE86" s="79">
        <f t="shared" si="8"/>
        <v>0.44473677488569308</v>
      </c>
      <c r="AF86" s="79">
        <f t="shared" si="8"/>
        <v>0.44124111843786745</v>
      </c>
      <c r="AG86" s="79">
        <f t="shared" si="8"/>
        <v>0.43774134976855994</v>
      </c>
      <c r="AH86" s="79">
        <f t="shared" si="8"/>
        <v>0.43423746161719551</v>
      </c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</row>
    <row r="87" spans="1:80">
      <c r="A87" s="1"/>
      <c r="B87" s="71">
        <v>5</v>
      </c>
      <c r="C87" s="79">
        <f t="shared" ref="C87:AH87" si="9">SMALL(C61:C73,5)</f>
        <v>0.51898137231784958</v>
      </c>
      <c r="D87" s="79">
        <f t="shared" si="9"/>
        <v>0.51766456733672683</v>
      </c>
      <c r="E87" s="79">
        <f t="shared" si="9"/>
        <v>0.51633135837836663</v>
      </c>
      <c r="F87" s="79">
        <f t="shared" si="9"/>
        <v>0.514981436994977</v>
      </c>
      <c r="G87" s="79">
        <f t="shared" si="9"/>
        <v>0.51361448695690382</v>
      </c>
      <c r="H87" s="79">
        <f t="shared" si="9"/>
        <v>0.51223018400566167</v>
      </c>
      <c r="I87" s="79">
        <f t="shared" si="9"/>
        <v>0.51082819559749826</v>
      </c>
      <c r="J87" s="79">
        <f t="shared" si="9"/>
        <v>0.50940818063706828</v>
      </c>
      <c r="K87" s="79">
        <f t="shared" si="9"/>
        <v>0.50796978920076652</v>
      </c>
      <c r="L87" s="79">
        <f t="shared" si="9"/>
        <v>0.50651266224925118</v>
      </c>
      <c r="M87" s="79">
        <f t="shared" si="9"/>
        <v>0.5050364313286585</v>
      </c>
      <c r="N87" s="79">
        <f t="shared" si="9"/>
        <v>0.50354071825998992</v>
      </c>
      <c r="O87" s="79">
        <f t="shared" si="9"/>
        <v>0.50011387504112159</v>
      </c>
      <c r="P87" s="79">
        <f t="shared" si="9"/>
        <v>0.49668304046184225</v>
      </c>
      <c r="Q87" s="79">
        <f t="shared" si="9"/>
        <v>0.49324820754477977</v>
      </c>
      <c r="R87" s="79">
        <f t="shared" si="9"/>
        <v>0.48980936929628877</v>
      </c>
      <c r="S87" s="79">
        <f t="shared" si="9"/>
        <v>0.48636651870640457</v>
      </c>
      <c r="T87" s="79">
        <f t="shared" si="9"/>
        <v>0.48291964874879451</v>
      </c>
      <c r="U87" s="79">
        <f t="shared" si="9"/>
        <v>0.47946875238071052</v>
      </c>
      <c r="V87" s="79">
        <f t="shared" si="9"/>
        <v>0.47601382254294139</v>
      </c>
      <c r="W87" s="79">
        <f t="shared" si="9"/>
        <v>0.47255485215976406</v>
      </c>
      <c r="X87" s="79">
        <f t="shared" si="9"/>
        <v>0.46909183413889594</v>
      </c>
      <c r="Y87" s="79">
        <f t="shared" si="9"/>
        <v>0.46562476137144604</v>
      </c>
      <c r="Z87" s="79">
        <f t="shared" si="9"/>
        <v>0.46215362673186633</v>
      </c>
      <c r="AA87" s="79">
        <f t="shared" si="9"/>
        <v>0.45867842307790324</v>
      </c>
      <c r="AB87" s="79">
        <f t="shared" si="9"/>
        <v>0.45519914325054822</v>
      </c>
      <c r="AC87" s="79">
        <f t="shared" si="9"/>
        <v>0.45171578007398905</v>
      </c>
      <c r="AD87" s="79">
        <f t="shared" si="9"/>
        <v>0.44822832635556009</v>
      </c>
      <c r="AE87" s="79">
        <f t="shared" si="9"/>
        <v>0.44526680119543283</v>
      </c>
      <c r="AF87" s="79">
        <f t="shared" si="9"/>
        <v>0.44649338036088537</v>
      </c>
      <c r="AG87" s="79">
        <f t="shared" si="9"/>
        <v>0.44772140244993985</v>
      </c>
      <c r="AH87" s="79">
        <f t="shared" si="9"/>
        <v>0.44895087001023543</v>
      </c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</row>
    <row r="88" spans="1:80">
      <c r="A88" s="1"/>
      <c r="B88" s="2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</row>
    <row r="89" spans="1:80">
      <c r="A89" s="1"/>
      <c r="B89" s="71" t="s">
        <v>117</v>
      </c>
      <c r="C89" s="71">
        <v>2019</v>
      </c>
      <c r="D89" s="71">
        <v>2020</v>
      </c>
      <c r="E89" s="71">
        <v>2021</v>
      </c>
      <c r="F89" s="71">
        <v>2022</v>
      </c>
      <c r="G89" s="71">
        <v>2023</v>
      </c>
      <c r="H89" s="71">
        <v>2024</v>
      </c>
      <c r="I89" s="71">
        <v>2025</v>
      </c>
      <c r="J89" s="71">
        <v>2026</v>
      </c>
      <c r="K89" s="71">
        <v>2027</v>
      </c>
      <c r="L89" s="71">
        <v>2028</v>
      </c>
      <c r="M89" s="71">
        <v>2029</v>
      </c>
      <c r="N89" s="71">
        <v>2030</v>
      </c>
      <c r="O89" s="71">
        <v>2031</v>
      </c>
      <c r="P89" s="71">
        <v>2032</v>
      </c>
      <c r="Q89" s="71">
        <v>2033</v>
      </c>
      <c r="R89" s="71">
        <v>2034</v>
      </c>
      <c r="S89" s="71">
        <v>2035</v>
      </c>
      <c r="T89" s="71">
        <v>2036</v>
      </c>
      <c r="U89" s="71">
        <v>2037</v>
      </c>
      <c r="V89" s="71">
        <v>2038</v>
      </c>
      <c r="W89" s="71">
        <v>2039</v>
      </c>
      <c r="X89" s="71">
        <v>2040</v>
      </c>
      <c r="Y89" s="71">
        <v>2041</v>
      </c>
      <c r="Z89" s="71">
        <v>2042</v>
      </c>
      <c r="AA89" s="71">
        <v>2043</v>
      </c>
      <c r="AB89" s="71">
        <v>2044</v>
      </c>
      <c r="AC89" s="71">
        <v>2045</v>
      </c>
      <c r="AD89" s="71">
        <v>2046</v>
      </c>
      <c r="AE89" s="71">
        <v>2047</v>
      </c>
      <c r="AF89" s="71">
        <v>2048</v>
      </c>
      <c r="AG89" s="71">
        <v>2049</v>
      </c>
      <c r="AH89" s="71">
        <v>2050</v>
      </c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</row>
    <row r="90" spans="1:80">
      <c r="A90" s="1"/>
      <c r="B90" s="71">
        <v>1</v>
      </c>
      <c r="C90" s="80">
        <f>10-(($C$83-C83)/($C$83-$C$87))*8</f>
        <v>10</v>
      </c>
      <c r="D90" s="80">
        <f>10-(($D$83-D83)/($D$83-$D$87))*8</f>
        <v>10</v>
      </c>
      <c r="E90" s="80">
        <f>10-(($E$83-E83)/($E$83-$E$87))*8</f>
        <v>10</v>
      </c>
      <c r="F90" s="80">
        <f>10-(($F$83-F83)/($F$83-$F$87))*8</f>
        <v>10</v>
      </c>
      <c r="G90" s="80">
        <f>10-(($G$83-G83)/($G$83-$G$87))*8</f>
        <v>10</v>
      </c>
      <c r="H90" s="80">
        <f>10-(($H$83-H83)/($H$83-$H$87))*8</f>
        <v>10</v>
      </c>
      <c r="I90" s="80">
        <f>10-(($I$83-I83)/($I$83-$I$87))*8</f>
        <v>10</v>
      </c>
      <c r="J90" s="80">
        <f>10-(($J$83-J83)/($J$83-$J$87))*8</f>
        <v>10</v>
      </c>
      <c r="K90" s="80">
        <f>10-(($K$83-K83)/($K$83-$K$87))*8</f>
        <v>10</v>
      </c>
      <c r="L90" s="80">
        <f>10-(($L$83-L83)/($L$83-$L$87))*8</f>
        <v>10</v>
      </c>
      <c r="M90" s="80">
        <f>10-(($M$83-M83)/($M$83-$M$87))*8</f>
        <v>10</v>
      </c>
      <c r="N90" s="80">
        <f>10-(($N$83-N83)/($N$83-$N$87))*8</f>
        <v>10</v>
      </c>
      <c r="O90" s="80">
        <f>10-(($O$83-O83)/($O$83-$O$87))*8</f>
        <v>10</v>
      </c>
      <c r="P90" s="80">
        <f>10-(($P$83-P83)/($P$83-$P$87))*8</f>
        <v>10</v>
      </c>
      <c r="Q90" s="80">
        <f>10-(($Q$83-Q83)/($Q$83-$Q$87))*8</f>
        <v>10</v>
      </c>
      <c r="R90" s="80">
        <f>10-(($R$83-R83)/($R$83-$R$87))*8</f>
        <v>10</v>
      </c>
      <c r="S90" s="80">
        <f>10-(($S$83-S83)/($S$83-$S$87))*8</f>
        <v>10</v>
      </c>
      <c r="T90" s="80">
        <f>10-(($T$83-T83)/($T$83-$T$87))*8</f>
        <v>10</v>
      </c>
      <c r="U90" s="80">
        <f>10-(($U$83-U83)/($U$83-$U$87))*8</f>
        <v>10</v>
      </c>
      <c r="V90" s="80">
        <f>10-(($V$83-V83)/($V$83-$V$87))*8</f>
        <v>10</v>
      </c>
      <c r="W90" s="80">
        <f>10-(($W$83-W83)/($W$83-$W$87))*8</f>
        <v>10</v>
      </c>
      <c r="X90" s="80">
        <f>10-(($X$83-X83)/($X$83-$X$87))*8</f>
        <v>10</v>
      </c>
      <c r="Y90" s="80">
        <f>10-(($Y$83-Y83)/($Y$83-$Y$87))*8</f>
        <v>10</v>
      </c>
      <c r="Z90" s="80">
        <f>10-(($Z$83-Z83)/($Z$83-$Z$87))*8</f>
        <v>10</v>
      </c>
      <c r="AA90" s="80">
        <f>10-(($AA$83-AA83)/($AA$83-$AA$87))*8</f>
        <v>10</v>
      </c>
      <c r="AB90" s="80">
        <f>10-(($AB$83-AB83)/($AB$83-$AB$87))*8</f>
        <v>10</v>
      </c>
      <c r="AC90" s="80">
        <f>10-(($AC$83-AC83)/($AC$83-$AC$87))*8</f>
        <v>10</v>
      </c>
      <c r="AD90" s="80">
        <f>10-(($AD$83-AD83)/($AD$83-$AD$87))*8</f>
        <v>10</v>
      </c>
      <c r="AE90" s="80">
        <f>10-(($AE$83-AE83)/($AE$83-$AE$87))*8</f>
        <v>10</v>
      </c>
      <c r="AF90" s="80">
        <f>10-(($AF$83-AF83)/($AF$83-$AF$87))*8</f>
        <v>10</v>
      </c>
      <c r="AG90" s="80">
        <f>10-(($AG$83-AG83)/($AG$83-$AG$87))*8</f>
        <v>10</v>
      </c>
      <c r="AH90" s="80">
        <f>10-(($AH$83-AH83)/($AH$83-$AH$87))*8</f>
        <v>10</v>
      </c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</row>
    <row r="91" spans="1:80">
      <c r="A91" s="1"/>
      <c r="B91" s="71">
        <v>2</v>
      </c>
      <c r="C91" s="80">
        <f>10-(($C$83-C84)/($C$83-$C$87))*8</f>
        <v>9.0638953040800612</v>
      </c>
      <c r="D91" s="80">
        <f>10-(($D$83-D84)/($D$83-$D$87))*8</f>
        <v>9.0549932762403564</v>
      </c>
      <c r="E91" s="80">
        <f>10-(($E$83-E84)/($E$83-$E$87))*8</f>
        <v>9.0458873219271254</v>
      </c>
      <c r="F91" s="80">
        <f>10-(($F$83-F84)/($F$83-$F$87))*8</f>
        <v>9.0365703526685497</v>
      </c>
      <c r="G91" s="80">
        <f>10-(($G$83-G84)/($G$83-$G$87))*8</f>
        <v>9.0270349476152099</v>
      </c>
      <c r="H91" s="80">
        <f>10-(($H$83-H84)/($H$83-$H$87))*8</f>
        <v>9.0172733338275624</v>
      </c>
      <c r="I91" s="80">
        <f>10-(($I$83-I84)/($I$83-$I$87))*8</f>
        <v>9.0072773651436719</v>
      </c>
      <c r="J91" s="80">
        <f>10-(($J$83-J84)/($J$83-$J$87))*8</f>
        <v>8.9970384995064165</v>
      </c>
      <c r="K91" s="80">
        <f>10-(($K$83-K84)/($K$83-$K$87))*8</f>
        <v>8.9865477746175717</v>
      </c>
      <c r="L91" s="80">
        <f>10-(($L$83-L84)/($L$83-$L$87))*8</f>
        <v>9.0828858276908715</v>
      </c>
      <c r="M91" s="80">
        <f>10-(($M$83-M84)/($M$83-$M$87))*8</f>
        <v>9.6431554890062259</v>
      </c>
      <c r="N91" s="80">
        <f>10-(($N$83-N84)/($N$83-$N$87))*8</f>
        <v>9.788034188034187</v>
      </c>
      <c r="O91" s="80">
        <f>10-(($O$83-O84)/($O$83-$O$87))*8</f>
        <v>9.7571588270702545</v>
      </c>
      <c r="P91" s="80">
        <f>10-(($P$83-P84)/($P$83-$P$87))*8</f>
        <v>9.72590413566361</v>
      </c>
      <c r="Q91" s="80">
        <f>10-(($Q$83-Q84)/($Q$83-$Q$87))*8</f>
        <v>9.6942630800034824</v>
      </c>
      <c r="R91" s="80">
        <f>10-(($R$83-R84)/($R$83-$R$87))*8</f>
        <v>9.6622284512964267</v>
      </c>
      <c r="S91" s="80">
        <f>10-(($S$83-S84)/($S$83-$S$87))*8</f>
        <v>9.6297928602908769</v>
      </c>
      <c r="T91" s="80">
        <f>10-(($T$83-T84)/($T$83-$T$87))*8</f>
        <v>9.5969487315948196</v>
      </c>
      <c r="U91" s="80">
        <f>10-(($U$83-U84)/($U$83-$U$87))*8</f>
        <v>9.5636882977773805</v>
      </c>
      <c r="V91" s="80">
        <f>10-(($V$83-V84)/($V$83-$V$87))*8</f>
        <v>9.5300035932447003</v>
      </c>
      <c r="W91" s="80">
        <f>10-(($W$83-W84)/($W$83-$W$87))*8</f>
        <v>9.4958864478799399</v>
      </c>
      <c r="X91" s="80">
        <f>10-(($X$83-X84)/($X$83-$X$87))*8</f>
        <v>9.4613284804367606</v>
      </c>
      <c r="Y91" s="80">
        <f>10-(($Y$83-Y84)/($Y$83-$Y$87))*8</f>
        <v>9.4263210916750619</v>
      </c>
      <c r="Z91" s="80">
        <f>10-(($Z$83-Z84)/($Z$83-$Z$87))*8</f>
        <v>9.3908554572271381</v>
      </c>
      <c r="AA91" s="80">
        <f>10-(($AA$83-AA84)/($AA$83-$AA$87))*8</f>
        <v>9.3549225201818693</v>
      </c>
      <c r="AB91" s="80">
        <f>10-(($AB$83-AB84)/($AB$83-$AB$87))*8</f>
        <v>9.3185129833738092</v>
      </c>
      <c r="AC91" s="80">
        <f>10-(($AC$83-AC84)/($AC$83-$AC$87))*8</f>
        <v>9.281617301363422</v>
      </c>
      <c r="AD91" s="80">
        <f>10-(($AD$83-AD84)/($AD$83-$AD$87))*8</f>
        <v>9.2442256720939042</v>
      </c>
      <c r="AE91" s="80">
        <f>10-(($AE$83-AE84)/($AE$83-$AE$87))*8</f>
        <v>9.2078944239686127</v>
      </c>
      <c r="AF91" s="80">
        <f>10-(($AF$83-AF84)/($AF$83-$AF$87))*8</f>
        <v>9.1840037638202787</v>
      </c>
      <c r="AG91" s="80">
        <f>10-(($AG$83-AG84)/($AG$83-$AG$87))*8</f>
        <v>9.1606191085767481</v>
      </c>
      <c r="AH91" s="80">
        <f>10-(($AH$83-AH84)/($AH$83-$AH$87))*8</f>
        <v>9.1377245508982039</v>
      </c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</row>
    <row r="92" spans="1:80">
      <c r="A92" s="1"/>
      <c r="B92" s="71">
        <v>3</v>
      </c>
      <c r="C92" s="80">
        <f>10-(($C$83-C85)/($C$83-$C$87))*8</f>
        <v>5.4549653579676676</v>
      </c>
      <c r="D92" s="80">
        <f>10-(($D$83-D85)/($D$83-$D$87))*8</f>
        <v>5.3531035458985077</v>
      </c>
      <c r="E92" s="80">
        <f>10-(($E$83-E85)/($E$83-$E$87))*8</f>
        <v>5.5203665258787327</v>
      </c>
      <c r="F92" s="80">
        <f>10-(($F$83-F85)/($F$83-$F$87))*8</f>
        <v>5.993917010645232</v>
      </c>
      <c r="G92" s="80">
        <f>10-(($G$83-G85)/($G$83-$G$87))*8</f>
        <v>6.4785698585976981</v>
      </c>
      <c r="H92" s="80">
        <f>10-(($H$83-H85)/($H$83-$H$87))*8</f>
        <v>6.9747201423382013</v>
      </c>
      <c r="I92" s="80">
        <f>10-(($I$83-I85)/($I$83-$I$87))*8</f>
        <v>7.4827819041188377</v>
      </c>
      <c r="J92" s="80">
        <f>10-(($J$83-J85)/($J$83-$J$87))*8</f>
        <v>8.0031893082238579</v>
      </c>
      <c r="K92" s="80">
        <f>10-(($K$83-K85)/($K$83-$K$87))*8</f>
        <v>8.5363978783918828</v>
      </c>
      <c r="L92" s="80">
        <f>10-(($L$83-L85)/($L$83-$L$87))*8</f>
        <v>8.9757957817729022</v>
      </c>
      <c r="M92" s="80">
        <f>10-(($M$83-M85)/($M$83-$M$87))*8</f>
        <v>8.9647726377177062</v>
      </c>
      <c r="N92" s="80">
        <f>10-(($N$83-N85)/($N$83-$N$87))*8</f>
        <v>8.7692307692307701</v>
      </c>
      <c r="O92" s="80">
        <f>10-(($O$83-O85)/($O$83-$O$87))*8</f>
        <v>8.7348869206294601</v>
      </c>
      <c r="P92" s="80">
        <f>10-(($P$83-P85)/($P$83-$P$87))*8</f>
        <v>8.7001211282228752</v>
      </c>
      <c r="Q92" s="80">
        <f>10-(($Q$83-Q85)/($Q$83-$Q$87))*8</f>
        <v>8.6649255680334285</v>
      </c>
      <c r="R92" s="80">
        <f>10-(($R$83-R85)/($R$83-$R$87))*8</f>
        <v>8.6292922214435883</v>
      </c>
      <c r="S92" s="80">
        <f>10-(($S$83-S85)/($S$83-$S$87))*8</f>
        <v>8.5932128691053329</v>
      </c>
      <c r="T92" s="80">
        <f>10-(($T$83-T85)/($T$83-$T$87))*8</f>
        <v>8.5566790846194785</v>
      </c>
      <c r="U92" s="80">
        <f>10-(($U$83-U85)/($U$83-$U$87))*8</f>
        <v>8.5196822279746485</v>
      </c>
      <c r="V92" s="80">
        <f>10-(($V$83-V85)/($V$83-$V$87))*8</f>
        <v>8.4822134387351777</v>
      </c>
      <c r="W92" s="80">
        <f>10-(($W$83-W85)/($W$83-$W$87))*8</f>
        <v>8.44426362896664</v>
      </c>
      <c r="X92" s="80">
        <f>10-(($X$83-X85)/($X$83-$X$87))*8</f>
        <v>8.4058234758871695</v>
      </c>
      <c r="Y92" s="80">
        <f>10-(($Y$83-Y85)/($Y$83-$Y$87))*8</f>
        <v>8.3668834142320723</v>
      </c>
      <c r="Z92" s="80">
        <f>10-(($Z$83-Z85)/($Z$83-$Z$87))*8</f>
        <v>8.3274336283185839</v>
      </c>
      <c r="AA92" s="80">
        <f>10-(($AA$83-AA85)/($AA$83-$AA$87))*8</f>
        <v>8.2874640437969749</v>
      </c>
      <c r="AB92" s="80">
        <f>10-(($AB$83-AB85)/($AB$83-$AB$87))*8</f>
        <v>8.2469643190734168</v>
      </c>
      <c r="AC92" s="80">
        <f>10-(($AC$83-AC85)/($AC$83-$AC$87))*8</f>
        <v>8.2059238363892799</v>
      </c>
      <c r="AD92" s="80">
        <f>10-(($AD$83-AD85)/($AD$83-$AD$87))*8</f>
        <v>8.1643316925407046</v>
      </c>
      <c r="AE92" s="80">
        <f>10-(($AE$83-AE85)/($AE$83-$AE$87))*8</f>
        <v>8.1258827725597413</v>
      </c>
      <c r="AF92" s="80">
        <f>10-(($AF$83-AF85)/($AF$83-$AF$87))*8</f>
        <v>8.1165843330980962</v>
      </c>
      <c r="AG92" s="80">
        <f>10-(($AG$83-AG85)/($AG$83-$AG$87))*8</f>
        <v>8.1074828348655874</v>
      </c>
      <c r="AH92" s="80">
        <f>10-(($AH$83-AH85)/($AH$83-$AH$87))*8</f>
        <v>8.0985720865960396</v>
      </c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</row>
    <row r="93" spans="1:80">
      <c r="A93" s="1"/>
      <c r="B93" s="71">
        <v>4</v>
      </c>
      <c r="C93" s="80">
        <f>10-(($C$83-C86)/($C$83-$C$87))*8</f>
        <v>4.6050808314087757</v>
      </c>
      <c r="D93" s="80">
        <f>10-(($D$83-D86)/($D$83-$D$87))*8</f>
        <v>5.0575412272630782</v>
      </c>
      <c r="E93" s="80">
        <f>10-(($E$83-E86)/($E$83-$E$87))*8</f>
        <v>5.2489082969432319</v>
      </c>
      <c r="F93" s="80">
        <f>10-(($F$83-F86)/($F$83-$F$87))*8</f>
        <v>5.1422985009776214</v>
      </c>
      <c r="G93" s="80">
        <f>10-(($G$83-G86)/($G$83-$G$87))*8</f>
        <v>5.0331892446333049</v>
      </c>
      <c r="H93" s="80">
        <f>10-(($H$83-H86)/($H$83-$H$87))*8</f>
        <v>4.9214915857365265</v>
      </c>
      <c r="I93" s="80">
        <f>10-(($I$83-I86)/($I$83-$I$87))*8</f>
        <v>4.8071123115012373</v>
      </c>
      <c r="J93" s="80">
        <f>10-(($J$83-J86)/($J$83-$J$87))*8</f>
        <v>4.6899536790948453</v>
      </c>
      <c r="K93" s="80">
        <f>10-(($K$83-K86)/($K$83-$K$87))*8</f>
        <v>4.5699131370589603</v>
      </c>
      <c r="L93" s="80">
        <f>10-(($L$83-L86)/($L$83-$L$87))*8</f>
        <v>4.4468830259164136</v>
      </c>
      <c r="M93" s="80">
        <f>10-(($M$83-M86)/($M$83-$M$87))*8</f>
        <v>4.3207502561273525</v>
      </c>
      <c r="N93" s="80">
        <f>10-(($N$83-N86)/($N$83-$N$87))*8</f>
        <v>4.1333333333333329</v>
      </c>
      <c r="O93" s="80">
        <f>10-(($O$83-O86)/($O$83-$O$87))*8</f>
        <v>4.0192621893542011</v>
      </c>
      <c r="P93" s="80">
        <f>10-(($P$83-P86)/($P$83-$P$87))*8</f>
        <v>3.9037895829728315</v>
      </c>
      <c r="Q93" s="80">
        <f>10-(($Q$83-Q86)/($Q$83-$Q$87))*8</f>
        <v>3.7868895272917209</v>
      </c>
      <c r="R93" s="80">
        <f>10-(($R$83-R86)/($R$83-$R$87))*8</f>
        <v>3.6685353889278218</v>
      </c>
      <c r="S93" s="80">
        <f>10-(($S$83-S86)/($S$83-$S$87))*8</f>
        <v>3.5486998677831645</v>
      </c>
      <c r="T93" s="80">
        <f>10-(($T$83-T86)/($T$83-$T$87))*8</f>
        <v>3.42735497605109</v>
      </c>
      <c r="U93" s="80">
        <f>10-(($U$83-U86)/($U$83-$U$87))*8</f>
        <v>3.3044720164241728</v>
      </c>
      <c r="V93" s="80">
        <f>10-(($V$83-V86)/($V$83-$V$87))*8</f>
        <v>3.1800215594682015</v>
      </c>
      <c r="W93" s="80">
        <f>10-(($W$83-W86)/($W$83-$W$87))*8</f>
        <v>3.0539734201247644</v>
      </c>
      <c r="X93" s="80">
        <f>10-(($X$83-X86)/($X$83-$X$87))*8</f>
        <v>2.9262966333030009</v>
      </c>
      <c r="Y93" s="80">
        <f>10-(($Y$83-Y86)/($Y$83-$Y$87))*8</f>
        <v>2.796959428519096</v>
      </c>
      <c r="Z93" s="80">
        <f>10-(($Z$83-Z86)/($Z$83-$Z$87))*8</f>
        <v>2.6659292035398234</v>
      </c>
      <c r="AA93" s="80">
        <f>10-(($AA$83-AA86)/($AA$83-$AA$87))*8</f>
        <v>2.5331724969843172</v>
      </c>
      <c r="AB93" s="80">
        <f>10-(($AB$83-AB86)/($AB$83-$AB$87))*8</f>
        <v>2.3986549598356053</v>
      </c>
      <c r="AC93" s="80">
        <f>10-(($AC$83-AC86)/($AC$83-$AC$87))*8</f>
        <v>2.2623413258110023</v>
      </c>
      <c r="AD93" s="80">
        <f>10-(($AD$83-AD86)/($AD$83-$AD$87))*8</f>
        <v>2.1241953805376754</v>
      </c>
      <c r="AE93" s="80">
        <f>10-(($AE$83-AE86)/($AE$83-$AE$87))*8</f>
        <v>2.0157888479372259</v>
      </c>
      <c r="AF93" s="80">
        <f>10-(($AF$83-AF86)/($AF$83-$AF$87))*8</f>
        <v>2.1546930134086093</v>
      </c>
      <c r="AG93" s="80">
        <f>10-(($AG$83-AG86)/($AG$83-$AG$87))*8</f>
        <v>2.2906551844524605</v>
      </c>
      <c r="AH93" s="80">
        <f>10-(($AH$83-AH86)/($AH$83-$AH$87))*8</f>
        <v>2.4237678489175494</v>
      </c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</row>
    <row r="94" spans="1:80">
      <c r="A94" s="1"/>
      <c r="B94" s="71">
        <v>5</v>
      </c>
      <c r="C94" s="80">
        <f>10-(($C$83-C87)/($C$83-$C$87))*8</f>
        <v>2</v>
      </c>
      <c r="D94" s="80">
        <f>10-(($D$83-D87)/($D$83-$D$87))*8</f>
        <v>2</v>
      </c>
      <c r="E94" s="80">
        <f>10-(($E$83-E87)/($E$83-$E$87))*8</f>
        <v>2</v>
      </c>
      <c r="F94" s="80">
        <f>10-(($F$83-F87)/($F$83-$F$87))*8</f>
        <v>2</v>
      </c>
      <c r="G94" s="80">
        <f>10-(($G$83-G87)/($G$83-$G$87))*8</f>
        <v>2</v>
      </c>
      <c r="H94" s="80">
        <f>10-(($H$83-H87)/($H$83-$H$87))*8</f>
        <v>2</v>
      </c>
      <c r="I94" s="80">
        <f>10-(($I$83-I87)/($I$83-$I$87))*8</f>
        <v>2</v>
      </c>
      <c r="J94" s="80">
        <f>10-(($J$83-J87)/($J$83-$J$87))*8</f>
        <v>2</v>
      </c>
      <c r="K94" s="80">
        <f>10-(($K$83-K87)/($K$83-$K$87))*8</f>
        <v>2</v>
      </c>
      <c r="L94" s="80">
        <f>10-(($L$83-L87)/($L$83-$L$87))*8</f>
        <v>2</v>
      </c>
      <c r="M94" s="80">
        <f>10-(($M$83-M87)/($M$83-$M$87))*8</f>
        <v>2</v>
      </c>
      <c r="N94" s="80">
        <f>10-(($N$83-N87)/($N$83-$N$87))*8</f>
        <v>2</v>
      </c>
      <c r="O94" s="80">
        <f>10-(($O$83-O87)/($O$83-$O$87))*8</f>
        <v>2</v>
      </c>
      <c r="P94" s="80">
        <f>10-(($P$83-P87)/($P$83-$P$87))*8</f>
        <v>2</v>
      </c>
      <c r="Q94" s="80">
        <f>10-(($Q$83-Q87)/($Q$83-$Q$87))*8</f>
        <v>2</v>
      </c>
      <c r="R94" s="80">
        <f>10-(($R$83-R87)/($R$83-$R$87))*8</f>
        <v>2</v>
      </c>
      <c r="S94" s="80">
        <f>10-(($S$83-S87)/($S$83-$S$87))*8</f>
        <v>2</v>
      </c>
      <c r="T94" s="80">
        <f>10-(($T$83-T87)/($T$83-$T$87))*8</f>
        <v>2</v>
      </c>
      <c r="U94" s="80">
        <f>10-(($U$83-U87)/($U$83-$U$87))*8</f>
        <v>2</v>
      </c>
      <c r="V94" s="80">
        <f>10-(($V$83-V87)/($V$83-$V$87))*8</f>
        <v>2</v>
      </c>
      <c r="W94" s="80">
        <f>10-(($W$83-W87)/($W$83-$W$87))*8</f>
        <v>2</v>
      </c>
      <c r="X94" s="80">
        <f>10-(($X$83-X87)/($X$83-$X$87))*8</f>
        <v>2</v>
      </c>
      <c r="Y94" s="80">
        <f>10-(($Y$83-Y87)/($Y$83-$Y$87))*8</f>
        <v>2</v>
      </c>
      <c r="Z94" s="80">
        <f>10-(($Z$83-Z87)/($Z$83-$Z$87))*8</f>
        <v>2</v>
      </c>
      <c r="AA94" s="80">
        <f>10-(($AA$83-AA87)/($AA$83-$AA$87))*8</f>
        <v>2</v>
      </c>
      <c r="AB94" s="80">
        <f>10-(($AB$83-AB87)/($AB$83-$AB$87))*8</f>
        <v>2</v>
      </c>
      <c r="AC94" s="80">
        <f>10-(($AC$83-AC87)/($AC$83-$AC$87))*8</f>
        <v>2</v>
      </c>
      <c r="AD94" s="80">
        <f>10-(($AD$83-AD87)/($AD$83-$AD$87))*8</f>
        <v>2</v>
      </c>
      <c r="AE94" s="80">
        <f>10-(($AE$83-AE87)/($AE$83-$AE$87))*8</f>
        <v>2</v>
      </c>
      <c r="AF94" s="80">
        <f>10-(($AF$83-AF87)/($AF$83-$AF$87))*8</f>
        <v>2</v>
      </c>
      <c r="AG94" s="80">
        <f>10-(($AG$83-AG87)/($AG$83-$AG$87))*8</f>
        <v>2</v>
      </c>
      <c r="AH94" s="80">
        <f>10-(($AH$83-AH87)/($AH$83-$AH$87))*8</f>
        <v>2</v>
      </c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</row>
    <row r="95" spans="1:80">
      <c r="A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</row>
    <row r="96" spans="1:80" ht="15" thickBot="1">
      <c r="A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</row>
    <row r="97" spans="1:80" ht="16.5" thickBot="1">
      <c r="A97" s="1"/>
      <c r="B97" s="72" t="s">
        <v>120</v>
      </c>
      <c r="C97" s="73"/>
      <c r="D97" s="73"/>
      <c r="E97" s="74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</row>
    <row r="98" spans="1:80">
      <c r="A98" s="1"/>
      <c r="B98" s="75" t="s">
        <v>77</v>
      </c>
      <c r="C98" s="81" t="s">
        <v>105</v>
      </c>
      <c r="D98" s="82"/>
      <c r="E98" s="83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</row>
    <row r="99" spans="1:80">
      <c r="A99" s="1"/>
      <c r="B99" s="71" t="s">
        <v>81</v>
      </c>
      <c r="C99" s="53">
        <f>KPIs!C56/KPIs!$C$56</f>
        <v>1</v>
      </c>
      <c r="D99" s="84" t="s">
        <v>81</v>
      </c>
      <c r="E99" s="85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</row>
    <row r="100" spans="1:80">
      <c r="A100" s="1"/>
      <c r="B100" s="71" t="s">
        <v>36</v>
      </c>
      <c r="C100" s="53">
        <f>KPIs!C57/KPIs!$C$56</f>
        <v>0.22287170139311258</v>
      </c>
      <c r="D100" s="84" t="s">
        <v>96</v>
      </c>
      <c r="E100" s="85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</row>
    <row r="101" spans="1:80">
      <c r="A101" s="1"/>
      <c r="B101" s="71" t="s">
        <v>89</v>
      </c>
      <c r="C101" s="53">
        <f>KPIs!C58/KPIs!$C$56</f>
        <v>0.65200000000000002</v>
      </c>
      <c r="D101" s="84" t="s">
        <v>89</v>
      </c>
      <c r="E101" s="85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</row>
    <row r="102" spans="1:80">
      <c r="A102" s="1"/>
      <c r="B102" s="71" t="s">
        <v>88</v>
      </c>
      <c r="C102" s="53">
        <f>KPIs!C59/KPIs!$C$56</f>
        <v>0.441</v>
      </c>
      <c r="D102" s="84" t="s">
        <v>88</v>
      </c>
      <c r="E102" s="85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</row>
    <row r="103" spans="1:80">
      <c r="A103" s="1"/>
      <c r="B103" s="71" t="s">
        <v>90</v>
      </c>
      <c r="C103" s="53">
        <f>KPIs!C60/KPIs!$C$56</f>
        <v>9.8343E-2</v>
      </c>
      <c r="D103" s="84" t="s">
        <v>97</v>
      </c>
      <c r="E103" s="85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</row>
    <row r="104" spans="1:80">
      <c r="A104" s="1"/>
      <c r="B104" s="71" t="s">
        <v>48</v>
      </c>
      <c r="C104" s="53">
        <f>KPIs!C61/KPIs!$C$56</f>
        <v>4.4999999999999998E-2</v>
      </c>
      <c r="D104" s="84" t="s">
        <v>98</v>
      </c>
      <c r="E104" s="85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</row>
    <row r="105" spans="1:80">
      <c r="A105" s="1"/>
      <c r="B105" s="71" t="s">
        <v>51</v>
      </c>
      <c r="C105" s="53">
        <f>KPIs!C62/KPIs!$C$56</f>
        <v>2.1999999999999999E-2</v>
      </c>
      <c r="D105" s="84" t="s">
        <v>99</v>
      </c>
      <c r="E105" s="85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</row>
    <row r="106" spans="1:80">
      <c r="A106" s="1"/>
      <c r="B106" s="71" t="s">
        <v>56</v>
      </c>
      <c r="C106" s="53">
        <f>KPIs!C63/KPIs!$C$56</f>
        <v>1.0999999999999999E-2</v>
      </c>
      <c r="D106" s="84" t="s">
        <v>107</v>
      </c>
      <c r="E106" s="85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</row>
    <row r="107" spans="1:80">
      <c r="A107" s="1"/>
      <c r="B107" s="71" t="s">
        <v>59</v>
      </c>
      <c r="C107" s="53">
        <f>KPIs!C64/KPIs!$C$56</f>
        <v>1.0999999999999999E-2</v>
      </c>
      <c r="D107" s="84" t="s">
        <v>107</v>
      </c>
      <c r="E107" s="85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</row>
    <row r="108" spans="1:80">
      <c r="A108" s="1"/>
      <c r="B108" s="71" t="s">
        <v>5</v>
      </c>
      <c r="C108" s="53">
        <f>KPIs!C65/KPIs!$C$56</f>
        <v>6.5000000000000002E-2</v>
      </c>
      <c r="D108" s="84" t="s">
        <v>5</v>
      </c>
      <c r="E108" s="85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</row>
    <row r="109" spans="1:80">
      <c r="A109" s="1"/>
      <c r="B109" s="71" t="s">
        <v>6</v>
      </c>
      <c r="C109" s="53">
        <f>KPIs!C66/KPIs!$C$56</f>
        <v>4.7E-2</v>
      </c>
      <c r="D109" s="84" t="s">
        <v>102</v>
      </c>
      <c r="E109" s="85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</row>
    <row r="110" spans="1:80">
      <c r="A110" s="1"/>
      <c r="B110" s="71" t="s">
        <v>7</v>
      </c>
      <c r="C110" s="53">
        <f>KPIs!C67/KPIs!$C$56</f>
        <v>0.29099999999999998</v>
      </c>
      <c r="D110" s="84" t="s">
        <v>7</v>
      </c>
      <c r="E110" s="85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</row>
    <row r="111" spans="1:80">
      <c r="A111" s="1"/>
      <c r="B111" s="71" t="s">
        <v>72</v>
      </c>
      <c r="C111" s="53">
        <f>KPIs!C68/KPIs!$C$56</f>
        <v>1.4E-2</v>
      </c>
      <c r="D111" s="84" t="s">
        <v>103</v>
      </c>
      <c r="E111" s="85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</row>
    <row r="112" spans="1:8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</row>
    <row r="113" spans="1:80">
      <c r="A113" s="1"/>
      <c r="B113" s="71" t="s">
        <v>115</v>
      </c>
      <c r="C113" s="86" t="s">
        <v>106</v>
      </c>
      <c r="D113" s="87"/>
      <c r="E113" s="88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</row>
    <row r="114" spans="1:80">
      <c r="A114" s="1"/>
      <c r="B114" s="71">
        <v>1</v>
      </c>
      <c r="C114" s="89" t="str">
        <f>VLOOKUP(SMALL(C99:C111,1),C99:E111,2,FALSE)</f>
        <v>Wind On/Off</v>
      </c>
      <c r="D114" s="90"/>
      <c r="E114" s="9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</row>
    <row r="115" spans="1:80">
      <c r="A115" s="1"/>
      <c r="B115" s="71">
        <v>2</v>
      </c>
      <c r="C115" s="89" t="str">
        <f>VLOOKUP(SMALL(C99:C111,2),C99:E111,2,FALSE)</f>
        <v>Wind On/Off</v>
      </c>
      <c r="D115" s="90"/>
      <c r="E115" s="9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</row>
    <row r="116" spans="1:80">
      <c r="A116" s="1"/>
      <c r="B116" s="71">
        <v>3</v>
      </c>
      <c r="C116" s="89" t="str">
        <f>VLOOKUP(SMALL(C99:C111,3),C99:E111,2,FALSE)</f>
        <v xml:space="preserve">Hydro </v>
      </c>
      <c r="D116" s="90"/>
      <c r="E116" s="9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</row>
    <row r="117" spans="1:80">
      <c r="A117" s="1"/>
      <c r="B117" s="71">
        <v>4</v>
      </c>
      <c r="C117" s="89" t="str">
        <f>VLOOKUP(SMALL(C99:C111,4),C99:E111,2,FALSE)</f>
        <v>Solar CSP</v>
      </c>
      <c r="D117" s="90"/>
      <c r="E117" s="9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</row>
    <row r="118" spans="1:80">
      <c r="A118" s="1"/>
      <c r="B118" s="71">
        <v>5</v>
      </c>
      <c r="C118" s="89" t="str">
        <f>VLOOKUP(SMALL(C99:C111,5),C99:E111,2,FALSE)</f>
        <v>Solar PV</v>
      </c>
      <c r="D118" s="90"/>
      <c r="E118" s="9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</row>
    <row r="119" spans="1:8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</row>
    <row r="120" spans="1:80">
      <c r="A120" s="1"/>
      <c r="B120" s="71" t="s">
        <v>116</v>
      </c>
      <c r="C120" s="86" t="s">
        <v>106</v>
      </c>
      <c r="D120" s="87"/>
      <c r="E120" s="88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</row>
    <row r="121" spans="1:80">
      <c r="A121" s="1"/>
      <c r="B121" s="71">
        <v>1</v>
      </c>
      <c r="C121" s="92">
        <f>SMALL($C$99:$C$111,1)</f>
        <v>1.0999999999999999E-2</v>
      </c>
      <c r="D121" s="93"/>
      <c r="E121" s="94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</row>
    <row r="122" spans="1:80">
      <c r="A122" s="1"/>
      <c r="B122" s="71">
        <v>2</v>
      </c>
      <c r="C122" s="92">
        <f>SMALL($C$99:$C$111,2)</f>
        <v>1.0999999999999999E-2</v>
      </c>
      <c r="D122" s="93"/>
      <c r="E122" s="94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</row>
    <row r="123" spans="1:80">
      <c r="A123" s="1"/>
      <c r="B123" s="71">
        <v>3</v>
      </c>
      <c r="C123" s="92">
        <f>SMALL($C$99:$C$111,3)</f>
        <v>1.4E-2</v>
      </c>
      <c r="D123" s="93"/>
      <c r="E123" s="94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</row>
    <row r="124" spans="1:80">
      <c r="A124" s="1"/>
      <c r="B124" s="71">
        <v>4</v>
      </c>
      <c r="C124" s="92">
        <f>SMALL($C$99:$C$111,4)</f>
        <v>2.1999999999999999E-2</v>
      </c>
      <c r="D124" s="93"/>
      <c r="E124" s="94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</row>
    <row r="125" spans="1:80">
      <c r="A125" s="1"/>
      <c r="B125" s="71">
        <v>5</v>
      </c>
      <c r="C125" s="92">
        <f>SMALL($C$99:$C$111,5)</f>
        <v>4.4999999999999998E-2</v>
      </c>
      <c r="D125" s="93"/>
      <c r="E125" s="94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</row>
    <row r="126" spans="1:8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</row>
    <row r="127" spans="1:80">
      <c r="A127" s="1"/>
      <c r="B127" s="71" t="s">
        <v>117</v>
      </c>
      <c r="C127" s="86" t="s">
        <v>106</v>
      </c>
      <c r="D127" s="87"/>
      <c r="E127" s="88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</row>
    <row r="128" spans="1:80">
      <c r="A128" s="1"/>
      <c r="B128" s="71">
        <v>1</v>
      </c>
      <c r="C128" s="95">
        <f>10-(($C$121-C121)/($C$121-$C$125))*8</f>
        <v>10</v>
      </c>
      <c r="D128" s="96"/>
      <c r="E128" s="97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</row>
    <row r="129" spans="1:80">
      <c r="A129" s="1"/>
      <c r="B129" s="71">
        <v>2</v>
      </c>
      <c r="C129" s="95">
        <f>10-(($C$121-C122)/($C$121-$C$125))*8</f>
        <v>10</v>
      </c>
      <c r="D129" s="96"/>
      <c r="E129" s="97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</row>
    <row r="130" spans="1:80">
      <c r="A130" s="1"/>
      <c r="B130" s="71">
        <v>3</v>
      </c>
      <c r="C130" s="95">
        <f>10-(($C$121-C123)/($C$121-$C$125))*8</f>
        <v>9.2941176470588225</v>
      </c>
      <c r="D130" s="96"/>
      <c r="E130" s="97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</row>
    <row r="131" spans="1:80">
      <c r="A131" s="1"/>
      <c r="B131" s="71">
        <v>4</v>
      </c>
      <c r="C131" s="95">
        <f>10-(($C$121-C124)/($C$121-$C$125))*8</f>
        <v>7.4117647058823533</v>
      </c>
      <c r="D131" s="96"/>
      <c r="E131" s="97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</row>
    <row r="132" spans="1:80">
      <c r="A132" s="1"/>
      <c r="B132" s="71">
        <v>5</v>
      </c>
      <c r="C132" s="95">
        <f>10-(($C$121-C125)/($C$121-$C$125))*8</f>
        <v>2</v>
      </c>
      <c r="D132" s="96"/>
      <c r="E132" s="97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</row>
    <row r="133" spans="1:80">
      <c r="A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</row>
    <row r="134" spans="1:80">
      <c r="A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</row>
    <row r="135" spans="1:8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</row>
    <row r="136" spans="1:8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</row>
    <row r="137" spans="1:8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</row>
    <row r="138" spans="1:8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</row>
    <row r="139" spans="1:8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</row>
    <row r="140" spans="1:8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</row>
    <row r="141" spans="1:8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</row>
    <row r="142" spans="1:8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</row>
    <row r="143" spans="1:8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</row>
    <row r="144" spans="1:8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</row>
    <row r="145" spans="1:8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</row>
    <row r="146" spans="1:8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</row>
    <row r="147" spans="1:8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</row>
    <row r="148" spans="1:8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</row>
    <row r="149" spans="1:8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</row>
    <row r="150" spans="1:8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</row>
    <row r="151" spans="1:8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</row>
    <row r="152" spans="1:8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</row>
    <row r="153" spans="1:8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</row>
    <row r="154" spans="1:8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</row>
    <row r="155" spans="1:8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</row>
    <row r="156" spans="1:8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</row>
    <row r="157" spans="1:8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</row>
    <row r="158" spans="1:8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</row>
    <row r="159" spans="1:8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</row>
    <row r="160" spans="1:8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</row>
    <row r="161" spans="1:8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</row>
    <row r="162" spans="1:8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</row>
    <row r="163" spans="1:8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</row>
    <row r="164" spans="1:8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</row>
    <row r="165" spans="1:8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</row>
    <row r="166" spans="1:8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</row>
    <row r="167" spans="1:8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</row>
    <row r="168" spans="1:8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</row>
    <row r="169" spans="1:8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</row>
    <row r="170" spans="1:8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</row>
    <row r="171" spans="1:8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</row>
    <row r="172" spans="1:8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</row>
    <row r="173" spans="1:8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</row>
    <row r="174" spans="1:8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</row>
    <row r="175" spans="1:8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</row>
    <row r="176" spans="1:8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</row>
    <row r="177" spans="1:8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</row>
    <row r="178" spans="1:8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</row>
    <row r="179" spans="1:8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</row>
    <row r="180" spans="1: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</row>
    <row r="181" spans="1:8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</row>
    <row r="182" spans="1:8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</row>
    <row r="183" spans="1:8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</row>
    <row r="184" spans="1:8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</row>
    <row r="185" spans="1:8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</row>
    <row r="186" spans="1:8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</row>
    <row r="187" spans="1:8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</row>
    <row r="188" spans="1:8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</row>
    <row r="189" spans="1:8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</row>
    <row r="190" spans="1:8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</row>
    <row r="191" spans="1:8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</row>
    <row r="192" spans="1:8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</row>
    <row r="193" spans="1:8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</row>
    <row r="194" spans="1:8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</row>
    <row r="195" spans="1:8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</row>
    <row r="196" spans="1:8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</row>
    <row r="197" spans="1:8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</row>
    <row r="198" spans="1:8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</row>
    <row r="199" spans="1:8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</row>
    <row r="200" spans="1:8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</row>
    <row r="201" spans="1:8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</row>
    <row r="202" spans="1:8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</row>
    <row r="203" spans="1:8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</row>
    <row r="204" spans="1:8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</row>
    <row r="205" spans="1:8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</row>
    <row r="206" spans="1:8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</row>
    <row r="207" spans="1:8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</row>
    <row r="208" spans="1:8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</row>
    <row r="209" spans="1:8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</row>
    <row r="210" spans="1:8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</row>
    <row r="211" spans="1:8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</row>
    <row r="212" spans="1:8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</row>
    <row r="213" spans="1:8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</row>
    <row r="214" spans="1:8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</row>
    <row r="215" spans="1:8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</row>
    <row r="216" spans="1:8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</row>
    <row r="217" spans="1:8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</row>
    <row r="218" spans="1:8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</row>
    <row r="219" spans="1:8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</row>
    <row r="220" spans="1:8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</row>
    <row r="221" spans="1:8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</row>
    <row r="222" spans="1:8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</row>
    <row r="223" spans="1:8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</row>
    <row r="224" spans="1:8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</row>
    <row r="225" spans="1:8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</row>
    <row r="226" spans="1:8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</row>
    <row r="227" spans="1:8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</row>
    <row r="228" spans="1:8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</row>
    <row r="229" spans="1:8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</row>
    <row r="230" spans="1:8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</row>
    <row r="231" spans="1:8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</row>
    <row r="232" spans="1:8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</row>
    <row r="233" spans="1:8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</row>
    <row r="234" spans="1:8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</row>
    <row r="235" spans="1:8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</row>
    <row r="236" spans="1:8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</row>
    <row r="237" spans="1:8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</row>
    <row r="238" spans="1:8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</row>
    <row r="239" spans="1:8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</row>
    <row r="240" spans="1:8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</row>
    <row r="241" spans="1:8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</row>
    <row r="242" spans="1:8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</row>
    <row r="243" spans="1:8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</row>
    <row r="244" spans="1:8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</row>
    <row r="245" spans="1:8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</row>
    <row r="246" spans="1:8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</row>
    <row r="247" spans="1:8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</row>
    <row r="248" spans="1:8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</row>
    <row r="249" spans="1:8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</row>
    <row r="250" spans="1:8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</row>
    <row r="251" spans="1:8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</row>
    <row r="252" spans="1:8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</row>
    <row r="253" spans="1:8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</row>
    <row r="254" spans="1:8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</row>
    <row r="255" spans="1:8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</row>
    <row r="256" spans="1:8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</row>
    <row r="257" spans="1:8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</row>
    <row r="258" spans="1:8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</row>
    <row r="259" spans="1:8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</row>
    <row r="260" spans="1:8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</row>
    <row r="261" spans="1:8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</row>
    <row r="262" spans="1:8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</row>
    <row r="263" spans="1:8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</row>
    <row r="264" spans="1:8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</row>
    <row r="265" spans="1:8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</row>
    <row r="266" spans="1:8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</row>
    <row r="267" spans="1:8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</row>
    <row r="268" spans="1:8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</row>
    <row r="269" spans="1:8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</row>
    <row r="270" spans="1:8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</row>
    <row r="271" spans="1:8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</row>
    <row r="272" spans="1:8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</row>
    <row r="273" spans="1:8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</row>
    <row r="274" spans="1:8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</row>
    <row r="275" spans="1:8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</row>
    <row r="276" spans="1:8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</row>
    <row r="277" spans="1:8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</row>
    <row r="278" spans="1:8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</row>
    <row r="279" spans="1:8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</row>
    <row r="280" spans="1: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</row>
    <row r="281" spans="1:8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</row>
    <row r="282" spans="1:8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</row>
    <row r="283" spans="1:8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</row>
    <row r="284" spans="1:8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</row>
    <row r="285" spans="1:8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</row>
    <row r="286" spans="1:8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</row>
    <row r="287" spans="1:8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</row>
    <row r="288" spans="1:8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</row>
    <row r="289" spans="1:8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</row>
    <row r="290" spans="1:8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</row>
    <row r="291" spans="1:8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</row>
    <row r="292" spans="1:8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</row>
    <row r="293" spans="1:8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</row>
    <row r="294" spans="1:8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</row>
    <row r="295" spans="1:8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</row>
    <row r="296" spans="1:8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</row>
    <row r="297" spans="1:8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</row>
    <row r="298" spans="1:8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</row>
    <row r="299" spans="1:8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</row>
    <row r="300" spans="1:8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</row>
    <row r="301" spans="1:8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</row>
    <row r="302" spans="1:8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</row>
    <row r="303" spans="1:8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</row>
    <row r="304" spans="1:8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</row>
    <row r="305" spans="1:8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</row>
    <row r="306" spans="1:8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</row>
    <row r="307" spans="1:8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</row>
    <row r="308" spans="1:8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</row>
    <row r="309" spans="1:8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</row>
    <row r="310" spans="1:8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</row>
    <row r="311" spans="1:8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</row>
    <row r="312" spans="1:8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</row>
    <row r="313" spans="1:8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</row>
    <row r="314" spans="1:8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</row>
    <row r="315" spans="1:8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</row>
    <row r="316" spans="1:8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</row>
    <row r="317" spans="1:8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</row>
    <row r="318" spans="1:8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</row>
    <row r="319" spans="1:8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</row>
    <row r="320" spans="1:8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</row>
    <row r="321" spans="1:8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</row>
    <row r="322" spans="1:8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</row>
    <row r="323" spans="1:8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</row>
    <row r="324" spans="1:8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</row>
    <row r="325" spans="1:8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</row>
    <row r="326" spans="1:8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</row>
    <row r="327" spans="1:8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</row>
    <row r="328" spans="1:8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</row>
    <row r="329" spans="1:8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</row>
    <row r="330" spans="1:8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</row>
    <row r="331" spans="1:8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</row>
    <row r="332" spans="1:8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</row>
    <row r="333" spans="1:8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</row>
    <row r="334" spans="1:8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</row>
    <row r="335" spans="1:8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</row>
    <row r="336" spans="1:8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</row>
    <row r="337" spans="1:8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</row>
    <row r="338" spans="1:8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</row>
    <row r="339" spans="1:8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</row>
    <row r="340" spans="1:8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</row>
    <row r="341" spans="1:8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</row>
    <row r="342" spans="1:8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</row>
    <row r="343" spans="1:8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</row>
    <row r="344" spans="1:8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</row>
    <row r="345" spans="1:8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</row>
    <row r="346" spans="1:8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</row>
    <row r="347" spans="1:8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</row>
    <row r="348" spans="1:8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</row>
    <row r="349" spans="1:8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</row>
    <row r="350" spans="1:8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</row>
    <row r="351" spans="1:8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</row>
    <row r="352" spans="1:8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</row>
    <row r="353" spans="1:8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</row>
    <row r="354" spans="1:8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</row>
    <row r="355" spans="1:8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</row>
    <row r="356" spans="1:8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</row>
    <row r="357" spans="1:8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</row>
    <row r="358" spans="1:8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</row>
    <row r="359" spans="1:8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</row>
    <row r="360" spans="1:8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</row>
    <row r="361" spans="1:8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</row>
    <row r="362" spans="1:8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</row>
    <row r="363" spans="1:8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</row>
    <row r="364" spans="1:8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</row>
    <row r="365" spans="1:8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</row>
    <row r="366" spans="1:8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</row>
    <row r="367" spans="1:8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</row>
    <row r="368" spans="1:8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</row>
    <row r="369" spans="1:8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</row>
    <row r="370" spans="1:8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</row>
    <row r="371" spans="1:8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</row>
    <row r="372" spans="1:8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</row>
    <row r="373" spans="1:8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</row>
    <row r="374" spans="1:8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</row>
    <row r="375" spans="1:8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</row>
    <row r="376" spans="1:8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</row>
    <row r="377" spans="1:8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</row>
    <row r="378" spans="1:8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</row>
    <row r="379" spans="1:8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</row>
    <row r="380" spans="1: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</row>
    <row r="381" spans="1:8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</row>
    <row r="382" spans="1:8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</row>
    <row r="383" spans="1:8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</row>
    <row r="384" spans="1:8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</row>
    <row r="385" spans="1:8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</row>
    <row r="386" spans="1:8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</row>
    <row r="387" spans="1:8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</row>
    <row r="388" spans="1:8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</row>
    <row r="389" spans="1:8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</row>
    <row r="390" spans="1:8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</row>
    <row r="391" spans="1:8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</row>
    <row r="392" spans="1:8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</row>
    <row r="393" spans="1:8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</row>
    <row r="394" spans="1:8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</row>
    <row r="395" spans="1:8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</row>
    <row r="396" spans="1:8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</row>
    <row r="397" spans="1:8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</row>
    <row r="398" spans="1:8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</row>
    <row r="399" spans="1:8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</row>
    <row r="400" spans="1:8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</row>
    <row r="401" spans="1:80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</row>
    <row r="402" spans="1:8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</row>
    <row r="403" spans="1:80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</row>
    <row r="404" spans="1:80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</row>
    <row r="405" spans="1:80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</row>
    <row r="406" spans="1:80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</row>
    <row r="407" spans="1:80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</row>
    <row r="408" spans="1:80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</row>
    <row r="409" spans="1:80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</row>
    <row r="410" spans="1:8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</row>
    <row r="411" spans="1:80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</row>
    <row r="412" spans="1:80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</row>
    <row r="413" spans="1:80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</row>
    <row r="414" spans="1:80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</row>
    <row r="415" spans="1:80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</row>
    <row r="416" spans="1:80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</row>
    <row r="417" spans="1:80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</row>
    <row r="418" spans="1:80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</row>
    <row r="419" spans="1:80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</row>
    <row r="420" spans="1:8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</row>
    <row r="421" spans="1:80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</row>
    <row r="422" spans="1:80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</row>
    <row r="423" spans="1:80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</row>
    <row r="424" spans="1:80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</row>
    <row r="425" spans="1:80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</row>
    <row r="426" spans="1:80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</row>
    <row r="427" spans="1:80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</row>
    <row r="428" spans="1:80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</row>
    <row r="429" spans="1:80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</row>
    <row r="430" spans="1:8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</row>
    <row r="431" spans="1:80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</row>
    <row r="432" spans="1:80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</row>
    <row r="433" spans="1:80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</row>
    <row r="434" spans="1:80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</row>
    <row r="435" spans="1:80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</row>
    <row r="436" spans="1:80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</row>
    <row r="437" spans="1:80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</row>
    <row r="438" spans="1:80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</row>
    <row r="439" spans="1:80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</row>
    <row r="440" spans="1:8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</row>
    <row r="441" spans="1:80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</row>
    <row r="442" spans="1:80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</row>
    <row r="443" spans="1:80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</row>
    <row r="444" spans="1:80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</row>
    <row r="445" spans="1:80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</row>
    <row r="446" spans="1:80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</row>
    <row r="447" spans="1:80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</row>
    <row r="448" spans="1:80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</row>
    <row r="449" spans="1:80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</row>
    <row r="450" spans="1:8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</row>
    <row r="451" spans="1:80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</row>
    <row r="452" spans="1:80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</row>
    <row r="453" spans="1:80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</row>
    <row r="454" spans="1:80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</row>
    <row r="455" spans="1:80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</row>
    <row r="456" spans="1:80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</row>
    <row r="457" spans="1:80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</row>
    <row r="458" spans="1:80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</row>
    <row r="459" spans="1:80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</row>
    <row r="460" spans="1:8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</row>
    <row r="461" spans="1:80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</row>
    <row r="462" spans="1:80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</row>
    <row r="463" spans="1:80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</row>
    <row r="464" spans="1:80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</row>
    <row r="465" spans="1:80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</row>
    <row r="466" spans="1:80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</row>
    <row r="467" spans="1:80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</row>
    <row r="468" spans="1:80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</row>
    <row r="469" spans="1:80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</row>
    <row r="470" spans="1:8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</row>
    <row r="471" spans="1:80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</row>
    <row r="472" spans="1:80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</row>
    <row r="473" spans="1:80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</row>
    <row r="474" spans="1:80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</row>
    <row r="475" spans="1:80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</row>
    <row r="476" spans="1:80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</row>
    <row r="477" spans="1:80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</row>
    <row r="478" spans="1:80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</row>
    <row r="479" spans="1:80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</row>
    <row r="480" spans="1: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</row>
    <row r="481" spans="1:80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</row>
    <row r="482" spans="1:80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</row>
    <row r="483" spans="1:80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</row>
    <row r="484" spans="1:80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</row>
    <row r="485" spans="1:80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</row>
    <row r="486" spans="1:80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</row>
  </sheetData>
  <mergeCells count="2">
    <mergeCell ref="B3:E3"/>
    <mergeCell ref="B59:E5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CDC25-7667-4DBD-BC43-0315D66D7FA5}">
  <dimension ref="A2:BP23"/>
  <sheetViews>
    <sheetView zoomScale="57" workbookViewId="0"/>
  </sheetViews>
  <sheetFormatPr defaultRowHeight="14.5"/>
  <cols>
    <col min="3" max="3" width="8" bestFit="1" customWidth="1"/>
    <col min="4" max="4" width="12" bestFit="1" customWidth="1"/>
  </cols>
  <sheetData>
    <row r="2" spans="1:68">
      <c r="B2" s="66" t="s">
        <v>95</v>
      </c>
      <c r="C2" s="66">
        <v>2019</v>
      </c>
      <c r="D2" s="67">
        <v>2019</v>
      </c>
      <c r="E2" s="66">
        <v>2020</v>
      </c>
      <c r="F2" s="67">
        <v>2020</v>
      </c>
      <c r="G2" s="66">
        <v>2021</v>
      </c>
      <c r="H2" s="67">
        <v>2021</v>
      </c>
      <c r="I2" s="66">
        <v>2022</v>
      </c>
      <c r="J2" s="67">
        <v>2022</v>
      </c>
      <c r="K2" s="66">
        <v>2023</v>
      </c>
      <c r="L2" s="67">
        <v>2023</v>
      </c>
      <c r="M2" s="66">
        <v>2024</v>
      </c>
      <c r="N2" s="67">
        <v>2024</v>
      </c>
      <c r="O2" s="66">
        <v>2025</v>
      </c>
      <c r="P2" s="67">
        <v>2025</v>
      </c>
      <c r="Q2" s="66">
        <v>2026</v>
      </c>
      <c r="R2" s="67">
        <v>2026</v>
      </c>
      <c r="S2" s="66">
        <v>2027</v>
      </c>
      <c r="T2" s="67">
        <v>2027</v>
      </c>
      <c r="U2" s="66">
        <v>2028</v>
      </c>
      <c r="V2" s="67">
        <v>2028</v>
      </c>
      <c r="W2" s="66">
        <v>2029</v>
      </c>
      <c r="X2" s="67">
        <v>2029</v>
      </c>
      <c r="Y2" s="66">
        <v>2030</v>
      </c>
      <c r="Z2" s="67">
        <v>2030</v>
      </c>
      <c r="AA2" s="66">
        <v>2031</v>
      </c>
      <c r="AB2" s="67">
        <v>2031</v>
      </c>
      <c r="AC2" s="66">
        <v>2032</v>
      </c>
      <c r="AD2" s="67">
        <v>2032</v>
      </c>
      <c r="AE2" s="66">
        <v>2033</v>
      </c>
      <c r="AF2" s="67">
        <v>2033</v>
      </c>
      <c r="AG2" s="66">
        <v>2034</v>
      </c>
      <c r="AH2" s="67">
        <v>2034</v>
      </c>
      <c r="AI2" s="66">
        <v>2035</v>
      </c>
      <c r="AJ2" s="67">
        <v>2035</v>
      </c>
      <c r="AK2" s="66">
        <v>2036</v>
      </c>
      <c r="AL2" s="67">
        <v>2036</v>
      </c>
      <c r="AM2" s="66">
        <v>2037</v>
      </c>
      <c r="AN2" s="67">
        <v>2037</v>
      </c>
      <c r="AO2" s="66">
        <v>2038</v>
      </c>
      <c r="AP2" s="67">
        <v>2038</v>
      </c>
      <c r="AQ2" s="66">
        <v>2039</v>
      </c>
      <c r="AR2" s="67">
        <v>2039</v>
      </c>
      <c r="AS2" s="66">
        <v>2040</v>
      </c>
      <c r="AT2" s="67">
        <v>2040</v>
      </c>
      <c r="AU2" s="66">
        <v>2041</v>
      </c>
      <c r="AV2" s="67">
        <v>2041</v>
      </c>
      <c r="AW2" s="66">
        <v>2042</v>
      </c>
      <c r="AX2" s="67">
        <v>2042</v>
      </c>
      <c r="AY2" s="66">
        <v>2043</v>
      </c>
      <c r="AZ2" s="67">
        <v>2043</v>
      </c>
      <c r="BA2" s="66">
        <v>2044</v>
      </c>
      <c r="BB2" s="67">
        <v>2044</v>
      </c>
      <c r="BC2" s="66">
        <v>2045</v>
      </c>
      <c r="BD2" s="67">
        <v>2045</v>
      </c>
      <c r="BE2" s="66">
        <v>2046</v>
      </c>
      <c r="BF2" s="67">
        <v>2046</v>
      </c>
      <c r="BG2" s="66">
        <v>2047</v>
      </c>
      <c r="BH2" s="67">
        <v>2047</v>
      </c>
      <c r="BI2" s="66">
        <v>2048</v>
      </c>
      <c r="BJ2" s="67">
        <v>2048</v>
      </c>
      <c r="BK2" s="66">
        <v>2049</v>
      </c>
      <c r="BL2" s="67">
        <v>2049</v>
      </c>
      <c r="BM2" s="66">
        <v>2050</v>
      </c>
      <c r="BN2" s="67">
        <v>2050</v>
      </c>
    </row>
    <row r="3" spans="1:68">
      <c r="B3" s="66">
        <v>1</v>
      </c>
      <c r="C3" s="66" t="s">
        <v>88</v>
      </c>
      <c r="D3" s="67">
        <v>10</v>
      </c>
      <c r="E3" s="66" t="s">
        <v>98</v>
      </c>
      <c r="F3" s="67">
        <v>10</v>
      </c>
      <c r="G3" s="66" t="s">
        <v>98</v>
      </c>
      <c r="H3" s="67">
        <v>10</v>
      </c>
      <c r="I3" s="66" t="s">
        <v>98</v>
      </c>
      <c r="J3" s="67">
        <v>10</v>
      </c>
      <c r="K3" s="66" t="s">
        <v>98</v>
      </c>
      <c r="L3" s="67">
        <v>10</v>
      </c>
      <c r="M3" s="66" t="s">
        <v>98</v>
      </c>
      <c r="N3" s="67">
        <v>10</v>
      </c>
      <c r="O3" s="66" t="s">
        <v>98</v>
      </c>
      <c r="P3" s="67">
        <v>10</v>
      </c>
      <c r="Q3" s="66" t="s">
        <v>98</v>
      </c>
      <c r="R3" s="67">
        <v>10</v>
      </c>
      <c r="S3" s="66" t="s">
        <v>98</v>
      </c>
      <c r="T3" s="67">
        <v>10</v>
      </c>
      <c r="U3" s="66" t="s">
        <v>98</v>
      </c>
      <c r="V3" s="67">
        <v>10</v>
      </c>
      <c r="W3" s="66" t="s">
        <v>98</v>
      </c>
      <c r="X3" s="67">
        <v>10</v>
      </c>
      <c r="Y3" s="66" t="s">
        <v>98</v>
      </c>
      <c r="Z3" s="67">
        <v>10</v>
      </c>
      <c r="AA3" s="66" t="s">
        <v>98</v>
      </c>
      <c r="AB3" s="67">
        <v>10</v>
      </c>
      <c r="AC3" s="66" t="s">
        <v>98</v>
      </c>
      <c r="AD3" s="67">
        <v>10</v>
      </c>
      <c r="AE3" s="66" t="s">
        <v>98</v>
      </c>
      <c r="AF3" s="67">
        <v>10</v>
      </c>
      <c r="AG3" s="66" t="s">
        <v>98</v>
      </c>
      <c r="AH3" s="67">
        <v>10</v>
      </c>
      <c r="AI3" s="66" t="s">
        <v>98</v>
      </c>
      <c r="AJ3" s="67">
        <v>10</v>
      </c>
      <c r="AK3" s="66" t="s">
        <v>98</v>
      </c>
      <c r="AL3" s="67">
        <v>10</v>
      </c>
      <c r="AM3" s="66" t="s">
        <v>98</v>
      </c>
      <c r="AN3" s="67">
        <v>10</v>
      </c>
      <c r="AO3" s="66" t="s">
        <v>98</v>
      </c>
      <c r="AP3" s="67">
        <v>10</v>
      </c>
      <c r="AQ3" s="66" t="s">
        <v>98</v>
      </c>
      <c r="AR3" s="67">
        <v>10</v>
      </c>
      <c r="AS3" s="66" t="s">
        <v>98</v>
      </c>
      <c r="AT3" s="67">
        <v>10</v>
      </c>
      <c r="AU3" s="66" t="s">
        <v>98</v>
      </c>
      <c r="AV3" s="67">
        <v>10</v>
      </c>
      <c r="AW3" s="66" t="s">
        <v>98</v>
      </c>
      <c r="AX3" s="67">
        <v>10</v>
      </c>
      <c r="AY3" s="66" t="s">
        <v>98</v>
      </c>
      <c r="AZ3" s="67">
        <v>10</v>
      </c>
      <c r="BA3" s="66" t="s">
        <v>98</v>
      </c>
      <c r="BB3" s="67">
        <v>10</v>
      </c>
      <c r="BC3" s="66" t="s">
        <v>98</v>
      </c>
      <c r="BD3" s="67">
        <v>10</v>
      </c>
      <c r="BE3" s="66" t="s">
        <v>98</v>
      </c>
      <c r="BF3" s="67">
        <v>10</v>
      </c>
      <c r="BG3" s="66" t="s">
        <v>98</v>
      </c>
      <c r="BH3" s="67">
        <v>10</v>
      </c>
      <c r="BI3" s="66" t="s">
        <v>98</v>
      </c>
      <c r="BJ3" s="67">
        <v>10</v>
      </c>
      <c r="BK3" s="66" t="s">
        <v>98</v>
      </c>
      <c r="BL3" s="67">
        <v>10</v>
      </c>
      <c r="BM3" s="66" t="s">
        <v>98</v>
      </c>
      <c r="BN3" s="67">
        <v>10</v>
      </c>
    </row>
    <row r="4" spans="1:68">
      <c r="B4" s="66">
        <v>2</v>
      </c>
      <c r="C4" s="66" t="s">
        <v>98</v>
      </c>
      <c r="D4" s="67">
        <v>9.5872628001417031</v>
      </c>
      <c r="E4" s="66" t="s">
        <v>88</v>
      </c>
      <c r="F4" s="67">
        <v>8.8372022886079034</v>
      </c>
      <c r="G4" s="66" t="s">
        <v>88</v>
      </c>
      <c r="H4" s="67">
        <v>7.6249658434222951</v>
      </c>
      <c r="I4" s="66" t="s">
        <v>88</v>
      </c>
      <c r="J4" s="67">
        <v>6.6753443510165393</v>
      </c>
      <c r="K4" s="66" t="s">
        <v>88</v>
      </c>
      <c r="L4" s="67">
        <v>5.9125034610762919</v>
      </c>
      <c r="M4" s="66" t="s">
        <v>88</v>
      </c>
      <c r="N4" s="67">
        <v>5.2871911946882122</v>
      </c>
      <c r="O4" s="66" t="s">
        <v>88</v>
      </c>
      <c r="P4" s="67">
        <v>4.7660318755315618</v>
      </c>
      <c r="Q4" s="66" t="s">
        <v>88</v>
      </c>
      <c r="R4" s="67">
        <v>4.3256083960843572</v>
      </c>
      <c r="S4" s="66" t="s">
        <v>88</v>
      </c>
      <c r="T4" s="67">
        <v>3.9490076242444854</v>
      </c>
      <c r="U4" s="66" t="s">
        <v>88</v>
      </c>
      <c r="V4" s="67">
        <v>3.6237104498711412</v>
      </c>
      <c r="W4" s="66" t="s">
        <v>88</v>
      </c>
      <c r="X4" s="67">
        <v>3.4155276968405905</v>
      </c>
      <c r="Y4" s="66" t="s">
        <v>88</v>
      </c>
      <c r="Z4" s="67">
        <v>5.991147062544024</v>
      </c>
      <c r="AA4" s="66" t="s">
        <v>88</v>
      </c>
      <c r="AB4" s="67">
        <v>5.9608243312764744</v>
      </c>
      <c r="AC4" s="66" t="s">
        <v>88</v>
      </c>
      <c r="AD4" s="67">
        <v>5.9289626601954097</v>
      </c>
      <c r="AE4" s="66" t="s">
        <v>88</v>
      </c>
      <c r="AF4" s="67">
        <v>5.895441842478947</v>
      </c>
      <c r="AG4" s="66" t="s">
        <v>88</v>
      </c>
      <c r="AH4" s="67">
        <v>5.9606383715015445</v>
      </c>
      <c r="AI4" s="66" t="s">
        <v>88</v>
      </c>
      <c r="AJ4" s="67">
        <v>6.0592246823699387</v>
      </c>
      <c r="AK4" s="66" t="s">
        <v>88</v>
      </c>
      <c r="AL4" s="67">
        <v>6.1569453834893819</v>
      </c>
      <c r="AM4" s="66" t="s">
        <v>88</v>
      </c>
      <c r="AN4" s="67">
        <v>6.253778969665321</v>
      </c>
      <c r="AO4" s="66" t="s">
        <v>88</v>
      </c>
      <c r="AP4" s="67">
        <v>6.3497059319105027</v>
      </c>
      <c r="AQ4" s="66" t="s">
        <v>88</v>
      </c>
      <c r="AR4" s="67">
        <v>6.4447086715349062</v>
      </c>
      <c r="AS4" s="66" t="s">
        <v>88</v>
      </c>
      <c r="AT4" s="67">
        <v>6.5387714154175391</v>
      </c>
      <c r="AU4" s="66" t="s">
        <v>88</v>
      </c>
      <c r="AV4" s="67">
        <v>6.6318801326681474</v>
      </c>
      <c r="AW4" s="66" t="s">
        <v>88</v>
      </c>
      <c r="AX4" s="67">
        <v>6.724022452860587</v>
      </c>
      <c r="AY4" s="66" t="s">
        <v>88</v>
      </c>
      <c r="AZ4" s="67">
        <v>6.8151875859948454</v>
      </c>
      <c r="BA4" s="66" t="s">
        <v>88</v>
      </c>
      <c r="BB4" s="67">
        <v>6.9053662443217814</v>
      </c>
      <c r="BC4" s="66" t="s">
        <v>88</v>
      </c>
      <c r="BD4" s="67">
        <v>6.9945505661431957</v>
      </c>
      <c r="BE4" s="66" t="s">
        <v>88</v>
      </c>
      <c r="BF4" s="67">
        <v>7.0827340416802729</v>
      </c>
      <c r="BG4" s="66" t="s">
        <v>88</v>
      </c>
      <c r="BH4" s="67">
        <v>7.1699114410850928</v>
      </c>
      <c r="BI4" s="66" t="s">
        <v>88</v>
      </c>
      <c r="BJ4" s="67">
        <v>7.2560787446535269</v>
      </c>
      <c r="BK4" s="66" t="s">
        <v>88</v>
      </c>
      <c r="BL4" s="67">
        <v>7.3412330752823172</v>
      </c>
      <c r="BM4" s="66" t="s">
        <v>88</v>
      </c>
      <c r="BN4" s="67">
        <v>7.4253726331997996</v>
      </c>
    </row>
    <row r="5" spans="1:68">
      <c r="B5" s="66">
        <v>3</v>
      </c>
      <c r="C5" s="66" t="s">
        <v>97</v>
      </c>
      <c r="D5" s="67">
        <v>6.6983114711600553</v>
      </c>
      <c r="E5" s="66" t="s">
        <v>97</v>
      </c>
      <c r="F5" s="67">
        <v>5.8100098969929519</v>
      </c>
      <c r="G5" s="66" t="s">
        <v>97</v>
      </c>
      <c r="H5" s="67">
        <v>4.9438697820759137</v>
      </c>
      <c r="I5" s="66" t="s">
        <v>97</v>
      </c>
      <c r="J5" s="67">
        <v>4.2667548067615213</v>
      </c>
      <c r="K5" s="66" t="s">
        <v>97</v>
      </c>
      <c r="L5" s="67">
        <v>3.7240299466986837</v>
      </c>
      <c r="M5" s="66" t="s">
        <v>97</v>
      </c>
      <c r="N5" s="67">
        <v>3.2802140303501188</v>
      </c>
      <c r="O5" s="66" t="s">
        <v>97</v>
      </c>
      <c r="P5" s="67">
        <v>2.9112653553873109</v>
      </c>
      <c r="Q5" s="66" t="s">
        <v>97</v>
      </c>
      <c r="R5" s="67">
        <v>2.6003176075858825</v>
      </c>
      <c r="S5" s="66" t="s">
        <v>97</v>
      </c>
      <c r="T5" s="67">
        <v>2.3351906293971965</v>
      </c>
      <c r="U5" s="66" t="s">
        <v>97</v>
      </c>
      <c r="V5" s="67">
        <v>2.1068700864734149</v>
      </c>
      <c r="W5" s="66" t="s">
        <v>5</v>
      </c>
      <c r="X5" s="67">
        <v>2.1467272413851424</v>
      </c>
      <c r="Y5" s="66" t="s">
        <v>5</v>
      </c>
      <c r="Z5" s="67">
        <v>2.8323793401156143</v>
      </c>
      <c r="AA5" s="66" t="s">
        <v>5</v>
      </c>
      <c r="AB5" s="67">
        <v>2.6383114482592465</v>
      </c>
      <c r="AC5" s="66" t="s">
        <v>5</v>
      </c>
      <c r="AD5" s="67">
        <v>2.4343942191955055</v>
      </c>
      <c r="AE5" s="66" t="s">
        <v>5</v>
      </c>
      <c r="AF5" s="67">
        <v>2.219858319703583</v>
      </c>
      <c r="AG5" s="66" t="s">
        <v>97</v>
      </c>
      <c r="AH5" s="67">
        <v>2.1942274038984202</v>
      </c>
      <c r="AI5" s="66" t="s">
        <v>97</v>
      </c>
      <c r="AJ5" s="67">
        <v>2.452653589648917</v>
      </c>
      <c r="AK5" s="66" t="s">
        <v>97</v>
      </c>
      <c r="AL5" s="67">
        <v>2.7085085744165482</v>
      </c>
      <c r="AM5" s="66" t="s">
        <v>97</v>
      </c>
      <c r="AN5" s="67">
        <v>2.9617471984417065</v>
      </c>
      <c r="AO5" s="66" t="s">
        <v>97</v>
      </c>
      <c r="AP5" s="67">
        <v>3.2123293034163982</v>
      </c>
      <c r="AQ5" s="66" t="s">
        <v>97</v>
      </c>
      <c r="AR5" s="67">
        <v>3.4602195018160655</v>
      </c>
      <c r="AS5" s="66" t="s">
        <v>97</v>
      </c>
      <c r="AT5" s="67">
        <v>3.7053869503434882</v>
      </c>
      <c r="AU5" s="66" t="s">
        <v>97</v>
      </c>
      <c r="AV5" s="67">
        <v>3.9478051279615167</v>
      </c>
      <c r="AW5" s="66" t="s">
        <v>97</v>
      </c>
      <c r="AX5" s="67">
        <v>4.1874516189243831</v>
      </c>
      <c r="AY5" s="66" t="s">
        <v>97</v>
      </c>
      <c r="AZ5" s="67">
        <v>4.4243079011549478</v>
      </c>
      <c r="BA5" s="66" t="s">
        <v>97</v>
      </c>
      <c r="BB5" s="67">
        <v>4.6583591402570175</v>
      </c>
      <c r="BC5" s="66" t="s">
        <v>97</v>
      </c>
      <c r="BD5" s="67">
        <v>4.8895939893985148</v>
      </c>
      <c r="BE5" s="66" t="s">
        <v>97</v>
      </c>
      <c r="BF5" s="67">
        <v>5.1180043952522398</v>
      </c>
      <c r="BG5" s="66" t="s">
        <v>97</v>
      </c>
      <c r="BH5" s="67">
        <v>5.3435854101357529</v>
      </c>
      <c r="BI5" s="66" t="s">
        <v>97</v>
      </c>
      <c r="BJ5" s="67">
        <v>5.5663350104512954</v>
      </c>
      <c r="BK5" s="66" t="s">
        <v>97</v>
      </c>
      <c r="BL5" s="67">
        <v>5.7862539214889557</v>
      </c>
      <c r="BM5" s="66" t="s">
        <v>97</v>
      </c>
      <c r="BN5" s="67">
        <v>6.0033454486235325</v>
      </c>
    </row>
    <row r="6" spans="1:68">
      <c r="B6" s="66">
        <v>4</v>
      </c>
      <c r="C6" s="66" t="s">
        <v>5</v>
      </c>
      <c r="D6" s="67">
        <v>3.2961457695111083</v>
      </c>
      <c r="E6" s="66" t="s">
        <v>5</v>
      </c>
      <c r="F6" s="67">
        <v>3.0566184071534845</v>
      </c>
      <c r="G6" s="66" t="s">
        <v>5</v>
      </c>
      <c r="H6" s="67">
        <v>2.8246503424214771</v>
      </c>
      <c r="I6" s="66" t="s">
        <v>5</v>
      </c>
      <c r="J6" s="67">
        <v>2.6457108623412129</v>
      </c>
      <c r="K6" s="66" t="s">
        <v>5</v>
      </c>
      <c r="L6" s="67">
        <v>2.5043851946321292</v>
      </c>
      <c r="M6" s="66" t="s">
        <v>5</v>
      </c>
      <c r="N6" s="67">
        <v>2.3906669907005025</v>
      </c>
      <c r="O6" s="66" t="s">
        <v>5</v>
      </c>
      <c r="P6" s="67">
        <v>2.2977797672905096</v>
      </c>
      <c r="Q6" s="66" t="s">
        <v>5</v>
      </c>
      <c r="R6" s="67">
        <v>2.2209727406222237</v>
      </c>
      <c r="S6" s="66" t="s">
        <v>5</v>
      </c>
      <c r="T6" s="67">
        <v>2.15681789031796</v>
      </c>
      <c r="U6" s="66" t="s">
        <v>5</v>
      </c>
      <c r="V6" s="67">
        <v>2.1027806453832181</v>
      </c>
      <c r="W6" s="66" t="s">
        <v>100</v>
      </c>
      <c r="X6" s="67">
        <v>2.0904234055067112</v>
      </c>
      <c r="Y6" s="66" t="s">
        <v>100</v>
      </c>
      <c r="Z6" s="67">
        <v>2.7798631452780871</v>
      </c>
      <c r="AA6" s="66" t="s">
        <v>100</v>
      </c>
      <c r="AB6" s="67">
        <v>2.554630515940703</v>
      </c>
      <c r="AC6" s="66" t="s">
        <v>100</v>
      </c>
      <c r="AD6" s="67">
        <v>2.3170480708959653</v>
      </c>
      <c r="AE6" s="66" t="s">
        <v>100</v>
      </c>
      <c r="AF6" s="67">
        <v>2.066167751755474</v>
      </c>
      <c r="AG6" s="66" t="s">
        <v>5</v>
      </c>
      <c r="AH6" s="67">
        <v>2.1882288149839519</v>
      </c>
      <c r="AI6" s="66" t="s">
        <v>5</v>
      </c>
      <c r="AJ6" s="67">
        <v>2.2219222952850703</v>
      </c>
      <c r="AK6" s="66" t="s">
        <v>5</v>
      </c>
      <c r="AL6" s="67">
        <v>2.2560182859531688</v>
      </c>
      <c r="AM6" s="66" t="s">
        <v>5</v>
      </c>
      <c r="AN6" s="67">
        <v>2.2904835238972927</v>
      </c>
      <c r="AO6" s="66" t="s">
        <v>5</v>
      </c>
      <c r="AP6" s="67">
        <v>2.3252859627089473</v>
      </c>
      <c r="AQ6" s="66" t="s">
        <v>5</v>
      </c>
      <c r="AR6" s="67">
        <v>2.3603947559440588</v>
      </c>
      <c r="AS6" s="66" t="s">
        <v>5</v>
      </c>
      <c r="AT6" s="67">
        <v>2.3957802384653695</v>
      </c>
      <c r="AU6" s="66" t="s">
        <v>5</v>
      </c>
      <c r="AV6" s="67">
        <v>2.4314139060747824</v>
      </c>
      <c r="AW6" s="66" t="s">
        <v>5</v>
      </c>
      <c r="AX6" s="67">
        <v>2.4672683936517368</v>
      </c>
      <c r="AY6" s="66" t="s">
        <v>5</v>
      </c>
      <c r="AZ6" s="67">
        <v>2.5033174520000188</v>
      </c>
      <c r="BA6" s="66" t="s">
        <v>5</v>
      </c>
      <c r="BB6" s="67">
        <v>2.5395359235922674</v>
      </c>
      <c r="BC6" s="66" t="s">
        <v>5</v>
      </c>
      <c r="BD6" s="67">
        <v>2.5758997173883822</v>
      </c>
      <c r="BE6" s="66" t="s">
        <v>5</v>
      </c>
      <c r="BF6" s="67">
        <v>2.6123857828913497</v>
      </c>
      <c r="BG6" s="66" t="s">
        <v>5</v>
      </c>
      <c r="BH6" s="67">
        <v>2.6489720835918753</v>
      </c>
      <c r="BI6" s="66" t="s">
        <v>5</v>
      </c>
      <c r="BJ6" s="67">
        <v>2.6856375699414716</v>
      </c>
      <c r="BK6" s="66" t="s">
        <v>5</v>
      </c>
      <c r="BL6" s="67">
        <v>2.7223621519821206</v>
      </c>
      <c r="BM6" s="66" t="s">
        <v>5</v>
      </c>
      <c r="BN6" s="67">
        <v>2.7591266717500869</v>
      </c>
    </row>
    <row r="7" spans="1:68">
      <c r="B7" s="66">
        <v>5</v>
      </c>
      <c r="C7" s="66" t="s">
        <v>100</v>
      </c>
      <c r="D7" s="67">
        <v>2</v>
      </c>
      <c r="E7" s="66" t="s">
        <v>100</v>
      </c>
      <c r="F7" s="67">
        <v>2</v>
      </c>
      <c r="G7" s="66" t="s">
        <v>100</v>
      </c>
      <c r="H7" s="67">
        <v>2</v>
      </c>
      <c r="I7" s="66" t="s">
        <v>100</v>
      </c>
      <c r="J7" s="67">
        <v>2</v>
      </c>
      <c r="K7" s="66" t="s">
        <v>100</v>
      </c>
      <c r="L7" s="67">
        <v>2</v>
      </c>
      <c r="M7" s="66" t="s">
        <v>100</v>
      </c>
      <c r="N7" s="67">
        <v>2</v>
      </c>
      <c r="O7" s="66" t="s">
        <v>100</v>
      </c>
      <c r="P7" s="67">
        <v>2</v>
      </c>
      <c r="Q7" s="66" t="s">
        <v>100</v>
      </c>
      <c r="R7" s="67">
        <v>2</v>
      </c>
      <c r="S7" s="66" t="s">
        <v>100</v>
      </c>
      <c r="T7" s="67">
        <v>2</v>
      </c>
      <c r="U7" s="66" t="s">
        <v>100</v>
      </c>
      <c r="V7" s="67">
        <v>2</v>
      </c>
      <c r="W7" s="66" t="s">
        <v>97</v>
      </c>
      <c r="X7" s="67">
        <v>2</v>
      </c>
      <c r="Y7" s="66" t="s">
        <v>97</v>
      </c>
      <c r="Z7" s="67">
        <v>2</v>
      </c>
      <c r="AA7" s="66" t="s">
        <v>97</v>
      </c>
      <c r="AB7" s="67">
        <v>2</v>
      </c>
      <c r="AC7" s="66" t="s">
        <v>97</v>
      </c>
      <c r="AD7" s="67">
        <v>2</v>
      </c>
      <c r="AE7" s="66" t="s">
        <v>97</v>
      </c>
      <c r="AF7" s="67">
        <v>2</v>
      </c>
      <c r="AG7" s="66" t="s">
        <v>100</v>
      </c>
      <c r="AH7" s="67">
        <v>2</v>
      </c>
      <c r="AI7" s="66" t="s">
        <v>100</v>
      </c>
      <c r="AJ7" s="67">
        <v>2</v>
      </c>
      <c r="AK7" s="66" t="s">
        <v>100</v>
      </c>
      <c r="AL7" s="67">
        <v>2</v>
      </c>
      <c r="AM7" s="66" t="s">
        <v>100</v>
      </c>
      <c r="AN7" s="67">
        <v>2</v>
      </c>
      <c r="AO7" s="66" t="s">
        <v>100</v>
      </c>
      <c r="AP7" s="67">
        <v>2</v>
      </c>
      <c r="AQ7" s="66" t="s">
        <v>100</v>
      </c>
      <c r="AR7" s="67">
        <v>2</v>
      </c>
      <c r="AS7" s="66" t="s">
        <v>100</v>
      </c>
      <c r="AT7" s="67">
        <v>2</v>
      </c>
      <c r="AU7" s="66" t="s">
        <v>100</v>
      </c>
      <c r="AV7" s="67">
        <v>2</v>
      </c>
      <c r="AW7" s="66" t="s">
        <v>100</v>
      </c>
      <c r="AX7" s="67">
        <v>2</v>
      </c>
      <c r="AY7" s="66" t="s">
        <v>100</v>
      </c>
      <c r="AZ7" s="67">
        <v>2</v>
      </c>
      <c r="BA7" s="66" t="s">
        <v>100</v>
      </c>
      <c r="BB7" s="67">
        <v>2</v>
      </c>
      <c r="BC7" s="66" t="s">
        <v>100</v>
      </c>
      <c r="BD7" s="67">
        <v>2</v>
      </c>
      <c r="BE7" s="66" t="s">
        <v>100</v>
      </c>
      <c r="BF7" s="67">
        <v>2</v>
      </c>
      <c r="BG7" s="66" t="s">
        <v>100</v>
      </c>
      <c r="BH7" s="67">
        <v>2</v>
      </c>
      <c r="BI7" s="66" t="s">
        <v>100</v>
      </c>
      <c r="BJ7" s="67">
        <v>2</v>
      </c>
      <c r="BK7" s="66" t="s">
        <v>100</v>
      </c>
      <c r="BL7" s="67">
        <v>2</v>
      </c>
      <c r="BM7" s="66" t="s">
        <v>100</v>
      </c>
      <c r="BN7" s="67">
        <v>2</v>
      </c>
    </row>
    <row r="9" spans="1:68">
      <c r="B9" s="268" t="s">
        <v>114</v>
      </c>
      <c r="C9" s="268"/>
      <c r="D9" s="268"/>
      <c r="E9" s="268"/>
      <c r="F9" s="268"/>
    </row>
    <row r="10" spans="1:68">
      <c r="B10" s="57" t="s">
        <v>77</v>
      </c>
      <c r="C10" s="57">
        <v>2019</v>
      </c>
      <c r="D10" s="57">
        <v>2020</v>
      </c>
      <c r="E10" s="57">
        <v>2021</v>
      </c>
      <c r="F10" s="57">
        <v>2022</v>
      </c>
      <c r="G10" s="56">
        <v>2023</v>
      </c>
      <c r="H10" s="56">
        <v>2024</v>
      </c>
      <c r="I10" s="56">
        <v>2025</v>
      </c>
      <c r="J10" s="56">
        <v>2026</v>
      </c>
      <c r="K10" s="56">
        <v>2027</v>
      </c>
      <c r="L10" s="56">
        <v>2028</v>
      </c>
      <c r="M10" s="56">
        <v>2029</v>
      </c>
      <c r="N10" s="56">
        <v>2030</v>
      </c>
      <c r="O10" s="56">
        <v>2031</v>
      </c>
      <c r="P10" s="56">
        <v>2032</v>
      </c>
      <c r="Q10" s="56">
        <v>2033</v>
      </c>
      <c r="R10" s="56">
        <v>2034</v>
      </c>
      <c r="S10" s="56">
        <v>2035</v>
      </c>
      <c r="T10" s="56">
        <v>2036</v>
      </c>
      <c r="U10" s="56">
        <v>2037</v>
      </c>
      <c r="V10" s="56">
        <v>2038</v>
      </c>
      <c r="W10" s="56">
        <v>2039</v>
      </c>
      <c r="X10" s="56">
        <v>2040</v>
      </c>
      <c r="Y10" s="56">
        <v>2041</v>
      </c>
      <c r="Z10" s="56">
        <v>2042</v>
      </c>
      <c r="AA10" s="56">
        <v>2043</v>
      </c>
      <c r="AB10" s="56">
        <v>2044</v>
      </c>
      <c r="AC10" s="56">
        <v>2045</v>
      </c>
      <c r="AD10" s="56">
        <v>2046</v>
      </c>
      <c r="AE10" s="56">
        <v>2047</v>
      </c>
      <c r="AF10" s="56">
        <v>2048</v>
      </c>
      <c r="AG10" s="56">
        <v>2049</v>
      </c>
      <c r="AH10" s="56">
        <v>2050</v>
      </c>
    </row>
    <row r="11" spans="1:68">
      <c r="B11" s="56" t="s">
        <v>81</v>
      </c>
      <c r="C11" s="70" t="e">
        <f>VLOOKUP($B$11,C3:D7,2,FALSE)</f>
        <v>#N/A</v>
      </c>
      <c r="D11" s="70" t="e">
        <f t="shared" ref="D11:D23" si="0">VLOOKUP(B11,$E$3:$F$7,2,FALSE)</f>
        <v>#N/A</v>
      </c>
      <c r="E11" s="70" t="e">
        <f t="shared" ref="E11:E23" si="1">VLOOKUP(B11,$G$3:$H$7,2,FALSE)</f>
        <v>#N/A</v>
      </c>
      <c r="F11" s="70" t="e">
        <f t="shared" ref="F11:F23" si="2">VLOOKUP(B11,I$3:J$7,2,FALSE)</f>
        <v>#N/A</v>
      </c>
      <c r="G11" s="70" t="e">
        <f t="shared" ref="G11:G23" si="3">VLOOKUP(B11,$K$3:$L$7,2,FALSE)</f>
        <v>#N/A</v>
      </c>
      <c r="H11" s="70" t="e">
        <f t="shared" ref="H11:H23" si="4">VLOOKUP(B11,$M$3:$N$7,2,FALSE)</f>
        <v>#N/A</v>
      </c>
      <c r="I11" s="70" t="e">
        <f t="shared" ref="I11:I23" si="5">VLOOKUP(B11,$O$3:$P$7,2,FALSE)</f>
        <v>#N/A</v>
      </c>
      <c r="J11" s="70" t="e">
        <f t="shared" ref="J11:J23" si="6">VLOOKUP(B11,$Q$3:$R$7,2,FALSE)</f>
        <v>#N/A</v>
      </c>
      <c r="K11" s="70" t="e">
        <f t="shared" ref="K11:K23" si="7">VLOOKUP(B11,$S$3:$T$7,2,FALSE)</f>
        <v>#N/A</v>
      </c>
      <c r="L11" s="70" t="e">
        <f t="shared" ref="L11:L23" si="8">VLOOKUP(B11,$U$3:$V$7,2,FALSE)</f>
        <v>#N/A</v>
      </c>
      <c r="M11" s="70" t="e">
        <f t="shared" ref="M11:M23" si="9">VLOOKUP(B11,$W$3:$X$7,2,FALSE)</f>
        <v>#N/A</v>
      </c>
      <c r="N11" s="70" t="e">
        <f t="shared" ref="N11:N23" si="10">VLOOKUP(B11,$Y$3:$Z$7,2,FALSE)</f>
        <v>#N/A</v>
      </c>
      <c r="O11" s="70" t="e">
        <f t="shared" ref="O11:O23" si="11">VLOOKUP(B11,$AA$3:$AB$7,2,FALSE)</f>
        <v>#N/A</v>
      </c>
      <c r="P11" s="70" t="e">
        <f t="shared" ref="P11:P23" si="12">VLOOKUP(B11,$AC$3:$AD$7,2,FALSE)</f>
        <v>#N/A</v>
      </c>
      <c r="Q11" s="70" t="e">
        <f t="shared" ref="Q11:Q23" si="13">VLOOKUP(B11,$AE$3:$AF$7,2,FALSE)</f>
        <v>#N/A</v>
      </c>
      <c r="R11" s="70" t="e">
        <f t="shared" ref="R11:R23" si="14">VLOOKUP(B11,$AG$3:$AH$7,2,FALSE)</f>
        <v>#N/A</v>
      </c>
      <c r="S11" s="70" t="e">
        <f t="shared" ref="S11:S23" si="15">VLOOKUP(B11,$AI$3:$AJ$7,2,FALSE)</f>
        <v>#N/A</v>
      </c>
      <c r="T11" s="70" t="e">
        <f t="shared" ref="T11:T23" si="16">VLOOKUP(B11,$AK$3:$AL$7,2,FALSE)</f>
        <v>#N/A</v>
      </c>
      <c r="U11" s="70" t="e">
        <f t="shared" ref="U11:U23" si="17">VLOOKUP(B11,$AM$3:$AN$7,2,FALSE)</f>
        <v>#N/A</v>
      </c>
      <c r="V11" s="70" t="e">
        <f t="shared" ref="V11:V23" si="18">VLOOKUP(B11,$AO$3:$AP$7,2,FALSE)</f>
        <v>#N/A</v>
      </c>
      <c r="W11" s="70" t="e">
        <f t="shared" ref="W11:W23" si="19">VLOOKUP(B11,$AQ$3:$AR$7,2,FALSE)</f>
        <v>#N/A</v>
      </c>
      <c r="X11" s="70" t="e">
        <f t="shared" ref="X11:X23" si="20">VLOOKUP(B11,$AS$3:$AT$7,2,FALSE)</f>
        <v>#N/A</v>
      </c>
      <c r="Y11" s="70" t="e">
        <f t="shared" ref="Y11:Y23" si="21">VLOOKUP(B11,$AU$3:$AV$7,2,FALSE)</f>
        <v>#N/A</v>
      </c>
      <c r="Z11" s="70" t="e">
        <f t="shared" ref="Z11:Z23" si="22">VLOOKUP(B11,$AW$3:$AX$7,2,FALSE)</f>
        <v>#N/A</v>
      </c>
      <c r="AA11" s="70" t="e">
        <f t="shared" ref="AA11:AA23" si="23">VLOOKUP(B11,$AY$3:$AZ$7,2,FALSE)</f>
        <v>#N/A</v>
      </c>
      <c r="AB11" s="70" t="e">
        <f t="shared" ref="AB11:AB23" si="24">VLOOKUP(B11,$BA$3:$BB$7,2,FALSE)</f>
        <v>#N/A</v>
      </c>
      <c r="AC11" s="70" t="e">
        <f>VLOOKUP(B11,$BC$3:$BD$7,2,FALSE)</f>
        <v>#N/A</v>
      </c>
      <c r="AD11" s="70" t="e">
        <f t="shared" ref="AD11:AD23" si="25">VLOOKUP(B11,$BE$3:$BF$7,2,FALSE)</f>
        <v>#N/A</v>
      </c>
      <c r="AE11" s="70" t="e">
        <f t="shared" ref="AE11:AE23" si="26">VLOOKUP(B11,$BG$3:$BH$7,2,FALSE)</f>
        <v>#N/A</v>
      </c>
      <c r="AF11" s="70" t="e">
        <f t="shared" ref="AF11:AF23" si="27">VLOOKUP(B11,$BI$3:$BJ$7,2,FALSE)</f>
        <v>#N/A</v>
      </c>
      <c r="AG11" s="70" t="e">
        <f t="shared" ref="AG11:AG23" si="28">VLOOKUP(B11,$BK$3:$BL$7,2,FALSE)</f>
        <v>#N/A</v>
      </c>
      <c r="AH11" s="70" t="e">
        <f t="shared" ref="AH11:AH23" si="29">VLOOKUP(B11,$BM$3:$BN$7,2,FALSE)</f>
        <v>#N/A</v>
      </c>
      <c r="AJ11" s="68"/>
      <c r="AK11" s="69"/>
      <c r="AL11" s="68"/>
      <c r="AM11" s="69"/>
      <c r="AN11" s="68"/>
      <c r="AO11" s="69"/>
      <c r="AP11" s="68"/>
      <c r="AQ11" s="69"/>
      <c r="AR11" s="68"/>
      <c r="AS11" s="69"/>
      <c r="AT11" s="68"/>
      <c r="AU11" s="69"/>
      <c r="AV11" s="68"/>
      <c r="AW11" s="69"/>
      <c r="AX11" s="68"/>
      <c r="AY11" s="69"/>
      <c r="AZ11" s="68"/>
      <c r="BA11" s="69"/>
      <c r="BB11" s="68"/>
      <c r="BC11" s="69"/>
      <c r="BD11" s="68"/>
      <c r="BE11" s="69"/>
      <c r="BF11" s="68"/>
      <c r="BG11" s="69"/>
      <c r="BH11" s="68"/>
      <c r="BI11" s="69"/>
      <c r="BJ11" s="69"/>
      <c r="BK11" s="69"/>
      <c r="BL11" s="68"/>
      <c r="BM11" s="69"/>
      <c r="BN11" s="68"/>
      <c r="BO11" s="69"/>
      <c r="BP11" s="69"/>
    </row>
    <row r="12" spans="1:68">
      <c r="B12" s="56" t="s">
        <v>36</v>
      </c>
      <c r="C12" s="70" t="e">
        <f t="shared" ref="C12:C23" si="30">VLOOKUP(B12,$C$3:$D$7,2,FALSE)</f>
        <v>#N/A</v>
      </c>
      <c r="D12" s="70" t="e">
        <f t="shared" si="0"/>
        <v>#N/A</v>
      </c>
      <c r="E12" s="70" t="e">
        <f t="shared" si="1"/>
        <v>#N/A</v>
      </c>
      <c r="F12" s="70" t="e">
        <f t="shared" si="2"/>
        <v>#N/A</v>
      </c>
      <c r="G12" s="70" t="e">
        <f t="shared" si="3"/>
        <v>#N/A</v>
      </c>
      <c r="H12" s="70" t="e">
        <f t="shared" si="4"/>
        <v>#N/A</v>
      </c>
      <c r="I12" s="70" t="e">
        <f t="shared" si="5"/>
        <v>#N/A</v>
      </c>
      <c r="J12" s="70" t="e">
        <f t="shared" si="6"/>
        <v>#N/A</v>
      </c>
      <c r="K12" s="70" t="e">
        <f t="shared" si="7"/>
        <v>#N/A</v>
      </c>
      <c r="L12" s="70" t="e">
        <f t="shared" si="8"/>
        <v>#N/A</v>
      </c>
      <c r="M12" s="70" t="e">
        <f t="shared" si="9"/>
        <v>#N/A</v>
      </c>
      <c r="N12" s="70" t="e">
        <f t="shared" si="10"/>
        <v>#N/A</v>
      </c>
      <c r="O12" s="70" t="e">
        <f t="shared" si="11"/>
        <v>#N/A</v>
      </c>
      <c r="P12" s="70" t="e">
        <f t="shared" si="12"/>
        <v>#N/A</v>
      </c>
      <c r="Q12" s="70" t="e">
        <f t="shared" si="13"/>
        <v>#N/A</v>
      </c>
      <c r="R12" s="70" t="e">
        <f t="shared" si="14"/>
        <v>#N/A</v>
      </c>
      <c r="S12" s="70" t="e">
        <f t="shared" si="15"/>
        <v>#N/A</v>
      </c>
      <c r="T12" s="70" t="e">
        <f t="shared" si="16"/>
        <v>#N/A</v>
      </c>
      <c r="U12" s="70" t="e">
        <f t="shared" si="17"/>
        <v>#N/A</v>
      </c>
      <c r="V12" s="70" t="e">
        <f t="shared" si="18"/>
        <v>#N/A</v>
      </c>
      <c r="W12" s="70" t="e">
        <f t="shared" si="19"/>
        <v>#N/A</v>
      </c>
      <c r="X12" s="70" t="e">
        <f t="shared" si="20"/>
        <v>#N/A</v>
      </c>
      <c r="Y12" s="70" t="e">
        <f t="shared" si="21"/>
        <v>#N/A</v>
      </c>
      <c r="Z12" s="70" t="e">
        <f t="shared" si="22"/>
        <v>#N/A</v>
      </c>
      <c r="AA12" s="70" t="e">
        <f t="shared" si="23"/>
        <v>#N/A</v>
      </c>
      <c r="AB12" s="70" t="e">
        <f t="shared" si="24"/>
        <v>#N/A</v>
      </c>
      <c r="AC12" s="70" t="e">
        <f t="shared" ref="AC12:AC23" si="31">VLOOKUP(B12,$BC$3:$BD$7,2,FALSE)</f>
        <v>#N/A</v>
      </c>
      <c r="AD12" s="70" t="e">
        <f t="shared" si="25"/>
        <v>#N/A</v>
      </c>
      <c r="AE12" s="70" t="e">
        <f t="shared" si="26"/>
        <v>#N/A</v>
      </c>
      <c r="AF12" s="70" t="e">
        <f t="shared" si="27"/>
        <v>#N/A</v>
      </c>
      <c r="AG12" s="70" t="e">
        <f t="shared" si="28"/>
        <v>#N/A</v>
      </c>
      <c r="AH12" s="70" t="e">
        <f t="shared" si="29"/>
        <v>#N/A</v>
      </c>
    </row>
    <row r="13" spans="1:68">
      <c r="B13" s="56" t="s">
        <v>89</v>
      </c>
      <c r="C13" s="70" t="e">
        <f t="shared" si="30"/>
        <v>#N/A</v>
      </c>
      <c r="D13" s="70" t="e">
        <f t="shared" si="0"/>
        <v>#N/A</v>
      </c>
      <c r="E13" s="70" t="e">
        <f t="shared" si="1"/>
        <v>#N/A</v>
      </c>
      <c r="F13" s="70" t="e">
        <f t="shared" si="2"/>
        <v>#N/A</v>
      </c>
      <c r="G13" s="70" t="e">
        <f t="shared" si="3"/>
        <v>#N/A</v>
      </c>
      <c r="H13" s="70" t="e">
        <f t="shared" si="4"/>
        <v>#N/A</v>
      </c>
      <c r="I13" s="70" t="e">
        <f t="shared" si="5"/>
        <v>#N/A</v>
      </c>
      <c r="J13" s="70" t="e">
        <f t="shared" si="6"/>
        <v>#N/A</v>
      </c>
      <c r="K13" s="70" t="e">
        <f t="shared" si="7"/>
        <v>#N/A</v>
      </c>
      <c r="L13" s="70" t="e">
        <f t="shared" si="8"/>
        <v>#N/A</v>
      </c>
      <c r="M13" s="70" t="e">
        <f t="shared" si="9"/>
        <v>#N/A</v>
      </c>
      <c r="N13" s="70" t="e">
        <f t="shared" si="10"/>
        <v>#N/A</v>
      </c>
      <c r="O13" s="70" t="e">
        <f t="shared" si="11"/>
        <v>#N/A</v>
      </c>
      <c r="P13" s="70" t="e">
        <f t="shared" si="12"/>
        <v>#N/A</v>
      </c>
      <c r="Q13" s="70" t="e">
        <f t="shared" si="13"/>
        <v>#N/A</v>
      </c>
      <c r="R13" s="70" t="e">
        <f t="shared" si="14"/>
        <v>#N/A</v>
      </c>
      <c r="S13" s="70" t="e">
        <f t="shared" si="15"/>
        <v>#N/A</v>
      </c>
      <c r="T13" s="70" t="e">
        <f t="shared" si="16"/>
        <v>#N/A</v>
      </c>
      <c r="U13" s="70" t="e">
        <f t="shared" si="17"/>
        <v>#N/A</v>
      </c>
      <c r="V13" s="70" t="e">
        <f t="shared" si="18"/>
        <v>#N/A</v>
      </c>
      <c r="W13" s="70" t="e">
        <f t="shared" si="19"/>
        <v>#N/A</v>
      </c>
      <c r="X13" s="70" t="e">
        <f t="shared" si="20"/>
        <v>#N/A</v>
      </c>
      <c r="Y13" s="70" t="e">
        <f t="shared" si="21"/>
        <v>#N/A</v>
      </c>
      <c r="Z13" s="70" t="e">
        <f t="shared" si="22"/>
        <v>#N/A</v>
      </c>
      <c r="AA13" s="70" t="e">
        <f t="shared" si="23"/>
        <v>#N/A</v>
      </c>
      <c r="AB13" s="70" t="e">
        <f t="shared" si="24"/>
        <v>#N/A</v>
      </c>
      <c r="AC13" s="70" t="e">
        <f t="shared" si="31"/>
        <v>#N/A</v>
      </c>
      <c r="AD13" s="70" t="e">
        <f t="shared" si="25"/>
        <v>#N/A</v>
      </c>
      <c r="AE13" s="70" t="e">
        <f t="shared" si="26"/>
        <v>#N/A</v>
      </c>
      <c r="AF13" s="70" t="e">
        <f t="shared" si="27"/>
        <v>#N/A</v>
      </c>
      <c r="AG13" s="70" t="e">
        <f t="shared" si="28"/>
        <v>#N/A</v>
      </c>
      <c r="AH13" s="70" t="e">
        <f t="shared" si="29"/>
        <v>#N/A</v>
      </c>
    </row>
    <row r="14" spans="1:68">
      <c r="B14" s="56" t="s">
        <v>88</v>
      </c>
      <c r="C14" s="70">
        <f t="shared" si="30"/>
        <v>10</v>
      </c>
      <c r="D14" s="70">
        <f t="shared" si="0"/>
        <v>8.8372022886079034</v>
      </c>
      <c r="E14" s="70">
        <f t="shared" si="1"/>
        <v>7.6249658434222951</v>
      </c>
      <c r="F14" s="70">
        <f t="shared" si="2"/>
        <v>6.6753443510165393</v>
      </c>
      <c r="G14" s="70">
        <f t="shared" si="3"/>
        <v>5.9125034610762919</v>
      </c>
      <c r="H14" s="70">
        <f t="shared" si="4"/>
        <v>5.2871911946882122</v>
      </c>
      <c r="I14" s="70">
        <f t="shared" si="5"/>
        <v>4.7660318755315618</v>
      </c>
      <c r="J14" s="70">
        <f t="shared" si="6"/>
        <v>4.3256083960843572</v>
      </c>
      <c r="K14" s="70">
        <f t="shared" si="7"/>
        <v>3.9490076242444854</v>
      </c>
      <c r="L14" s="70">
        <f t="shared" si="8"/>
        <v>3.6237104498711412</v>
      </c>
      <c r="M14" s="70">
        <f t="shared" si="9"/>
        <v>3.4155276968405905</v>
      </c>
      <c r="N14" s="70">
        <f t="shared" si="10"/>
        <v>5.991147062544024</v>
      </c>
      <c r="O14" s="70">
        <f t="shared" si="11"/>
        <v>5.9608243312764744</v>
      </c>
      <c r="P14" s="70">
        <f t="shared" si="12"/>
        <v>5.9289626601954097</v>
      </c>
      <c r="Q14" s="70">
        <f t="shared" si="13"/>
        <v>5.895441842478947</v>
      </c>
      <c r="R14" s="70">
        <f t="shared" si="14"/>
        <v>5.9606383715015445</v>
      </c>
      <c r="S14" s="70">
        <f t="shared" si="15"/>
        <v>6.0592246823699387</v>
      </c>
      <c r="T14" s="70">
        <f t="shared" si="16"/>
        <v>6.1569453834893819</v>
      </c>
      <c r="U14" s="70">
        <f t="shared" si="17"/>
        <v>6.253778969665321</v>
      </c>
      <c r="V14" s="70">
        <f t="shared" si="18"/>
        <v>6.3497059319105027</v>
      </c>
      <c r="W14" s="70">
        <f t="shared" si="19"/>
        <v>6.4447086715349062</v>
      </c>
      <c r="X14" s="70">
        <f t="shared" si="20"/>
        <v>6.5387714154175391</v>
      </c>
      <c r="Y14" s="70">
        <f t="shared" si="21"/>
        <v>6.6318801326681474</v>
      </c>
      <c r="Z14" s="70">
        <f t="shared" si="22"/>
        <v>6.724022452860587</v>
      </c>
      <c r="AA14" s="70">
        <f t="shared" si="23"/>
        <v>6.8151875859948454</v>
      </c>
      <c r="AB14" s="70">
        <f t="shared" si="24"/>
        <v>6.9053662443217814</v>
      </c>
      <c r="AC14" s="70">
        <f t="shared" si="31"/>
        <v>6.9945505661431957</v>
      </c>
      <c r="AD14" s="70">
        <f t="shared" si="25"/>
        <v>7.0827340416802729</v>
      </c>
      <c r="AE14" s="70">
        <f t="shared" si="26"/>
        <v>7.1699114410850928</v>
      </c>
      <c r="AF14" s="70">
        <f t="shared" si="27"/>
        <v>7.2560787446535269</v>
      </c>
      <c r="AG14" s="70">
        <f t="shared" si="28"/>
        <v>7.3412330752823172</v>
      </c>
      <c r="AH14" s="70">
        <f t="shared" si="29"/>
        <v>7.4253726331997996</v>
      </c>
    </row>
    <row r="15" spans="1:68">
      <c r="B15" s="56" t="s">
        <v>97</v>
      </c>
      <c r="C15" s="70">
        <f t="shared" si="30"/>
        <v>6.6983114711600553</v>
      </c>
      <c r="D15" s="70">
        <f t="shared" si="0"/>
        <v>5.8100098969929519</v>
      </c>
      <c r="E15" s="70">
        <f t="shared" si="1"/>
        <v>4.9438697820759137</v>
      </c>
      <c r="F15" s="70">
        <f t="shared" si="2"/>
        <v>4.2667548067615213</v>
      </c>
      <c r="G15" s="70">
        <f t="shared" si="3"/>
        <v>3.7240299466986837</v>
      </c>
      <c r="H15" s="70">
        <f t="shared" si="4"/>
        <v>3.2802140303501188</v>
      </c>
      <c r="I15" s="70">
        <f t="shared" si="5"/>
        <v>2.9112653553873109</v>
      </c>
      <c r="J15" s="70">
        <f t="shared" si="6"/>
        <v>2.6003176075858825</v>
      </c>
      <c r="K15" s="70">
        <f t="shared" si="7"/>
        <v>2.3351906293971965</v>
      </c>
      <c r="L15" s="70">
        <f t="shared" si="8"/>
        <v>2.1068700864734149</v>
      </c>
      <c r="M15" s="70">
        <f t="shared" si="9"/>
        <v>2</v>
      </c>
      <c r="N15" s="70">
        <f t="shared" si="10"/>
        <v>2</v>
      </c>
      <c r="O15" s="70">
        <f t="shared" si="11"/>
        <v>2</v>
      </c>
      <c r="P15" s="70">
        <f t="shared" si="12"/>
        <v>2</v>
      </c>
      <c r="Q15" s="70">
        <f t="shared" si="13"/>
        <v>2</v>
      </c>
      <c r="R15" s="70">
        <f t="shared" si="14"/>
        <v>2.1942274038984202</v>
      </c>
      <c r="S15" s="70">
        <f t="shared" si="15"/>
        <v>2.452653589648917</v>
      </c>
      <c r="T15" s="70">
        <f t="shared" si="16"/>
        <v>2.7085085744165482</v>
      </c>
      <c r="U15" s="70">
        <f t="shared" si="17"/>
        <v>2.9617471984417065</v>
      </c>
      <c r="V15" s="70">
        <f t="shared" si="18"/>
        <v>3.2123293034163982</v>
      </c>
      <c r="W15" s="70">
        <f t="shared" si="19"/>
        <v>3.4602195018160655</v>
      </c>
      <c r="X15" s="70">
        <f t="shared" si="20"/>
        <v>3.7053869503434882</v>
      </c>
      <c r="Y15" s="70">
        <f t="shared" si="21"/>
        <v>3.9478051279615167</v>
      </c>
      <c r="Z15" s="70">
        <f t="shared" si="22"/>
        <v>4.1874516189243831</v>
      </c>
      <c r="AA15" s="70">
        <f t="shared" si="23"/>
        <v>4.4243079011549478</v>
      </c>
      <c r="AB15" s="70">
        <f t="shared" si="24"/>
        <v>4.6583591402570175</v>
      </c>
      <c r="AC15" s="70">
        <f t="shared" si="31"/>
        <v>4.8895939893985148</v>
      </c>
      <c r="AD15" s="70">
        <f t="shared" si="25"/>
        <v>5.1180043952522398</v>
      </c>
      <c r="AE15" s="70">
        <f t="shared" si="26"/>
        <v>5.3435854101357529</v>
      </c>
      <c r="AF15" s="70">
        <f t="shared" si="27"/>
        <v>5.5663350104512954</v>
      </c>
      <c r="AG15" s="70">
        <f t="shared" si="28"/>
        <v>5.7862539214889557</v>
      </c>
      <c r="AH15" s="70">
        <f t="shared" si="29"/>
        <v>6.0033454486235325</v>
      </c>
    </row>
    <row r="16" spans="1:68">
      <c r="A16" s="65"/>
      <c r="B16" s="56" t="s">
        <v>98</v>
      </c>
      <c r="C16" s="70">
        <f t="shared" si="30"/>
        <v>9.5872628001417031</v>
      </c>
      <c r="D16" s="70">
        <f t="shared" si="0"/>
        <v>10</v>
      </c>
      <c r="E16" s="70">
        <f t="shared" si="1"/>
        <v>10</v>
      </c>
      <c r="F16" s="70">
        <f t="shared" si="2"/>
        <v>10</v>
      </c>
      <c r="G16" s="70">
        <f t="shared" si="3"/>
        <v>10</v>
      </c>
      <c r="H16" s="70">
        <f t="shared" si="4"/>
        <v>10</v>
      </c>
      <c r="I16" s="70">
        <f t="shared" si="5"/>
        <v>10</v>
      </c>
      <c r="J16" s="70">
        <f t="shared" si="6"/>
        <v>10</v>
      </c>
      <c r="K16" s="70">
        <f t="shared" si="7"/>
        <v>10</v>
      </c>
      <c r="L16" s="70">
        <f t="shared" si="8"/>
        <v>10</v>
      </c>
      <c r="M16" s="70">
        <f t="shared" si="9"/>
        <v>10</v>
      </c>
      <c r="N16" s="70">
        <f t="shared" si="10"/>
        <v>10</v>
      </c>
      <c r="O16" s="70">
        <f t="shared" si="11"/>
        <v>10</v>
      </c>
      <c r="P16" s="70">
        <f t="shared" si="12"/>
        <v>10</v>
      </c>
      <c r="Q16" s="70">
        <f t="shared" si="13"/>
        <v>10</v>
      </c>
      <c r="R16" s="70">
        <f t="shared" si="14"/>
        <v>10</v>
      </c>
      <c r="S16" s="70">
        <f t="shared" si="15"/>
        <v>10</v>
      </c>
      <c r="T16" s="70">
        <f t="shared" si="16"/>
        <v>10</v>
      </c>
      <c r="U16" s="70">
        <f t="shared" si="17"/>
        <v>10</v>
      </c>
      <c r="V16" s="70">
        <f t="shared" si="18"/>
        <v>10</v>
      </c>
      <c r="W16" s="70">
        <f t="shared" si="19"/>
        <v>10</v>
      </c>
      <c r="X16" s="70">
        <f t="shared" si="20"/>
        <v>10</v>
      </c>
      <c r="Y16" s="70">
        <f t="shared" si="21"/>
        <v>10</v>
      </c>
      <c r="Z16" s="70">
        <f t="shared" si="22"/>
        <v>10</v>
      </c>
      <c r="AA16" s="70">
        <f t="shared" si="23"/>
        <v>10</v>
      </c>
      <c r="AB16" s="70">
        <f t="shared" si="24"/>
        <v>10</v>
      </c>
      <c r="AC16" s="70">
        <f t="shared" si="31"/>
        <v>10</v>
      </c>
      <c r="AD16" s="70">
        <f t="shared" si="25"/>
        <v>10</v>
      </c>
      <c r="AE16" s="70">
        <f t="shared" si="26"/>
        <v>10</v>
      </c>
      <c r="AF16" s="70">
        <f t="shared" si="27"/>
        <v>10</v>
      </c>
      <c r="AG16" s="70">
        <f t="shared" si="28"/>
        <v>10</v>
      </c>
      <c r="AH16" s="70">
        <f t="shared" si="29"/>
        <v>10</v>
      </c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</row>
    <row r="17" spans="1:65">
      <c r="A17" s="65"/>
      <c r="B17" s="56" t="s">
        <v>99</v>
      </c>
      <c r="C17" s="70" t="e">
        <f t="shared" si="30"/>
        <v>#N/A</v>
      </c>
      <c r="D17" s="70" t="e">
        <f t="shared" si="0"/>
        <v>#N/A</v>
      </c>
      <c r="E17" s="70" t="e">
        <f t="shared" si="1"/>
        <v>#N/A</v>
      </c>
      <c r="F17" s="70" t="e">
        <f t="shared" si="2"/>
        <v>#N/A</v>
      </c>
      <c r="G17" s="70" t="e">
        <f t="shared" si="3"/>
        <v>#N/A</v>
      </c>
      <c r="H17" s="70" t="e">
        <f t="shared" si="4"/>
        <v>#N/A</v>
      </c>
      <c r="I17" s="70" t="e">
        <f t="shared" si="5"/>
        <v>#N/A</v>
      </c>
      <c r="J17" s="70" t="e">
        <f t="shared" si="6"/>
        <v>#N/A</v>
      </c>
      <c r="K17" s="70" t="e">
        <f t="shared" si="7"/>
        <v>#N/A</v>
      </c>
      <c r="L17" s="70" t="e">
        <f t="shared" si="8"/>
        <v>#N/A</v>
      </c>
      <c r="M17" s="70" t="e">
        <f t="shared" si="9"/>
        <v>#N/A</v>
      </c>
      <c r="N17" s="70" t="e">
        <f t="shared" si="10"/>
        <v>#N/A</v>
      </c>
      <c r="O17" s="70" t="e">
        <f t="shared" si="11"/>
        <v>#N/A</v>
      </c>
      <c r="P17" s="70" t="e">
        <f t="shared" si="12"/>
        <v>#N/A</v>
      </c>
      <c r="Q17" s="70" t="e">
        <f t="shared" si="13"/>
        <v>#N/A</v>
      </c>
      <c r="R17" s="70" t="e">
        <f t="shared" si="14"/>
        <v>#N/A</v>
      </c>
      <c r="S17" s="70" t="e">
        <f t="shared" si="15"/>
        <v>#N/A</v>
      </c>
      <c r="T17" s="70" t="e">
        <f t="shared" si="16"/>
        <v>#N/A</v>
      </c>
      <c r="U17" s="70" t="e">
        <f t="shared" si="17"/>
        <v>#N/A</v>
      </c>
      <c r="V17" s="70" t="e">
        <f t="shared" si="18"/>
        <v>#N/A</v>
      </c>
      <c r="W17" s="70" t="e">
        <f t="shared" si="19"/>
        <v>#N/A</v>
      </c>
      <c r="X17" s="70" t="e">
        <f t="shared" si="20"/>
        <v>#N/A</v>
      </c>
      <c r="Y17" s="70" t="e">
        <f t="shared" si="21"/>
        <v>#N/A</v>
      </c>
      <c r="Z17" s="70" t="e">
        <f t="shared" si="22"/>
        <v>#N/A</v>
      </c>
      <c r="AA17" s="70" t="e">
        <f t="shared" si="23"/>
        <v>#N/A</v>
      </c>
      <c r="AB17" s="70" t="e">
        <f t="shared" si="24"/>
        <v>#N/A</v>
      </c>
      <c r="AC17" s="70" t="e">
        <f t="shared" si="31"/>
        <v>#N/A</v>
      </c>
      <c r="AD17" s="70" t="e">
        <f t="shared" si="25"/>
        <v>#N/A</v>
      </c>
      <c r="AE17" s="70" t="e">
        <f t="shared" si="26"/>
        <v>#N/A</v>
      </c>
      <c r="AF17" s="70" t="e">
        <f t="shared" si="27"/>
        <v>#N/A</v>
      </c>
      <c r="AG17" s="70" t="e">
        <f t="shared" si="28"/>
        <v>#N/A</v>
      </c>
      <c r="AH17" s="70" t="e">
        <f t="shared" si="29"/>
        <v>#N/A</v>
      </c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</row>
    <row r="18" spans="1:65">
      <c r="A18" s="65"/>
      <c r="B18" s="56" t="s">
        <v>100</v>
      </c>
      <c r="C18" s="70">
        <f t="shared" si="30"/>
        <v>2</v>
      </c>
      <c r="D18" s="70">
        <f t="shared" si="0"/>
        <v>2</v>
      </c>
      <c r="E18" s="70">
        <f t="shared" si="1"/>
        <v>2</v>
      </c>
      <c r="F18" s="70">
        <f t="shared" si="2"/>
        <v>2</v>
      </c>
      <c r="G18" s="70">
        <f t="shared" si="3"/>
        <v>2</v>
      </c>
      <c r="H18" s="70">
        <f t="shared" si="4"/>
        <v>2</v>
      </c>
      <c r="I18" s="70">
        <f t="shared" si="5"/>
        <v>2</v>
      </c>
      <c r="J18" s="70">
        <f t="shared" si="6"/>
        <v>2</v>
      </c>
      <c r="K18" s="70">
        <f t="shared" si="7"/>
        <v>2</v>
      </c>
      <c r="L18" s="70">
        <f t="shared" si="8"/>
        <v>2</v>
      </c>
      <c r="M18" s="70">
        <f t="shared" si="9"/>
        <v>2.0904234055067112</v>
      </c>
      <c r="N18" s="70">
        <f t="shared" si="10"/>
        <v>2.7798631452780871</v>
      </c>
      <c r="O18" s="70">
        <f t="shared" si="11"/>
        <v>2.554630515940703</v>
      </c>
      <c r="P18" s="70">
        <f t="shared" si="12"/>
        <v>2.3170480708959653</v>
      </c>
      <c r="Q18" s="70">
        <f t="shared" si="13"/>
        <v>2.066167751755474</v>
      </c>
      <c r="R18" s="70">
        <f t="shared" si="14"/>
        <v>2</v>
      </c>
      <c r="S18" s="70">
        <f t="shared" si="15"/>
        <v>2</v>
      </c>
      <c r="T18" s="70">
        <f t="shared" si="16"/>
        <v>2</v>
      </c>
      <c r="U18" s="70">
        <f t="shared" si="17"/>
        <v>2</v>
      </c>
      <c r="V18" s="70">
        <f t="shared" si="18"/>
        <v>2</v>
      </c>
      <c r="W18" s="70">
        <f t="shared" si="19"/>
        <v>2</v>
      </c>
      <c r="X18" s="70">
        <f t="shared" si="20"/>
        <v>2</v>
      </c>
      <c r="Y18" s="70">
        <f t="shared" si="21"/>
        <v>2</v>
      </c>
      <c r="Z18" s="70">
        <f t="shared" si="22"/>
        <v>2</v>
      </c>
      <c r="AA18" s="70">
        <f t="shared" si="23"/>
        <v>2</v>
      </c>
      <c r="AB18" s="70">
        <f t="shared" si="24"/>
        <v>2</v>
      </c>
      <c r="AC18" s="70">
        <f t="shared" si="31"/>
        <v>2</v>
      </c>
      <c r="AD18" s="70">
        <f t="shared" si="25"/>
        <v>2</v>
      </c>
      <c r="AE18" s="70">
        <f t="shared" si="26"/>
        <v>2</v>
      </c>
      <c r="AF18" s="70">
        <f t="shared" si="27"/>
        <v>2</v>
      </c>
      <c r="AG18" s="70">
        <f t="shared" si="28"/>
        <v>2</v>
      </c>
      <c r="AH18" s="70">
        <f t="shared" si="29"/>
        <v>2</v>
      </c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</row>
    <row r="19" spans="1:65">
      <c r="A19" s="65"/>
      <c r="B19" s="56" t="s">
        <v>101</v>
      </c>
      <c r="C19" s="70" t="e">
        <f t="shared" si="30"/>
        <v>#N/A</v>
      </c>
      <c r="D19" s="70" t="e">
        <f t="shared" si="0"/>
        <v>#N/A</v>
      </c>
      <c r="E19" s="70" t="e">
        <f t="shared" si="1"/>
        <v>#N/A</v>
      </c>
      <c r="F19" s="70" t="e">
        <f t="shared" si="2"/>
        <v>#N/A</v>
      </c>
      <c r="G19" s="70" t="e">
        <f t="shared" si="3"/>
        <v>#N/A</v>
      </c>
      <c r="H19" s="70" t="e">
        <f t="shared" si="4"/>
        <v>#N/A</v>
      </c>
      <c r="I19" s="70" t="e">
        <f t="shared" si="5"/>
        <v>#N/A</v>
      </c>
      <c r="J19" s="70" t="e">
        <f t="shared" si="6"/>
        <v>#N/A</v>
      </c>
      <c r="K19" s="70" t="e">
        <f t="shared" si="7"/>
        <v>#N/A</v>
      </c>
      <c r="L19" s="70" t="e">
        <f t="shared" si="8"/>
        <v>#N/A</v>
      </c>
      <c r="M19" s="70" t="e">
        <f t="shared" si="9"/>
        <v>#N/A</v>
      </c>
      <c r="N19" s="70" t="e">
        <f t="shared" si="10"/>
        <v>#N/A</v>
      </c>
      <c r="O19" s="70" t="e">
        <f t="shared" si="11"/>
        <v>#N/A</v>
      </c>
      <c r="P19" s="70" t="e">
        <f t="shared" si="12"/>
        <v>#N/A</v>
      </c>
      <c r="Q19" s="70" t="e">
        <f t="shared" si="13"/>
        <v>#N/A</v>
      </c>
      <c r="R19" s="70" t="e">
        <f t="shared" si="14"/>
        <v>#N/A</v>
      </c>
      <c r="S19" s="70" t="e">
        <f t="shared" si="15"/>
        <v>#N/A</v>
      </c>
      <c r="T19" s="70" t="e">
        <f t="shared" si="16"/>
        <v>#N/A</v>
      </c>
      <c r="U19" s="70" t="e">
        <f t="shared" si="17"/>
        <v>#N/A</v>
      </c>
      <c r="V19" s="70" t="e">
        <f t="shared" si="18"/>
        <v>#N/A</v>
      </c>
      <c r="W19" s="70" t="e">
        <f t="shared" si="19"/>
        <v>#N/A</v>
      </c>
      <c r="X19" s="70" t="e">
        <f t="shared" si="20"/>
        <v>#N/A</v>
      </c>
      <c r="Y19" s="70" t="e">
        <f t="shared" si="21"/>
        <v>#N/A</v>
      </c>
      <c r="Z19" s="70" t="e">
        <f t="shared" si="22"/>
        <v>#N/A</v>
      </c>
      <c r="AA19" s="70" t="e">
        <f t="shared" si="23"/>
        <v>#N/A</v>
      </c>
      <c r="AB19" s="70" t="e">
        <f t="shared" si="24"/>
        <v>#N/A</v>
      </c>
      <c r="AC19" s="70" t="e">
        <f t="shared" si="31"/>
        <v>#N/A</v>
      </c>
      <c r="AD19" s="70" t="e">
        <f t="shared" si="25"/>
        <v>#N/A</v>
      </c>
      <c r="AE19" s="70" t="e">
        <f t="shared" si="26"/>
        <v>#N/A</v>
      </c>
      <c r="AF19" s="70" t="e">
        <f t="shared" si="27"/>
        <v>#N/A</v>
      </c>
      <c r="AG19" s="70" t="e">
        <f t="shared" si="28"/>
        <v>#N/A</v>
      </c>
      <c r="AH19" s="70" t="e">
        <f t="shared" si="29"/>
        <v>#N/A</v>
      </c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</row>
    <row r="20" spans="1:65">
      <c r="A20" s="65"/>
      <c r="B20" s="56" t="s">
        <v>5</v>
      </c>
      <c r="C20" s="70">
        <f t="shared" si="30"/>
        <v>3.2961457695111083</v>
      </c>
      <c r="D20" s="70">
        <f t="shared" si="0"/>
        <v>3.0566184071534845</v>
      </c>
      <c r="E20" s="70">
        <f t="shared" si="1"/>
        <v>2.8246503424214771</v>
      </c>
      <c r="F20" s="70">
        <f t="shared" si="2"/>
        <v>2.6457108623412129</v>
      </c>
      <c r="G20" s="70">
        <f t="shared" si="3"/>
        <v>2.5043851946321292</v>
      </c>
      <c r="H20" s="70">
        <f t="shared" si="4"/>
        <v>2.3906669907005025</v>
      </c>
      <c r="I20" s="70">
        <f t="shared" si="5"/>
        <v>2.2977797672905096</v>
      </c>
      <c r="J20" s="70">
        <f t="shared" si="6"/>
        <v>2.2209727406222237</v>
      </c>
      <c r="K20" s="70">
        <f t="shared" si="7"/>
        <v>2.15681789031796</v>
      </c>
      <c r="L20" s="70">
        <f t="shared" si="8"/>
        <v>2.1027806453832181</v>
      </c>
      <c r="M20" s="70">
        <f t="shared" si="9"/>
        <v>2.1467272413851424</v>
      </c>
      <c r="N20" s="70">
        <f t="shared" si="10"/>
        <v>2.8323793401156143</v>
      </c>
      <c r="O20" s="70">
        <f t="shared" si="11"/>
        <v>2.6383114482592465</v>
      </c>
      <c r="P20" s="70">
        <f t="shared" si="12"/>
        <v>2.4343942191955055</v>
      </c>
      <c r="Q20" s="70">
        <f t="shared" si="13"/>
        <v>2.219858319703583</v>
      </c>
      <c r="R20" s="70">
        <f t="shared" si="14"/>
        <v>2.1882288149839519</v>
      </c>
      <c r="S20" s="70">
        <f t="shared" si="15"/>
        <v>2.2219222952850703</v>
      </c>
      <c r="T20" s="70">
        <f t="shared" si="16"/>
        <v>2.2560182859531688</v>
      </c>
      <c r="U20" s="70">
        <f t="shared" si="17"/>
        <v>2.2904835238972927</v>
      </c>
      <c r="V20" s="70">
        <f t="shared" si="18"/>
        <v>2.3252859627089473</v>
      </c>
      <c r="W20" s="70">
        <f t="shared" si="19"/>
        <v>2.3603947559440588</v>
      </c>
      <c r="X20" s="70">
        <f t="shared" si="20"/>
        <v>2.3957802384653695</v>
      </c>
      <c r="Y20" s="70">
        <f t="shared" si="21"/>
        <v>2.4314139060747824</v>
      </c>
      <c r="Z20" s="70">
        <f t="shared" si="22"/>
        <v>2.4672683936517368</v>
      </c>
      <c r="AA20" s="70">
        <f t="shared" si="23"/>
        <v>2.5033174520000188</v>
      </c>
      <c r="AB20" s="70">
        <f t="shared" si="24"/>
        <v>2.5395359235922674</v>
      </c>
      <c r="AC20" s="70">
        <f t="shared" si="31"/>
        <v>2.5758997173883822</v>
      </c>
      <c r="AD20" s="70">
        <f t="shared" si="25"/>
        <v>2.6123857828913497</v>
      </c>
      <c r="AE20" s="70">
        <f t="shared" si="26"/>
        <v>2.6489720835918753</v>
      </c>
      <c r="AF20" s="70">
        <f t="shared" si="27"/>
        <v>2.6856375699414716</v>
      </c>
      <c r="AG20" s="70">
        <f t="shared" si="28"/>
        <v>2.7223621519821206</v>
      </c>
      <c r="AH20" s="70">
        <f t="shared" si="29"/>
        <v>2.7591266717500869</v>
      </c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</row>
    <row r="21" spans="1:65">
      <c r="A21" s="65"/>
      <c r="B21" s="56" t="s">
        <v>6</v>
      </c>
      <c r="C21" s="70" t="e">
        <f t="shared" si="30"/>
        <v>#N/A</v>
      </c>
      <c r="D21" s="70" t="e">
        <f t="shared" si="0"/>
        <v>#N/A</v>
      </c>
      <c r="E21" s="70" t="e">
        <f t="shared" si="1"/>
        <v>#N/A</v>
      </c>
      <c r="F21" s="70" t="e">
        <f t="shared" si="2"/>
        <v>#N/A</v>
      </c>
      <c r="G21" s="70" t="e">
        <f t="shared" si="3"/>
        <v>#N/A</v>
      </c>
      <c r="H21" s="70" t="e">
        <f t="shared" si="4"/>
        <v>#N/A</v>
      </c>
      <c r="I21" s="70" t="e">
        <f t="shared" si="5"/>
        <v>#N/A</v>
      </c>
      <c r="J21" s="70" t="e">
        <f t="shared" si="6"/>
        <v>#N/A</v>
      </c>
      <c r="K21" s="70" t="e">
        <f t="shared" si="7"/>
        <v>#N/A</v>
      </c>
      <c r="L21" s="70" t="e">
        <f t="shared" si="8"/>
        <v>#N/A</v>
      </c>
      <c r="M21" s="70" t="e">
        <f t="shared" si="9"/>
        <v>#N/A</v>
      </c>
      <c r="N21" s="70" t="e">
        <f t="shared" si="10"/>
        <v>#N/A</v>
      </c>
      <c r="O21" s="70" t="e">
        <f t="shared" si="11"/>
        <v>#N/A</v>
      </c>
      <c r="P21" s="70" t="e">
        <f t="shared" si="12"/>
        <v>#N/A</v>
      </c>
      <c r="Q21" s="70" t="e">
        <f t="shared" si="13"/>
        <v>#N/A</v>
      </c>
      <c r="R21" s="70" t="e">
        <f t="shared" si="14"/>
        <v>#N/A</v>
      </c>
      <c r="S21" s="70" t="e">
        <f t="shared" si="15"/>
        <v>#N/A</v>
      </c>
      <c r="T21" s="70" t="e">
        <f t="shared" si="16"/>
        <v>#N/A</v>
      </c>
      <c r="U21" s="70" t="e">
        <f t="shared" si="17"/>
        <v>#N/A</v>
      </c>
      <c r="V21" s="70" t="e">
        <f t="shared" si="18"/>
        <v>#N/A</v>
      </c>
      <c r="W21" s="70" t="e">
        <f t="shared" si="19"/>
        <v>#N/A</v>
      </c>
      <c r="X21" s="70" t="e">
        <f t="shared" si="20"/>
        <v>#N/A</v>
      </c>
      <c r="Y21" s="70" t="e">
        <f t="shared" si="21"/>
        <v>#N/A</v>
      </c>
      <c r="Z21" s="70" t="e">
        <f t="shared" si="22"/>
        <v>#N/A</v>
      </c>
      <c r="AA21" s="70" t="e">
        <f t="shared" si="23"/>
        <v>#N/A</v>
      </c>
      <c r="AB21" s="70" t="e">
        <f t="shared" si="24"/>
        <v>#N/A</v>
      </c>
      <c r="AC21" s="70" t="e">
        <f t="shared" si="31"/>
        <v>#N/A</v>
      </c>
      <c r="AD21" s="70" t="e">
        <f t="shared" si="25"/>
        <v>#N/A</v>
      </c>
      <c r="AE21" s="70" t="e">
        <f t="shared" si="26"/>
        <v>#N/A</v>
      </c>
      <c r="AF21" s="70" t="e">
        <f t="shared" si="27"/>
        <v>#N/A</v>
      </c>
      <c r="AG21" s="70" t="e">
        <f t="shared" si="28"/>
        <v>#N/A</v>
      </c>
      <c r="AH21" s="70" t="e">
        <f t="shared" si="29"/>
        <v>#N/A</v>
      </c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</row>
    <row r="22" spans="1:65">
      <c r="A22" s="65"/>
      <c r="B22" s="56" t="s">
        <v>7</v>
      </c>
      <c r="C22" s="70" t="e">
        <f t="shared" si="30"/>
        <v>#N/A</v>
      </c>
      <c r="D22" s="70" t="e">
        <f t="shared" si="0"/>
        <v>#N/A</v>
      </c>
      <c r="E22" s="70" t="e">
        <f t="shared" si="1"/>
        <v>#N/A</v>
      </c>
      <c r="F22" s="70" t="e">
        <f t="shared" si="2"/>
        <v>#N/A</v>
      </c>
      <c r="G22" s="70" t="e">
        <f t="shared" si="3"/>
        <v>#N/A</v>
      </c>
      <c r="H22" s="70" t="e">
        <f t="shared" si="4"/>
        <v>#N/A</v>
      </c>
      <c r="I22" s="70" t="e">
        <f t="shared" si="5"/>
        <v>#N/A</v>
      </c>
      <c r="J22" s="70" t="e">
        <f t="shared" si="6"/>
        <v>#N/A</v>
      </c>
      <c r="K22" s="70" t="e">
        <f t="shared" si="7"/>
        <v>#N/A</v>
      </c>
      <c r="L22" s="70" t="e">
        <f t="shared" si="8"/>
        <v>#N/A</v>
      </c>
      <c r="M22" s="70" t="e">
        <f t="shared" si="9"/>
        <v>#N/A</v>
      </c>
      <c r="N22" s="70" t="e">
        <f t="shared" si="10"/>
        <v>#N/A</v>
      </c>
      <c r="O22" s="70" t="e">
        <f t="shared" si="11"/>
        <v>#N/A</v>
      </c>
      <c r="P22" s="70" t="e">
        <f t="shared" si="12"/>
        <v>#N/A</v>
      </c>
      <c r="Q22" s="70" t="e">
        <f t="shared" si="13"/>
        <v>#N/A</v>
      </c>
      <c r="R22" s="70" t="e">
        <f t="shared" si="14"/>
        <v>#N/A</v>
      </c>
      <c r="S22" s="70" t="e">
        <f t="shared" si="15"/>
        <v>#N/A</v>
      </c>
      <c r="T22" s="70" t="e">
        <f t="shared" si="16"/>
        <v>#N/A</v>
      </c>
      <c r="U22" s="70" t="e">
        <f t="shared" si="17"/>
        <v>#N/A</v>
      </c>
      <c r="V22" s="70" t="e">
        <f t="shared" si="18"/>
        <v>#N/A</v>
      </c>
      <c r="W22" s="70" t="e">
        <f t="shared" si="19"/>
        <v>#N/A</v>
      </c>
      <c r="X22" s="70" t="e">
        <f t="shared" si="20"/>
        <v>#N/A</v>
      </c>
      <c r="Y22" s="70" t="e">
        <f t="shared" si="21"/>
        <v>#N/A</v>
      </c>
      <c r="Z22" s="70" t="e">
        <f t="shared" si="22"/>
        <v>#N/A</v>
      </c>
      <c r="AA22" s="70" t="e">
        <f t="shared" si="23"/>
        <v>#N/A</v>
      </c>
      <c r="AB22" s="70" t="e">
        <f t="shared" si="24"/>
        <v>#N/A</v>
      </c>
      <c r="AC22" s="70" t="e">
        <f t="shared" si="31"/>
        <v>#N/A</v>
      </c>
      <c r="AD22" s="70" t="e">
        <f t="shared" si="25"/>
        <v>#N/A</v>
      </c>
      <c r="AE22" s="70" t="e">
        <f t="shared" si="26"/>
        <v>#N/A</v>
      </c>
      <c r="AF22" s="70" t="e">
        <f t="shared" si="27"/>
        <v>#N/A</v>
      </c>
      <c r="AG22" s="70" t="e">
        <f t="shared" si="28"/>
        <v>#N/A</v>
      </c>
      <c r="AH22" s="70" t="e">
        <f t="shared" si="29"/>
        <v>#N/A</v>
      </c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</row>
    <row r="23" spans="1:65">
      <c r="A23" s="65"/>
      <c r="B23" s="56" t="s">
        <v>72</v>
      </c>
      <c r="C23" s="70" t="e">
        <f t="shared" si="30"/>
        <v>#N/A</v>
      </c>
      <c r="D23" s="70" t="e">
        <f t="shared" si="0"/>
        <v>#N/A</v>
      </c>
      <c r="E23" s="70" t="e">
        <f t="shared" si="1"/>
        <v>#N/A</v>
      </c>
      <c r="F23" s="70" t="e">
        <f t="shared" si="2"/>
        <v>#N/A</v>
      </c>
      <c r="G23" s="70" t="e">
        <f t="shared" si="3"/>
        <v>#N/A</v>
      </c>
      <c r="H23" s="70" t="e">
        <f t="shared" si="4"/>
        <v>#N/A</v>
      </c>
      <c r="I23" s="70" t="e">
        <f t="shared" si="5"/>
        <v>#N/A</v>
      </c>
      <c r="J23" s="70" t="e">
        <f t="shared" si="6"/>
        <v>#N/A</v>
      </c>
      <c r="K23" s="70" t="e">
        <f t="shared" si="7"/>
        <v>#N/A</v>
      </c>
      <c r="L23" s="70" t="e">
        <f t="shared" si="8"/>
        <v>#N/A</v>
      </c>
      <c r="M23" s="70" t="e">
        <f t="shared" si="9"/>
        <v>#N/A</v>
      </c>
      <c r="N23" s="70" t="e">
        <f t="shared" si="10"/>
        <v>#N/A</v>
      </c>
      <c r="O23" s="70" t="e">
        <f t="shared" si="11"/>
        <v>#N/A</v>
      </c>
      <c r="P23" s="70" t="e">
        <f t="shared" si="12"/>
        <v>#N/A</v>
      </c>
      <c r="Q23" s="70" t="e">
        <f t="shared" si="13"/>
        <v>#N/A</v>
      </c>
      <c r="R23" s="70" t="e">
        <f t="shared" si="14"/>
        <v>#N/A</v>
      </c>
      <c r="S23" s="70" t="e">
        <f t="shared" si="15"/>
        <v>#N/A</v>
      </c>
      <c r="T23" s="70" t="e">
        <f t="shared" si="16"/>
        <v>#N/A</v>
      </c>
      <c r="U23" s="70" t="e">
        <f t="shared" si="17"/>
        <v>#N/A</v>
      </c>
      <c r="V23" s="70" t="e">
        <f t="shared" si="18"/>
        <v>#N/A</v>
      </c>
      <c r="W23" s="70" t="e">
        <f t="shared" si="19"/>
        <v>#N/A</v>
      </c>
      <c r="X23" s="70" t="e">
        <f t="shared" si="20"/>
        <v>#N/A</v>
      </c>
      <c r="Y23" s="70" t="e">
        <f t="shared" si="21"/>
        <v>#N/A</v>
      </c>
      <c r="Z23" s="70" t="e">
        <f t="shared" si="22"/>
        <v>#N/A</v>
      </c>
      <c r="AA23" s="70" t="e">
        <f t="shared" si="23"/>
        <v>#N/A</v>
      </c>
      <c r="AB23" s="70" t="e">
        <f t="shared" si="24"/>
        <v>#N/A</v>
      </c>
      <c r="AC23" s="70" t="e">
        <f t="shared" si="31"/>
        <v>#N/A</v>
      </c>
      <c r="AD23" s="70" t="e">
        <f t="shared" si="25"/>
        <v>#N/A</v>
      </c>
      <c r="AE23" s="70" t="e">
        <f t="shared" si="26"/>
        <v>#N/A</v>
      </c>
      <c r="AF23" s="70" t="e">
        <f t="shared" si="27"/>
        <v>#N/A</v>
      </c>
      <c r="AG23" s="70" t="e">
        <f t="shared" si="28"/>
        <v>#N/A</v>
      </c>
      <c r="AH23" s="70" t="e">
        <f t="shared" si="29"/>
        <v>#N/A</v>
      </c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</row>
  </sheetData>
  <mergeCells count="1">
    <mergeCell ref="B9:F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ADF3-0F4D-4F34-BF2F-4487F1AC571B}">
  <dimension ref="A1:AL67"/>
  <sheetViews>
    <sheetView topLeftCell="A16" workbookViewId="0">
      <selection activeCell="C45" sqref="C45"/>
    </sheetView>
  </sheetViews>
  <sheetFormatPr defaultRowHeight="14.5"/>
  <cols>
    <col min="1" max="1" width="27" bestFit="1" customWidth="1"/>
    <col min="4" max="4" width="36.1796875" bestFit="1" customWidth="1"/>
    <col min="7" max="7" width="35.1796875" bestFit="1" customWidth="1"/>
    <col min="11" max="12" width="12" bestFit="1" customWidth="1"/>
  </cols>
  <sheetData>
    <row r="1" spans="1:38" ht="15" thickBot="1">
      <c r="A1" s="113" t="s">
        <v>126</v>
      </c>
      <c r="B1" s="113" t="s">
        <v>127</v>
      </c>
      <c r="C1" s="114"/>
      <c r="D1" s="114" t="s">
        <v>147</v>
      </c>
      <c r="E1" s="114"/>
    </row>
    <row r="2" spans="1:38" ht="15" thickBot="1">
      <c r="A2" s="113" t="s">
        <v>128</v>
      </c>
      <c r="B2" s="114"/>
      <c r="C2" s="114"/>
      <c r="D2" s="114" t="s">
        <v>141</v>
      </c>
      <c r="E2" s="114">
        <v>1.1693811600000568</v>
      </c>
      <c r="H2" s="110">
        <v>2020</v>
      </c>
      <c r="I2" s="111">
        <v>2021</v>
      </c>
      <c r="J2" s="111">
        <v>2022</v>
      </c>
      <c r="K2" s="111">
        <v>2023</v>
      </c>
      <c r="L2" s="111">
        <v>2024</v>
      </c>
      <c r="M2" s="111">
        <v>2025</v>
      </c>
      <c r="N2" s="111">
        <v>2026</v>
      </c>
      <c r="O2" s="111">
        <v>2027</v>
      </c>
      <c r="P2" s="111">
        <v>2028</v>
      </c>
      <c r="Q2" s="111">
        <v>2029</v>
      </c>
      <c r="R2" s="111">
        <v>2030</v>
      </c>
      <c r="S2" s="111">
        <v>2031</v>
      </c>
      <c r="T2" s="111">
        <v>2032</v>
      </c>
      <c r="U2" s="111">
        <v>2033</v>
      </c>
      <c r="V2" s="111">
        <v>2034</v>
      </c>
      <c r="W2" s="111">
        <v>2035</v>
      </c>
      <c r="X2" s="111">
        <v>2036</v>
      </c>
      <c r="Y2" s="111">
        <v>2037</v>
      </c>
      <c r="Z2" s="111">
        <v>2038</v>
      </c>
      <c r="AA2" s="111">
        <v>2039</v>
      </c>
      <c r="AB2" s="111">
        <v>2040</v>
      </c>
      <c r="AC2" s="111">
        <v>2041</v>
      </c>
      <c r="AD2" s="111">
        <v>2042</v>
      </c>
      <c r="AE2" s="111">
        <v>2043</v>
      </c>
      <c r="AF2" s="111">
        <v>2044</v>
      </c>
      <c r="AG2" s="111">
        <v>2045</v>
      </c>
      <c r="AH2" s="111">
        <v>2046</v>
      </c>
      <c r="AI2" s="111">
        <v>2047</v>
      </c>
      <c r="AJ2" s="111">
        <v>2048</v>
      </c>
      <c r="AK2" s="111">
        <v>2049</v>
      </c>
      <c r="AL2" s="112">
        <v>2050</v>
      </c>
    </row>
    <row r="3" spans="1:38">
      <c r="A3" s="113" t="s">
        <v>129</v>
      </c>
      <c r="B3" s="113">
        <v>0</v>
      </c>
      <c r="C3" s="114"/>
      <c r="D3" s="114" t="s">
        <v>142</v>
      </c>
      <c r="E3" s="114">
        <v>3.0659824800000024</v>
      </c>
      <c r="G3" t="s">
        <v>139</v>
      </c>
      <c r="H3">
        <v>4228.939453</v>
      </c>
      <c r="I3">
        <v>4234.2402339999999</v>
      </c>
      <c r="J3">
        <v>4238.7978519999997</v>
      </c>
      <c r="K3">
        <v>4242.6923829999996</v>
      </c>
      <c r="L3">
        <v>4245.9941410000001</v>
      </c>
      <c r="M3">
        <v>4248.7631840000004</v>
      </c>
      <c r="N3">
        <v>4251.0546880000002</v>
      </c>
      <c r="O3">
        <v>4252.9160160000001</v>
      </c>
      <c r="P3">
        <v>4254.3896480000003</v>
      </c>
      <c r="Q3">
        <v>4255.5131840000004</v>
      </c>
      <c r="R3">
        <v>4256.3208009999998</v>
      </c>
      <c r="S3">
        <v>4256.8427730000003</v>
      </c>
      <c r="T3">
        <v>4257.1049800000001</v>
      </c>
      <c r="U3">
        <v>4257.1337890000004</v>
      </c>
      <c r="V3">
        <v>4256.9497069999998</v>
      </c>
      <c r="W3">
        <v>4256.5751950000003</v>
      </c>
      <c r="X3">
        <v>4256.0253910000001</v>
      </c>
      <c r="Y3">
        <v>4255.3183589999999</v>
      </c>
      <c r="Z3">
        <v>4254.4697269999997</v>
      </c>
      <c r="AA3">
        <v>4253.4931640000004</v>
      </c>
      <c r="AB3">
        <v>4252.3999020000001</v>
      </c>
      <c r="AC3">
        <v>4251.203125</v>
      </c>
      <c r="AD3">
        <v>4249.9130859999996</v>
      </c>
      <c r="AE3">
        <v>4248.5400390000004</v>
      </c>
      <c r="AF3">
        <v>4247.0908200000003</v>
      </c>
      <c r="AG3">
        <v>4245.576172</v>
      </c>
      <c r="AH3">
        <v>4244.0029299999997</v>
      </c>
      <c r="AI3">
        <v>4242.3779299999997</v>
      </c>
      <c r="AJ3">
        <v>4240.7070309999999</v>
      </c>
      <c r="AK3">
        <v>4238.998047</v>
      </c>
      <c r="AL3">
        <v>4237.2539059999999</v>
      </c>
    </row>
    <row r="4" spans="1:38">
      <c r="A4" s="113" t="s">
        <v>130</v>
      </c>
      <c r="B4" s="113">
        <v>141.66945311999999</v>
      </c>
      <c r="C4" s="114"/>
      <c r="D4" s="114" t="s">
        <v>148</v>
      </c>
      <c r="E4" s="114">
        <v>7.0079999999992284E-3</v>
      </c>
      <c r="G4" t="s">
        <v>140</v>
      </c>
      <c r="H4">
        <v>198.38078439999981</v>
      </c>
      <c r="I4">
        <v>204.43384560000004</v>
      </c>
      <c r="J4">
        <v>141.67341287999989</v>
      </c>
      <c r="K4">
        <v>172.32543371999964</v>
      </c>
      <c r="L4">
        <v>146.73861120000038</v>
      </c>
      <c r="M4">
        <v>144.64411960000052</v>
      </c>
      <c r="N4">
        <v>99.29270095999982</v>
      </c>
      <c r="O4">
        <v>43.441526479999993</v>
      </c>
      <c r="P4">
        <v>31.789434080000319</v>
      </c>
      <c r="Q4">
        <v>28.40042399999993</v>
      </c>
      <c r="R4">
        <v>28.548872599998958</v>
      </c>
      <c r="S4">
        <v>29.273203040001135</v>
      </c>
      <c r="T4">
        <v>59.637355599999864</v>
      </c>
      <c r="U4">
        <v>2.131121400000211</v>
      </c>
      <c r="V4">
        <v>29.163039279998884</v>
      </c>
      <c r="W4">
        <v>11.60566400000107</v>
      </c>
      <c r="X4">
        <v>4.4212682399993355</v>
      </c>
      <c r="Y4">
        <v>9.4905540800000381</v>
      </c>
      <c r="Z4">
        <v>13.573770680000052</v>
      </c>
      <c r="AA4">
        <v>1.1784145200003877</v>
      </c>
      <c r="AB4">
        <v>-0.18833648000008907</v>
      </c>
      <c r="AC4">
        <v>22.420042839999951</v>
      </c>
      <c r="AD4">
        <v>6.8653895999996166</v>
      </c>
      <c r="AE4">
        <v>19.615877960000489</v>
      </c>
      <c r="AF4">
        <v>-1.4492190000000846</v>
      </c>
      <c r="AG4">
        <v>3.1484576799998649</v>
      </c>
      <c r="AH4">
        <v>3.4681379999992714</v>
      </c>
      <c r="AI4">
        <v>4.7514565600004062</v>
      </c>
      <c r="AJ4">
        <v>-1.6708989999997357</v>
      </c>
      <c r="AK4">
        <v>-1.708983999999873</v>
      </c>
      <c r="AL4">
        <v>-1.7160739600003581</v>
      </c>
    </row>
    <row r="5" spans="1:38">
      <c r="A5" s="113" t="s">
        <v>131</v>
      </c>
      <c r="B5" s="113">
        <v>57.968187480000005</v>
      </c>
      <c r="C5" s="114"/>
      <c r="D5" s="114" t="s">
        <v>149</v>
      </c>
      <c r="E5" s="114">
        <v>1.4059799999999989</v>
      </c>
    </row>
    <row r="6" spans="1:38">
      <c r="A6" s="113" t="s">
        <v>132</v>
      </c>
      <c r="B6" s="113">
        <v>19.272000000000002</v>
      </c>
      <c r="C6" s="114"/>
      <c r="D6" s="114" t="s">
        <v>143</v>
      </c>
      <c r="E6" s="114">
        <v>0</v>
      </c>
    </row>
    <row r="7" spans="1:38">
      <c r="A7" s="113" t="s">
        <v>133</v>
      </c>
      <c r="B7" s="113">
        <v>0</v>
      </c>
      <c r="C7" s="114"/>
      <c r="D7" s="114" t="s">
        <v>144</v>
      </c>
      <c r="E7" s="114">
        <v>106.32513947999978</v>
      </c>
    </row>
    <row r="8" spans="1:38">
      <c r="A8" s="113" t="s">
        <v>134</v>
      </c>
      <c r="B8" s="113">
        <v>27.38377752000001</v>
      </c>
      <c r="C8" s="114"/>
      <c r="D8" s="114" t="s">
        <v>145</v>
      </c>
      <c r="E8" s="114">
        <v>98.774229719999909</v>
      </c>
    </row>
    <row r="9" spans="1:38">
      <c r="A9" s="113" t="s">
        <v>135</v>
      </c>
      <c r="B9" s="113">
        <v>2.0235599999999999E-2</v>
      </c>
      <c r="C9" s="114"/>
      <c r="D9" s="114" t="s">
        <v>146</v>
      </c>
      <c r="E9" s="114">
        <v>0.15768000000000004</v>
      </c>
    </row>
    <row r="10" spans="1:38">
      <c r="A10" s="113" t="s">
        <v>136</v>
      </c>
      <c r="B10" s="113">
        <v>128.82472643999998</v>
      </c>
      <c r="C10" s="114"/>
      <c r="D10" s="114" t="s">
        <v>150</v>
      </c>
      <c r="E10" s="114"/>
    </row>
    <row r="11" spans="1:38">
      <c r="A11" s="113" t="s">
        <v>137</v>
      </c>
      <c r="B11" s="113">
        <v>16.857533759999992</v>
      </c>
      <c r="C11" s="114"/>
      <c r="D11" s="114"/>
      <c r="E11" s="114"/>
    </row>
    <row r="12" spans="1:38">
      <c r="A12" s="113" t="s">
        <v>138</v>
      </c>
      <c r="B12" s="113">
        <v>293.5954734</v>
      </c>
      <c r="C12" s="114"/>
      <c r="D12" s="114"/>
      <c r="E12" s="114"/>
    </row>
    <row r="17" spans="1:33">
      <c r="A17" t="s">
        <v>151</v>
      </c>
      <c r="B17">
        <v>2019</v>
      </c>
      <c r="C17">
        <v>2020</v>
      </c>
      <c r="D17">
        <v>2021</v>
      </c>
      <c r="E17">
        <v>2022</v>
      </c>
      <c r="F17">
        <v>2023</v>
      </c>
      <c r="G17">
        <v>2024</v>
      </c>
      <c r="H17">
        <v>2025</v>
      </c>
      <c r="I17">
        <v>2026</v>
      </c>
      <c r="J17">
        <v>2027</v>
      </c>
      <c r="K17">
        <v>2028</v>
      </c>
      <c r="L17">
        <v>2029</v>
      </c>
      <c r="M17">
        <v>2030</v>
      </c>
      <c r="N17">
        <v>2031</v>
      </c>
      <c r="O17">
        <v>2032</v>
      </c>
      <c r="P17">
        <v>2033</v>
      </c>
      <c r="Q17">
        <v>2034</v>
      </c>
      <c r="R17">
        <v>2035</v>
      </c>
      <c r="S17">
        <v>2036</v>
      </c>
      <c r="T17">
        <v>2037</v>
      </c>
      <c r="U17">
        <v>2038</v>
      </c>
      <c r="V17">
        <v>2039</v>
      </c>
      <c r="W17">
        <v>2040</v>
      </c>
      <c r="X17">
        <v>2041</v>
      </c>
      <c r="Y17">
        <v>2042</v>
      </c>
      <c r="Z17">
        <v>2043</v>
      </c>
      <c r="AA17">
        <v>2044</v>
      </c>
      <c r="AB17">
        <v>2045</v>
      </c>
      <c r="AC17">
        <v>2046</v>
      </c>
      <c r="AD17">
        <v>2047</v>
      </c>
      <c r="AE17">
        <v>2048</v>
      </c>
      <c r="AF17">
        <v>2049</v>
      </c>
      <c r="AG17">
        <v>2050</v>
      </c>
    </row>
    <row r="18" spans="1:33">
      <c r="A18" s="109" t="s">
        <v>81</v>
      </c>
      <c r="B18">
        <v>0</v>
      </c>
      <c r="C18">
        <v>0</v>
      </c>
    </row>
    <row r="19" spans="1:33">
      <c r="A19" s="109" t="s">
        <v>96</v>
      </c>
      <c r="B19">
        <v>99.3</v>
      </c>
      <c r="C19">
        <v>99.3</v>
      </c>
      <c r="D19">
        <v>99.3</v>
      </c>
      <c r="E19">
        <v>99.3</v>
      </c>
      <c r="F19">
        <v>99.3</v>
      </c>
      <c r="G19">
        <v>99.3</v>
      </c>
      <c r="H19">
        <v>99.3</v>
      </c>
      <c r="I19">
        <v>99.3</v>
      </c>
      <c r="J19">
        <v>99.3</v>
      </c>
      <c r="K19">
        <v>99.3</v>
      </c>
      <c r="L19">
        <v>99.3</v>
      </c>
      <c r="M19">
        <v>99.3</v>
      </c>
      <c r="N19">
        <v>99.3</v>
      </c>
      <c r="O19">
        <v>99.3</v>
      </c>
      <c r="P19">
        <v>99.3</v>
      </c>
      <c r="Q19">
        <v>99.3</v>
      </c>
      <c r="R19">
        <v>99.3</v>
      </c>
      <c r="S19">
        <v>99.3</v>
      </c>
      <c r="T19">
        <v>99.3</v>
      </c>
      <c r="U19">
        <v>99.3</v>
      </c>
      <c r="V19">
        <v>99.3</v>
      </c>
      <c r="W19">
        <v>99.3</v>
      </c>
      <c r="X19">
        <v>99.3</v>
      </c>
      <c r="Y19">
        <v>99.3</v>
      </c>
      <c r="Z19">
        <v>99.3</v>
      </c>
      <c r="AA19">
        <v>99.3</v>
      </c>
      <c r="AB19">
        <v>99.3</v>
      </c>
      <c r="AC19">
        <v>99.3</v>
      </c>
      <c r="AD19">
        <v>99.3</v>
      </c>
      <c r="AE19">
        <v>99.3</v>
      </c>
      <c r="AF19">
        <v>99.3</v>
      </c>
      <c r="AG19">
        <v>99.3</v>
      </c>
    </row>
    <row r="20" spans="1:33">
      <c r="A20" s="109" t="s">
        <v>89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09" t="s">
        <v>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09" t="s">
        <v>97</v>
      </c>
      <c r="B22">
        <v>212.20500000000001</v>
      </c>
      <c r="C22">
        <v>212.20500000000001</v>
      </c>
      <c r="D22">
        <v>212.20500000000001</v>
      </c>
      <c r="E22">
        <v>212.20500000000001</v>
      </c>
      <c r="F22">
        <v>212.20500000000001</v>
      </c>
      <c r="G22">
        <v>212.20500000000001</v>
      </c>
      <c r="H22">
        <v>212.20500000000001</v>
      </c>
      <c r="I22">
        <v>212.20500000000001</v>
      </c>
      <c r="J22">
        <v>212.20500000000001</v>
      </c>
      <c r="K22">
        <v>212.20500000000001</v>
      </c>
      <c r="L22">
        <v>212.20500000000001</v>
      </c>
      <c r="M22">
        <v>212.20500000000001</v>
      </c>
      <c r="N22">
        <v>212.20500000000001</v>
      </c>
      <c r="O22">
        <v>212.20500000000001</v>
      </c>
      <c r="P22">
        <v>212.20500000000001</v>
      </c>
      <c r="Q22">
        <v>212.20500000000001</v>
      </c>
      <c r="R22">
        <v>212.20500000000001</v>
      </c>
      <c r="S22">
        <v>212.20500000000001</v>
      </c>
      <c r="T22">
        <v>212.20500000000001</v>
      </c>
      <c r="U22">
        <v>212.20500000000001</v>
      </c>
      <c r="V22">
        <v>212.20500000000001</v>
      </c>
      <c r="W22">
        <v>212.20500000000001</v>
      </c>
      <c r="X22">
        <v>212.20500000000001</v>
      </c>
      <c r="Y22">
        <v>212.20500000000001</v>
      </c>
      <c r="Z22">
        <v>212.20500000000001</v>
      </c>
      <c r="AA22">
        <v>212.20500000000001</v>
      </c>
      <c r="AB22">
        <v>212.20500000000001</v>
      </c>
      <c r="AC22">
        <v>212.20500000000001</v>
      </c>
      <c r="AD22">
        <v>212.20500000000001</v>
      </c>
      <c r="AE22">
        <v>212.20500000000001</v>
      </c>
      <c r="AF22">
        <v>212.20500000000001</v>
      </c>
      <c r="AG22">
        <v>212.20500000000001</v>
      </c>
    </row>
    <row r="23" spans="1:33">
      <c r="A23" s="109" t="s">
        <v>98</v>
      </c>
      <c r="B23">
        <v>17.231999999999999</v>
      </c>
      <c r="C23">
        <f t="shared" ref="C23:H23" si="0">B23*(((C17-$B$17)/10)+1)</f>
        <v>18.955200000000001</v>
      </c>
      <c r="D23">
        <f t="shared" si="0"/>
        <v>22.74624</v>
      </c>
      <c r="E23">
        <f t="shared" si="0"/>
        <v>29.570112000000002</v>
      </c>
      <c r="F23">
        <f t="shared" si="0"/>
        <v>41.398156800000002</v>
      </c>
      <c r="G23">
        <f t="shared" si="0"/>
        <v>62.0972352</v>
      </c>
      <c r="H23">
        <f t="shared" si="0"/>
        <v>99.355576320000011</v>
      </c>
      <c r="I23">
        <v>100</v>
      </c>
      <c r="J23">
        <v>100</v>
      </c>
      <c r="K23">
        <v>100</v>
      </c>
      <c r="L23">
        <v>100</v>
      </c>
      <c r="M23">
        <v>100</v>
      </c>
      <c r="N23">
        <v>100</v>
      </c>
      <c r="O23">
        <v>100</v>
      </c>
      <c r="P23">
        <v>100</v>
      </c>
      <c r="Q23">
        <v>100</v>
      </c>
      <c r="R23">
        <v>100</v>
      </c>
      <c r="S23">
        <v>100</v>
      </c>
      <c r="T23">
        <v>100</v>
      </c>
      <c r="U23">
        <v>100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  <c r="AD23">
        <v>100</v>
      </c>
      <c r="AE23">
        <v>100</v>
      </c>
      <c r="AF23">
        <v>100</v>
      </c>
      <c r="AG23">
        <v>100</v>
      </c>
    </row>
    <row r="24" spans="1:33">
      <c r="A24" s="109" t="s">
        <v>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09" t="s">
        <v>100</v>
      </c>
      <c r="B25">
        <v>36.274000000000001</v>
      </c>
      <c r="C25">
        <f>B25*(((C17-$B$17)/10)+1)</f>
        <v>39.901400000000002</v>
      </c>
      <c r="D25">
        <f>C25*(((D17-$B$17)/10)+1)</f>
        <v>47.881680000000003</v>
      </c>
      <c r="E25">
        <f>D25*(((E17-$B$17)/10)+1)</f>
        <v>62.246184000000007</v>
      </c>
      <c r="F25">
        <f>E25*(((F17-$B$17)/10)+1)</f>
        <v>87.144657600000002</v>
      </c>
      <c r="G25">
        <v>100</v>
      </c>
      <c r="H25">
        <v>100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100</v>
      </c>
      <c r="AE25">
        <v>100</v>
      </c>
      <c r="AF25">
        <v>100</v>
      </c>
      <c r="AG25">
        <v>100</v>
      </c>
    </row>
    <row r="26" spans="1:33">
      <c r="A26" s="109" t="s">
        <v>101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09" t="s">
        <v>5</v>
      </c>
      <c r="B27">
        <v>71.7</v>
      </c>
      <c r="C27">
        <v>71.7</v>
      </c>
      <c r="D27">
        <v>71.7</v>
      </c>
      <c r="E27">
        <v>71.7</v>
      </c>
      <c r="F27">
        <v>71.7</v>
      </c>
      <c r="G27">
        <v>71.7</v>
      </c>
      <c r="H27">
        <v>71.7</v>
      </c>
      <c r="I27">
        <v>71.7</v>
      </c>
      <c r="J27">
        <v>71.7</v>
      </c>
      <c r="K27">
        <v>71.7</v>
      </c>
      <c r="L27">
        <v>71.7</v>
      </c>
      <c r="M27">
        <v>71.7</v>
      </c>
      <c r="N27">
        <v>71.7</v>
      </c>
      <c r="O27">
        <v>71.7</v>
      </c>
      <c r="P27">
        <v>71.7</v>
      </c>
      <c r="Q27">
        <v>71.7</v>
      </c>
      <c r="R27">
        <v>71.7</v>
      </c>
      <c r="S27">
        <v>71.7</v>
      </c>
      <c r="T27">
        <v>71.7</v>
      </c>
      <c r="U27">
        <v>71.7</v>
      </c>
      <c r="V27">
        <v>71.7</v>
      </c>
      <c r="W27">
        <v>71.7</v>
      </c>
      <c r="X27">
        <v>71.7</v>
      </c>
      <c r="Y27">
        <v>71.7</v>
      </c>
      <c r="Z27">
        <v>71.7</v>
      </c>
      <c r="AA27">
        <v>71.7</v>
      </c>
      <c r="AB27">
        <v>71.7</v>
      </c>
      <c r="AC27">
        <v>71.7</v>
      </c>
      <c r="AD27">
        <v>71.7</v>
      </c>
      <c r="AE27">
        <v>71.7</v>
      </c>
      <c r="AF27">
        <v>71.7</v>
      </c>
      <c r="AG27">
        <v>71.7</v>
      </c>
    </row>
    <row r="28" spans="1:33">
      <c r="A28" s="109" t="s">
        <v>102</v>
      </c>
      <c r="B28">
        <v>4.3</v>
      </c>
      <c r="C28">
        <v>4.3</v>
      </c>
      <c r="D28">
        <v>4.3</v>
      </c>
      <c r="E28">
        <v>4.3</v>
      </c>
      <c r="F28">
        <v>4.3</v>
      </c>
      <c r="G28">
        <v>4.3</v>
      </c>
      <c r="H28">
        <v>4.3</v>
      </c>
      <c r="I28">
        <v>4.3</v>
      </c>
      <c r="J28">
        <v>4.3</v>
      </c>
      <c r="K28">
        <v>4.3</v>
      </c>
      <c r="L28">
        <v>4.3</v>
      </c>
      <c r="M28">
        <v>4.3</v>
      </c>
      <c r="N28">
        <v>4.3</v>
      </c>
      <c r="O28">
        <v>4.3</v>
      </c>
      <c r="P28">
        <v>4.3</v>
      </c>
      <c r="Q28">
        <v>4.3</v>
      </c>
      <c r="R28">
        <v>4.3</v>
      </c>
      <c r="S28">
        <v>4.3</v>
      </c>
      <c r="T28">
        <v>4.3</v>
      </c>
      <c r="U28">
        <v>4.3</v>
      </c>
      <c r="V28">
        <v>4.3</v>
      </c>
      <c r="W28">
        <v>4.3</v>
      </c>
      <c r="X28">
        <v>4.3</v>
      </c>
      <c r="Y28">
        <v>4.3</v>
      </c>
      <c r="Z28">
        <v>4.3</v>
      </c>
      <c r="AA28">
        <v>4.3</v>
      </c>
      <c r="AB28">
        <v>4.3</v>
      </c>
      <c r="AC28">
        <v>4.3</v>
      </c>
      <c r="AD28">
        <v>4.3</v>
      </c>
      <c r="AE28">
        <v>4.3</v>
      </c>
      <c r="AF28">
        <v>4.3</v>
      </c>
      <c r="AG28">
        <v>4.3</v>
      </c>
    </row>
    <row r="29" spans="1:33">
      <c r="A29" s="109" t="s">
        <v>7</v>
      </c>
      <c r="B29">
        <v>34.799999999999997</v>
      </c>
      <c r="C29">
        <v>34.799999999999997</v>
      </c>
      <c r="D29">
        <v>34.799999999999997</v>
      </c>
      <c r="E29">
        <v>34.799999999999997</v>
      </c>
      <c r="F29">
        <v>34.799999999999997</v>
      </c>
      <c r="G29">
        <v>34.799999999999997</v>
      </c>
      <c r="H29">
        <v>34.799999999999997</v>
      </c>
      <c r="I29">
        <v>34.799999999999997</v>
      </c>
      <c r="J29">
        <v>34.799999999999997</v>
      </c>
      <c r="K29">
        <v>34.799999999999997</v>
      </c>
      <c r="L29">
        <v>34.799999999999997</v>
      </c>
      <c r="M29">
        <v>34.799999999999997</v>
      </c>
      <c r="N29">
        <v>34.799999999999997</v>
      </c>
      <c r="O29">
        <v>34.799999999999997</v>
      </c>
      <c r="P29">
        <v>34.799999999999997</v>
      </c>
      <c r="Q29">
        <v>34.799999999999997</v>
      </c>
      <c r="R29">
        <v>34.799999999999997</v>
      </c>
      <c r="S29">
        <v>34.799999999999997</v>
      </c>
      <c r="T29">
        <v>34.799999999999997</v>
      </c>
      <c r="U29">
        <v>34.799999999999997</v>
      </c>
      <c r="V29">
        <v>34.799999999999997</v>
      </c>
      <c r="W29">
        <v>34.799999999999997</v>
      </c>
      <c r="X29">
        <v>34.799999999999997</v>
      </c>
      <c r="Y29">
        <v>34.799999999999997</v>
      </c>
      <c r="Z29">
        <v>34.799999999999997</v>
      </c>
      <c r="AA29">
        <v>34.799999999999997</v>
      </c>
      <c r="AB29">
        <v>34.799999999999997</v>
      </c>
      <c r="AC29">
        <v>34.799999999999997</v>
      </c>
      <c r="AD29">
        <v>34.799999999999997</v>
      </c>
      <c r="AE29">
        <v>34.799999999999997</v>
      </c>
      <c r="AF29">
        <v>34.799999999999997</v>
      </c>
      <c r="AG29">
        <v>34.799999999999997</v>
      </c>
    </row>
    <row r="30" spans="1:33">
      <c r="A30" s="109" t="s">
        <v>103</v>
      </c>
      <c r="B30">
        <v>59.9</v>
      </c>
      <c r="C30">
        <v>59.9</v>
      </c>
      <c r="D30">
        <v>59.9</v>
      </c>
      <c r="E30">
        <v>59.9</v>
      </c>
      <c r="F30">
        <v>59.9</v>
      </c>
      <c r="G30">
        <v>59.9</v>
      </c>
      <c r="H30">
        <v>59.9</v>
      </c>
      <c r="I30">
        <v>59.9</v>
      </c>
      <c r="J30">
        <v>59.9</v>
      </c>
      <c r="K30">
        <v>59.9</v>
      </c>
      <c r="L30">
        <v>59.9</v>
      </c>
      <c r="M30">
        <v>59.9</v>
      </c>
      <c r="N30">
        <v>59.9</v>
      </c>
      <c r="O30">
        <v>59.9</v>
      </c>
      <c r="P30">
        <v>59.9</v>
      </c>
      <c r="Q30">
        <v>59.9</v>
      </c>
      <c r="R30">
        <v>59.9</v>
      </c>
      <c r="S30">
        <v>59.9</v>
      </c>
      <c r="T30">
        <v>59.9</v>
      </c>
      <c r="U30">
        <v>59.9</v>
      </c>
      <c r="V30">
        <v>59.9</v>
      </c>
      <c r="W30">
        <v>59.9</v>
      </c>
      <c r="X30">
        <v>59.9</v>
      </c>
      <c r="Y30">
        <v>59.9</v>
      </c>
      <c r="Z30">
        <v>59.9</v>
      </c>
      <c r="AA30">
        <v>59.9</v>
      </c>
      <c r="AB30">
        <v>59.9</v>
      </c>
      <c r="AC30">
        <v>59.9</v>
      </c>
      <c r="AD30">
        <v>59.9</v>
      </c>
      <c r="AE30">
        <v>59.9</v>
      </c>
      <c r="AF30">
        <v>59.9</v>
      </c>
      <c r="AG30">
        <v>59.9</v>
      </c>
    </row>
    <row r="31" spans="1:33">
      <c r="A31" s="66"/>
      <c r="B31">
        <f>SUM(B18:B30)</f>
        <v>535.71100000000001</v>
      </c>
      <c r="D31" s="116"/>
      <c r="E31" s="115"/>
      <c r="F31" s="115"/>
      <c r="G31" s="115"/>
    </row>
    <row r="32" spans="1:33">
      <c r="D32" s="116"/>
      <c r="E32" s="115"/>
      <c r="F32" s="115"/>
      <c r="G32" s="115"/>
    </row>
    <row r="33" spans="2:9">
      <c r="D33" s="116"/>
      <c r="E33" s="115"/>
      <c r="F33" s="115"/>
      <c r="G33" s="115"/>
    </row>
    <row r="34" spans="2:9">
      <c r="D34" s="116"/>
    </row>
    <row r="35" spans="2:9">
      <c r="D35" s="116"/>
    </row>
    <row r="36" spans="2:9">
      <c r="B36" s="270" t="s">
        <v>155</v>
      </c>
      <c r="C36" s="270"/>
    </row>
    <row r="37" spans="2:9">
      <c r="B37" s="127" t="s">
        <v>81</v>
      </c>
      <c r="C37" s="128">
        <v>0</v>
      </c>
    </row>
    <row r="38" spans="2:9">
      <c r="B38" s="127" t="s">
        <v>96</v>
      </c>
      <c r="C38" s="128">
        <v>0</v>
      </c>
      <c r="E38" s="115" t="s">
        <v>126</v>
      </c>
      <c r="F38" s="115" t="s">
        <v>153</v>
      </c>
      <c r="G38" s="115"/>
      <c r="H38" t="s">
        <v>147</v>
      </c>
      <c r="I38" t="s">
        <v>153</v>
      </c>
    </row>
    <row r="39" spans="2:9">
      <c r="B39" s="127" t="s">
        <v>89</v>
      </c>
      <c r="C39" s="128">
        <v>0</v>
      </c>
      <c r="E39" t="s">
        <v>128</v>
      </c>
      <c r="F39">
        <v>0</v>
      </c>
      <c r="G39" s="115"/>
      <c r="H39" t="s">
        <v>141</v>
      </c>
      <c r="I39">
        <v>0.17388042545454518</v>
      </c>
    </row>
    <row r="40" spans="2:9">
      <c r="B40" s="127" t="s">
        <v>88</v>
      </c>
      <c r="C40" s="128">
        <v>0</v>
      </c>
      <c r="E40" s="117" t="s">
        <v>129</v>
      </c>
      <c r="F40">
        <v>0</v>
      </c>
      <c r="G40" s="115"/>
      <c r="H40" t="s">
        <v>142</v>
      </c>
      <c r="I40">
        <v>1.5728518945454544</v>
      </c>
    </row>
    <row r="41" spans="2:9">
      <c r="B41" s="127" t="s">
        <v>97</v>
      </c>
      <c r="C41" s="128">
        <v>141.66945311999999</v>
      </c>
      <c r="E41" s="117" t="s">
        <v>130</v>
      </c>
      <c r="F41">
        <v>70.315479255483879</v>
      </c>
      <c r="G41" s="115"/>
      <c r="H41" t="s">
        <v>148</v>
      </c>
      <c r="I41">
        <v>-1.5148163636363557E-2</v>
      </c>
    </row>
    <row r="42" spans="2:9">
      <c r="B42" s="127" t="s">
        <v>98</v>
      </c>
      <c r="C42" s="128">
        <v>106.32513948</v>
      </c>
      <c r="E42" s="117" t="s">
        <v>131</v>
      </c>
      <c r="F42">
        <v>12.291618867096771</v>
      </c>
      <c r="G42" s="115"/>
      <c r="H42" t="s">
        <v>149</v>
      </c>
      <c r="I42">
        <v>4.6755305454545371E-2</v>
      </c>
    </row>
    <row r="43" spans="2:9">
      <c r="B43" s="127" t="s">
        <v>99</v>
      </c>
      <c r="C43" s="128">
        <v>0</v>
      </c>
      <c r="E43" s="117" t="s">
        <v>132</v>
      </c>
      <c r="F43">
        <v>0.62167741935483878</v>
      </c>
      <c r="G43" s="115"/>
      <c r="H43" t="s">
        <v>143</v>
      </c>
      <c r="I43">
        <v>0</v>
      </c>
    </row>
    <row r="44" spans="2:9">
      <c r="B44" s="127" t="s">
        <v>100</v>
      </c>
      <c r="C44" s="128">
        <v>98.774229719999909</v>
      </c>
      <c r="E44" s="117" t="s">
        <v>133</v>
      </c>
      <c r="F44">
        <v>0</v>
      </c>
      <c r="G44" s="115"/>
      <c r="H44" t="s">
        <v>144</v>
      </c>
      <c r="I44">
        <v>50.632704170909086</v>
      </c>
    </row>
    <row r="45" spans="2:9">
      <c r="B45" s="127" t="s">
        <v>101</v>
      </c>
      <c r="C45" s="128">
        <v>0.15768000000000004</v>
      </c>
      <c r="E45" s="117" t="s">
        <v>134</v>
      </c>
      <c r="F45">
        <v>8.4838836696774216</v>
      </c>
      <c r="G45" s="115"/>
      <c r="H45" t="s">
        <v>145</v>
      </c>
      <c r="I45">
        <v>12.62181149090909</v>
      </c>
    </row>
    <row r="46" spans="2:9">
      <c r="B46" s="127" t="s">
        <v>5</v>
      </c>
      <c r="C46" s="128">
        <v>19.272000000000002</v>
      </c>
      <c r="E46" s="117" t="s">
        <v>135</v>
      </c>
      <c r="F46">
        <v>1.9975625806451618E-3</v>
      </c>
      <c r="G46" s="115"/>
      <c r="H46" t="s">
        <v>146</v>
      </c>
      <c r="I46">
        <v>7.9636363636363654E-3</v>
      </c>
    </row>
    <row r="47" spans="2:9">
      <c r="B47" s="127" t="s">
        <v>102</v>
      </c>
      <c r="C47" s="128">
        <v>3.0659824800000024</v>
      </c>
      <c r="E47" s="117" t="s">
        <v>136</v>
      </c>
      <c r="F47">
        <v>61.358441705806463</v>
      </c>
      <c r="G47" s="115"/>
      <c r="H47" t="s">
        <v>150</v>
      </c>
    </row>
    <row r="48" spans="2:9">
      <c r="B48" s="127" t="s">
        <v>7</v>
      </c>
      <c r="C48" s="128">
        <v>1.4059799999999989</v>
      </c>
      <c r="E48" s="117" t="s">
        <v>137</v>
      </c>
      <c r="F48">
        <v>8.9227271729032278</v>
      </c>
      <c r="G48" s="115"/>
      <c r="H48" s="115"/>
    </row>
    <row r="49" spans="1:18">
      <c r="B49" s="127" t="s">
        <v>103</v>
      </c>
      <c r="C49" s="128">
        <v>1.1693811600000568</v>
      </c>
      <c r="E49" s="117" t="s">
        <v>138</v>
      </c>
      <c r="F49">
        <v>161.99581717548389</v>
      </c>
      <c r="G49" s="115"/>
      <c r="H49" s="115"/>
    </row>
    <row r="50" spans="1:18">
      <c r="B50" s="128"/>
      <c r="C50" s="128">
        <f>SUM(C37:C49)</f>
        <v>371.83984595999999</v>
      </c>
      <c r="F50" s="115"/>
    </row>
    <row r="51" spans="1:18">
      <c r="A51" s="269" t="s">
        <v>154</v>
      </c>
      <c r="B51" s="269"/>
      <c r="D51" s="271" t="s">
        <v>161</v>
      </c>
      <c r="E51" s="271"/>
    </row>
    <row r="52" spans="1:18">
      <c r="A52" s="126" t="s">
        <v>81</v>
      </c>
      <c r="B52" s="126">
        <v>0</v>
      </c>
      <c r="D52" s="129" t="s">
        <v>81</v>
      </c>
      <c r="E52" s="129"/>
    </row>
    <row r="53" spans="1:18">
      <c r="A53" s="126" t="s">
        <v>96</v>
      </c>
      <c r="B53" s="126">
        <v>0</v>
      </c>
      <c r="D53" s="129" t="s">
        <v>96</v>
      </c>
      <c r="E53" s="129">
        <f>I60</f>
        <v>99.3</v>
      </c>
    </row>
    <row r="54" spans="1:18">
      <c r="A54" s="126" t="s">
        <v>89</v>
      </c>
      <c r="B54" s="126"/>
      <c r="D54" s="129" t="s">
        <v>89</v>
      </c>
      <c r="E54" s="129"/>
    </row>
    <row r="55" spans="1:18">
      <c r="A55" s="126" t="s">
        <v>88</v>
      </c>
      <c r="B55" s="126"/>
      <c r="D55" s="129" t="s">
        <v>88</v>
      </c>
      <c r="E55" s="129"/>
    </row>
    <row r="56" spans="1:18">
      <c r="A56" s="126" t="s">
        <v>97</v>
      </c>
      <c r="B56" s="126">
        <v>70.315479255483879</v>
      </c>
      <c r="D56" s="129" t="s">
        <v>97</v>
      </c>
      <c r="E56" s="129">
        <f>K60</f>
        <v>212.20500000000001</v>
      </c>
    </row>
    <row r="57" spans="1:18">
      <c r="A57" s="126" t="s">
        <v>98</v>
      </c>
      <c r="B57" s="126">
        <v>50.632704170909086</v>
      </c>
      <c r="D57" s="129" t="s">
        <v>98</v>
      </c>
      <c r="E57" s="129">
        <f>Q60</f>
        <v>17.231999999999999</v>
      </c>
    </row>
    <row r="58" spans="1:18">
      <c r="A58" s="126" t="s">
        <v>99</v>
      </c>
      <c r="B58" s="126">
        <v>0</v>
      </c>
      <c r="D58" s="129" t="s">
        <v>99</v>
      </c>
      <c r="E58" s="129"/>
    </row>
    <row r="59" spans="1:18">
      <c r="A59" s="126" t="s">
        <v>100</v>
      </c>
      <c r="B59" s="126">
        <v>12.62181149090909</v>
      </c>
      <c r="D59" s="129" t="s">
        <v>100</v>
      </c>
      <c r="E59" s="129">
        <f>R60</f>
        <v>36.274000000000001</v>
      </c>
      <c r="H59" t="s">
        <v>77</v>
      </c>
      <c r="I59" t="s">
        <v>9</v>
      </c>
      <c r="J59" t="s">
        <v>156</v>
      </c>
      <c r="K59" t="s">
        <v>157</v>
      </c>
      <c r="L59" t="s">
        <v>158</v>
      </c>
      <c r="M59" t="s">
        <v>5</v>
      </c>
      <c r="N59" t="s">
        <v>159</v>
      </c>
      <c r="O59" t="s">
        <v>7</v>
      </c>
      <c r="P59" t="s">
        <v>6</v>
      </c>
      <c r="Q59" t="s">
        <v>98</v>
      </c>
      <c r="R59" t="s">
        <v>4</v>
      </c>
    </row>
    <row r="60" spans="1:18">
      <c r="A60" s="126" t="s">
        <v>101</v>
      </c>
      <c r="B60" s="126">
        <v>7.9636363636363654E-3</v>
      </c>
      <c r="D60" s="129" t="s">
        <v>101</v>
      </c>
      <c r="E60" s="129"/>
      <c r="H60" t="s">
        <v>160</v>
      </c>
      <c r="I60">
        <v>99.3</v>
      </c>
      <c r="J60">
        <v>54.1</v>
      </c>
      <c r="K60">
        <v>212.20500000000001</v>
      </c>
      <c r="L60">
        <v>7.9</v>
      </c>
      <c r="M60">
        <v>71.7</v>
      </c>
      <c r="N60">
        <v>59.9</v>
      </c>
      <c r="O60">
        <v>34.799999999999997</v>
      </c>
      <c r="P60">
        <v>4.3</v>
      </c>
      <c r="Q60">
        <v>17.231999999999999</v>
      </c>
      <c r="R60">
        <v>36.274000000000001</v>
      </c>
    </row>
    <row r="61" spans="1:18">
      <c r="A61" s="126" t="s">
        <v>5</v>
      </c>
      <c r="B61" s="126">
        <v>0.62167741935483878</v>
      </c>
      <c r="D61" s="129" t="s">
        <v>5</v>
      </c>
      <c r="E61" s="129">
        <f>M60</f>
        <v>71.7</v>
      </c>
    </row>
    <row r="62" spans="1:18">
      <c r="A62" s="126" t="s">
        <v>102</v>
      </c>
      <c r="B62" s="126">
        <v>1.5728518945454544</v>
      </c>
      <c r="D62" s="129" t="s">
        <v>102</v>
      </c>
      <c r="E62" s="129">
        <f>P60</f>
        <v>4.3</v>
      </c>
      <c r="H62" t="s">
        <v>168</v>
      </c>
      <c r="I62" t="s">
        <v>164</v>
      </c>
      <c r="J62" t="s">
        <v>165</v>
      </c>
    </row>
    <row r="63" spans="1:18">
      <c r="A63" s="126" t="s">
        <v>7</v>
      </c>
      <c r="B63" s="126">
        <v>4.6755305454545371E-2</v>
      </c>
      <c r="D63" s="129" t="s">
        <v>7</v>
      </c>
      <c r="E63" s="129">
        <f>O60</f>
        <v>34.799999999999997</v>
      </c>
      <c r="I63" t="s">
        <v>166</v>
      </c>
      <c r="J63" t="s">
        <v>167</v>
      </c>
    </row>
    <row r="64" spans="1:18">
      <c r="A64" s="126" t="s">
        <v>103</v>
      </c>
      <c r="B64" s="126">
        <v>0.17388042545454518</v>
      </c>
      <c r="D64" s="129" t="s">
        <v>103</v>
      </c>
      <c r="E64" s="129">
        <f>N60</f>
        <v>59.9</v>
      </c>
    </row>
    <row r="65" spans="1:18">
      <c r="A65" s="126"/>
      <c r="B65" s="126">
        <v>135.99312359847508</v>
      </c>
      <c r="H65" s="272" t="s">
        <v>169</v>
      </c>
      <c r="I65" s="272"/>
      <c r="J65" s="272"/>
      <c r="K65" s="272"/>
      <c r="L65" s="272"/>
      <c r="M65" s="272"/>
      <c r="N65" s="272"/>
      <c r="O65" s="272"/>
      <c r="P65" s="272"/>
      <c r="Q65" s="272"/>
      <c r="R65" s="272"/>
    </row>
    <row r="66" spans="1:18" ht="409.5" customHeight="1">
      <c r="H66" s="130" t="s">
        <v>170</v>
      </c>
      <c r="I66" s="131" t="s">
        <v>171</v>
      </c>
      <c r="J66" s="130"/>
      <c r="K66" s="130"/>
      <c r="L66" s="130"/>
      <c r="M66" s="130"/>
      <c r="N66" s="130"/>
      <c r="O66" s="130"/>
      <c r="P66" s="130"/>
      <c r="Q66" s="130"/>
      <c r="R66" s="130"/>
    </row>
    <row r="67" spans="1:18"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</row>
  </sheetData>
  <mergeCells count="4">
    <mergeCell ref="A51:B51"/>
    <mergeCell ref="B36:C36"/>
    <mergeCell ref="D51:E51"/>
    <mergeCell ref="H65:R65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42AA9-792A-4A0B-9C27-B9FFDA9C0B59}">
  <dimension ref="A2:CF588"/>
  <sheetViews>
    <sheetView zoomScale="80" workbookViewId="0">
      <selection activeCell="D21" sqref="D21"/>
    </sheetView>
  </sheetViews>
  <sheetFormatPr defaultRowHeight="14.5"/>
  <cols>
    <col min="2" max="2" width="25.1796875" customWidth="1"/>
  </cols>
  <sheetData>
    <row r="2" spans="1:84" ht="15" thickBo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</row>
    <row r="3" spans="1:84" ht="15" thickBot="1">
      <c r="A3" s="1"/>
      <c r="B3" s="262" t="s">
        <v>86</v>
      </c>
      <c r="C3" s="263"/>
      <c r="D3" s="263"/>
      <c r="E3" s="26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</row>
    <row r="4" spans="1:84">
      <c r="A4" s="1"/>
      <c r="B4" s="58" t="s">
        <v>115</v>
      </c>
      <c r="C4" s="58">
        <v>2019</v>
      </c>
      <c r="D4" s="58">
        <v>2020</v>
      </c>
      <c r="E4" s="58">
        <v>2021</v>
      </c>
      <c r="F4" s="58">
        <v>2022</v>
      </c>
      <c r="G4" s="58">
        <v>2023</v>
      </c>
      <c r="H4" s="58">
        <v>2024</v>
      </c>
      <c r="I4" s="58">
        <v>2025</v>
      </c>
      <c r="J4" s="58">
        <v>2026</v>
      </c>
      <c r="K4" s="58">
        <v>2027</v>
      </c>
      <c r="L4" s="58">
        <v>2028</v>
      </c>
      <c r="M4" s="58">
        <v>2029</v>
      </c>
      <c r="N4" s="58">
        <v>2030</v>
      </c>
      <c r="O4" s="58">
        <v>2031</v>
      </c>
      <c r="P4" s="58">
        <v>2032</v>
      </c>
      <c r="Q4" s="58">
        <v>2033</v>
      </c>
      <c r="R4" s="58">
        <v>2034</v>
      </c>
      <c r="S4" s="58">
        <v>2035</v>
      </c>
      <c r="T4" s="58">
        <v>2036</v>
      </c>
      <c r="U4" s="58">
        <v>2037</v>
      </c>
      <c r="V4" s="58">
        <v>2038</v>
      </c>
      <c r="W4" s="58">
        <v>2039</v>
      </c>
      <c r="X4" s="58">
        <v>2040</v>
      </c>
      <c r="Y4" s="58">
        <v>2041</v>
      </c>
      <c r="Z4" s="58">
        <v>2042</v>
      </c>
      <c r="AA4" s="58">
        <v>2043</v>
      </c>
      <c r="AB4" s="58">
        <v>2044</v>
      </c>
      <c r="AC4" s="58">
        <v>2045</v>
      </c>
      <c r="AD4" s="58">
        <v>2046</v>
      </c>
      <c r="AE4" s="58">
        <v>2047</v>
      </c>
      <c r="AF4" s="58">
        <v>2048</v>
      </c>
      <c r="AG4" s="58">
        <v>2049</v>
      </c>
      <c r="AH4" s="58">
        <v>2050</v>
      </c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</row>
    <row r="5" spans="1:84">
      <c r="A5" s="1"/>
      <c r="B5" s="58">
        <v>1</v>
      </c>
      <c r="C5" s="98" t="str">
        <f>KPIs!C23</f>
        <v>Gas - CC</v>
      </c>
      <c r="D5" s="98" t="str">
        <f>KPIs!D23</f>
        <v>Solar PV</v>
      </c>
      <c r="E5" s="98" t="str">
        <f>KPIs!E23</f>
        <v>Solar PV</v>
      </c>
      <c r="F5" s="98" t="str">
        <f>KPIs!F23</f>
        <v>Solar PV</v>
      </c>
      <c r="G5" s="98" t="str">
        <f>KPIs!G23</f>
        <v>Solar PV</v>
      </c>
      <c r="H5" s="98" t="str">
        <f>KPIs!H23</f>
        <v>Solar PV</v>
      </c>
      <c r="I5" s="98" t="str">
        <f>KPIs!I23</f>
        <v>Solar PV</v>
      </c>
      <c r="J5" s="98" t="str">
        <f>KPIs!J23</f>
        <v>Solar PV</v>
      </c>
      <c r="K5" s="98" t="str">
        <f>KPIs!K23</f>
        <v>Solar PV</v>
      </c>
      <c r="L5" s="98" t="str">
        <f>KPIs!L23</f>
        <v>Solar PV</v>
      </c>
      <c r="M5" s="98" t="str">
        <f>KPIs!M23</f>
        <v>Solar PV</v>
      </c>
      <c r="N5" s="98" t="str">
        <f>KPIs!N23</f>
        <v>Solar PV</v>
      </c>
      <c r="O5" s="98" t="str">
        <f>KPIs!O23</f>
        <v>Solar PV</v>
      </c>
      <c r="P5" s="98" t="str">
        <f>KPIs!P23</f>
        <v>Solar PV</v>
      </c>
      <c r="Q5" s="98" t="str">
        <f>KPIs!Q23</f>
        <v>Solar PV</v>
      </c>
      <c r="R5" s="98" t="str">
        <f>KPIs!R23</f>
        <v>Solar PV</v>
      </c>
      <c r="S5" s="98" t="str">
        <f>KPIs!S23</f>
        <v>Solar PV</v>
      </c>
      <c r="T5" s="98" t="str">
        <f>KPIs!T23</f>
        <v>Solar PV</v>
      </c>
      <c r="U5" s="98" t="str">
        <f>KPIs!U23</f>
        <v>Solar PV</v>
      </c>
      <c r="V5" s="98" t="str">
        <f>KPIs!V23</f>
        <v>Solar PV</v>
      </c>
      <c r="W5" s="98" t="str">
        <f>KPIs!W23</f>
        <v>Solar PV</v>
      </c>
      <c r="X5" s="98" t="str">
        <f>KPIs!X23</f>
        <v>Solar PV</v>
      </c>
      <c r="Y5" s="98" t="str">
        <f>KPIs!Y23</f>
        <v>Solar PV</v>
      </c>
      <c r="Z5" s="98" t="str">
        <f>KPIs!Z23</f>
        <v>Solar PV</v>
      </c>
      <c r="AA5" s="98" t="str">
        <f>KPIs!AA23</f>
        <v>Solar PV</v>
      </c>
      <c r="AB5" s="98" t="str">
        <f>KPIs!AB23</f>
        <v>Solar PV</v>
      </c>
      <c r="AC5" s="98" t="str">
        <f>KPIs!AC23</f>
        <v>Solar PV</v>
      </c>
      <c r="AD5" s="98" t="str">
        <f>KPIs!AD23</f>
        <v>Solar PV</v>
      </c>
      <c r="AE5" s="98" t="str">
        <f>KPIs!AE23</f>
        <v>Solar PV</v>
      </c>
      <c r="AF5" s="98" t="str">
        <f>KPIs!AF23</f>
        <v>Solar PV</v>
      </c>
      <c r="AG5" s="98" t="str">
        <f>KPIs!AG23</f>
        <v>Solar PV</v>
      </c>
      <c r="AH5" s="98" t="str">
        <f>KPIs!AH23</f>
        <v>Solar PV</v>
      </c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</row>
    <row r="6" spans="1:84">
      <c r="A6" s="1"/>
      <c r="B6" s="58">
        <v>2</v>
      </c>
      <c r="C6" s="98" t="str">
        <f>KPIs!C24</f>
        <v>Solar PV</v>
      </c>
      <c r="D6" s="98" t="str">
        <f>KPIs!D24</f>
        <v>Gas - CC</v>
      </c>
      <c r="E6" s="98" t="str">
        <f>KPIs!E24</f>
        <v>Gas - CC</v>
      </c>
      <c r="F6" s="98" t="str">
        <f>KPIs!F24</f>
        <v>Gas - CC</v>
      </c>
      <c r="G6" s="98" t="str">
        <f>KPIs!G24</f>
        <v>Gas - CC</v>
      </c>
      <c r="H6" s="98" t="str">
        <f>KPIs!H24</f>
        <v>Gas - CC</v>
      </c>
      <c r="I6" s="98" t="str">
        <f>KPIs!I24</f>
        <v>Gas - CC</v>
      </c>
      <c r="J6" s="98" t="str">
        <f>KPIs!J24</f>
        <v>Gas - CC</v>
      </c>
      <c r="K6" s="98" t="str">
        <f>KPIs!K24</f>
        <v>Gas - CC</v>
      </c>
      <c r="L6" s="98" t="str">
        <f>KPIs!L24</f>
        <v>Gas - CC</v>
      </c>
      <c r="M6" s="98" t="str">
        <f>KPIs!M24</f>
        <v>Gas - CC</v>
      </c>
      <c r="N6" s="98" t="str">
        <f>KPIs!N24</f>
        <v>Gas - CC</v>
      </c>
      <c r="O6" s="98" t="str">
        <f>KPIs!O24</f>
        <v>Gas - CC</v>
      </c>
      <c r="P6" s="98" t="str">
        <f>KPIs!P24</f>
        <v>Gas - CC</v>
      </c>
      <c r="Q6" s="98" t="str">
        <f>KPIs!Q24</f>
        <v>Gas - CC</v>
      </c>
      <c r="R6" s="98" t="str">
        <f>KPIs!R24</f>
        <v>Gas - CC</v>
      </c>
      <c r="S6" s="98" t="str">
        <f>KPIs!S24</f>
        <v>Gas - CC</v>
      </c>
      <c r="T6" s="98" t="str">
        <f>KPIs!T24</f>
        <v>Gas - CC</v>
      </c>
      <c r="U6" s="98" t="str">
        <f>KPIs!U24</f>
        <v>Gas - CC</v>
      </c>
      <c r="V6" s="98" t="str">
        <f>KPIs!V24</f>
        <v>Gas - CC</v>
      </c>
      <c r="W6" s="98" t="str">
        <f>KPIs!W24</f>
        <v>Gas - CC</v>
      </c>
      <c r="X6" s="98" t="str">
        <f>KPIs!X24</f>
        <v>Gas - CC</v>
      </c>
      <c r="Y6" s="98" t="str">
        <f>KPIs!Y24</f>
        <v>Gas - CC</v>
      </c>
      <c r="Z6" s="98" t="str">
        <f>KPIs!Z24</f>
        <v>Gas - CC</v>
      </c>
      <c r="AA6" s="98" t="str">
        <f>KPIs!AA24</f>
        <v>Gas - CC</v>
      </c>
      <c r="AB6" s="98" t="str">
        <f>KPIs!AB24</f>
        <v>Gas - CC</v>
      </c>
      <c r="AC6" s="98" t="str">
        <f>KPIs!AC24</f>
        <v>Gas - CC</v>
      </c>
      <c r="AD6" s="98" t="str">
        <f>KPIs!AD24</f>
        <v>Gas - CC</v>
      </c>
      <c r="AE6" s="98" t="str">
        <f>KPIs!AE24</f>
        <v>Gas - CC</v>
      </c>
      <c r="AF6" s="98" t="str">
        <f>KPIs!AF24</f>
        <v>Gas - CC</v>
      </c>
      <c r="AG6" s="98" t="str">
        <f>KPIs!AG24</f>
        <v>Gas - CC</v>
      </c>
      <c r="AH6" s="98" t="str">
        <f>KPIs!AH24</f>
        <v>Gas - CC</v>
      </c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</row>
    <row r="7" spans="1:84">
      <c r="A7" s="1"/>
      <c r="B7" s="58">
        <v>3</v>
      </c>
      <c r="C7" s="98" t="str">
        <f>KPIs!C25</f>
        <v>Gas CCS</v>
      </c>
      <c r="D7" s="98" t="str">
        <f>KPIs!D25</f>
        <v>Gas CCS</v>
      </c>
      <c r="E7" s="98" t="str">
        <f>KPIs!E25</f>
        <v>Gas CCS</v>
      </c>
      <c r="F7" s="98" t="str">
        <f>KPIs!F25</f>
        <v>Gas CCS</v>
      </c>
      <c r="G7" s="98" t="str">
        <f>KPIs!G25</f>
        <v>Gas CCS</v>
      </c>
      <c r="H7" s="98" t="str">
        <f>KPIs!H25</f>
        <v>Gas CCS</v>
      </c>
      <c r="I7" s="98" t="str">
        <f>KPIs!I25</f>
        <v>Gas CCS</v>
      </c>
      <c r="J7" s="98" t="str">
        <f>KPIs!J25</f>
        <v>Gas CCS</v>
      </c>
      <c r="K7" s="98" t="str">
        <f>KPIs!K25</f>
        <v>Gas CCS</v>
      </c>
      <c r="L7" s="98" t="str">
        <f>KPIs!L25</f>
        <v>Gas CCS</v>
      </c>
      <c r="M7" s="98" t="str">
        <f>KPIs!M25</f>
        <v>Nuclear</v>
      </c>
      <c r="N7" s="98" t="str">
        <f>KPIs!N25</f>
        <v>Nuclear</v>
      </c>
      <c r="O7" s="98" t="str">
        <f>KPIs!O25</f>
        <v>Nuclear</v>
      </c>
      <c r="P7" s="98" t="str">
        <f>KPIs!P25</f>
        <v>Nuclear</v>
      </c>
      <c r="Q7" s="98" t="str">
        <f>KPIs!Q25</f>
        <v>Nuclear</v>
      </c>
      <c r="R7" s="98" t="str">
        <f>KPIs!R25</f>
        <v>Gas CCS</v>
      </c>
      <c r="S7" s="98" t="str">
        <f>KPIs!S25</f>
        <v>Gas CCS</v>
      </c>
      <c r="T7" s="98" t="str">
        <f>KPIs!T25</f>
        <v>Gas CCS</v>
      </c>
      <c r="U7" s="98" t="str">
        <f>KPIs!U25</f>
        <v>Gas CCS</v>
      </c>
      <c r="V7" s="98" t="str">
        <f>KPIs!V25</f>
        <v>Gas CCS</v>
      </c>
      <c r="W7" s="98" t="str">
        <f>KPIs!W25</f>
        <v>Gas CCS</v>
      </c>
      <c r="X7" s="98" t="str">
        <f>KPIs!X25</f>
        <v>Gas CCS</v>
      </c>
      <c r="Y7" s="98" t="str">
        <f>KPIs!Y25</f>
        <v>Gas CCS</v>
      </c>
      <c r="Z7" s="98" t="str">
        <f>KPIs!Z25</f>
        <v>Gas CCS</v>
      </c>
      <c r="AA7" s="98" t="str">
        <f>KPIs!AA25</f>
        <v>Gas CCS</v>
      </c>
      <c r="AB7" s="98" t="str">
        <f>KPIs!AB25</f>
        <v>Gas CCS</v>
      </c>
      <c r="AC7" s="98" t="str">
        <f>KPIs!AC25</f>
        <v>Gas CCS</v>
      </c>
      <c r="AD7" s="98" t="str">
        <f>KPIs!AD25</f>
        <v>Gas CCS</v>
      </c>
      <c r="AE7" s="98" t="str">
        <f>KPIs!AE25</f>
        <v>Gas CCS</v>
      </c>
      <c r="AF7" s="98" t="str">
        <f>KPIs!AF25</f>
        <v>Gas CCS</v>
      </c>
      <c r="AG7" s="98" t="str">
        <f>KPIs!AG25</f>
        <v>Gas CCS</v>
      </c>
      <c r="AH7" s="98" t="str">
        <f>KPIs!AH25</f>
        <v>Gas CCS</v>
      </c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</row>
    <row r="8" spans="1:84">
      <c r="A8" s="1"/>
      <c r="B8" s="58">
        <v>4</v>
      </c>
      <c r="C8" s="98" t="str">
        <f>KPIs!C26</f>
        <v>Nuclear</v>
      </c>
      <c r="D8" s="98" t="str">
        <f>KPIs!D26</f>
        <v>Nuclear</v>
      </c>
      <c r="E8" s="98" t="str">
        <f>KPIs!E26</f>
        <v>Nuclear</v>
      </c>
      <c r="F8" s="98" t="str">
        <f>KPIs!F26</f>
        <v>Nuclear</v>
      </c>
      <c r="G8" s="98" t="str">
        <f>KPIs!G26</f>
        <v>Nuclear</v>
      </c>
      <c r="H8" s="98" t="str">
        <f>KPIs!H26</f>
        <v>Nuclear</v>
      </c>
      <c r="I8" s="98" t="str">
        <f>KPIs!I26</f>
        <v>Nuclear</v>
      </c>
      <c r="J8" s="98" t="str">
        <f>KPIs!J26</f>
        <v>Nuclear</v>
      </c>
      <c r="K8" s="98" t="str">
        <f>KPIs!K26</f>
        <v>Nuclear</v>
      </c>
      <c r="L8" s="98" t="str">
        <f>KPIs!L26</f>
        <v>Nuclear</v>
      </c>
      <c r="M8" s="98" t="str">
        <f>KPIs!M26</f>
        <v>Wind On</v>
      </c>
      <c r="N8" s="98" t="str">
        <f>KPIs!N26</f>
        <v>Wind On</v>
      </c>
      <c r="O8" s="98" t="str">
        <f>KPIs!O26</f>
        <v>Wind On</v>
      </c>
      <c r="P8" s="98" t="str">
        <f>KPIs!P26</f>
        <v>Wind On</v>
      </c>
      <c r="Q8" s="98" t="str">
        <f>KPIs!Q26</f>
        <v>Wind On</v>
      </c>
      <c r="R8" s="98" t="str">
        <f>KPIs!R26</f>
        <v>Nuclear</v>
      </c>
      <c r="S8" s="98" t="str">
        <f>KPIs!S26</f>
        <v>Nuclear</v>
      </c>
      <c r="T8" s="98" t="str">
        <f>KPIs!T26</f>
        <v>Nuclear</v>
      </c>
      <c r="U8" s="98" t="str">
        <f>KPIs!U26</f>
        <v>Nuclear</v>
      </c>
      <c r="V8" s="98" t="str">
        <f>KPIs!V26</f>
        <v>Nuclear</v>
      </c>
      <c r="W8" s="98" t="str">
        <f>KPIs!W26</f>
        <v>Nuclear</v>
      </c>
      <c r="X8" s="98" t="str">
        <f>KPIs!X26</f>
        <v>Nuclear</v>
      </c>
      <c r="Y8" s="98" t="str">
        <f>KPIs!Y26</f>
        <v>Nuclear</v>
      </c>
      <c r="Z8" s="98" t="str">
        <f>KPIs!Z26</f>
        <v>Nuclear</v>
      </c>
      <c r="AA8" s="98" t="str">
        <f>KPIs!AA26</f>
        <v>Nuclear</v>
      </c>
      <c r="AB8" s="98" t="str">
        <f>KPIs!AB26</f>
        <v>Nuclear</v>
      </c>
      <c r="AC8" s="98" t="str">
        <f>KPIs!AC26</f>
        <v>Nuclear</v>
      </c>
      <c r="AD8" s="98" t="str">
        <f>KPIs!AD26</f>
        <v>Nuclear</v>
      </c>
      <c r="AE8" s="98" t="str">
        <f>KPIs!AE26</f>
        <v>Nuclear</v>
      </c>
      <c r="AF8" s="98" t="str">
        <f>KPIs!AF26</f>
        <v>Nuclear</v>
      </c>
      <c r="AG8" s="98" t="str">
        <f>KPIs!AG26</f>
        <v>Nuclear</v>
      </c>
      <c r="AH8" s="98" t="str">
        <f>KPIs!AH26</f>
        <v>Nuclear</v>
      </c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</row>
    <row r="9" spans="1:84">
      <c r="A9" s="1"/>
      <c r="B9" s="58">
        <v>5</v>
      </c>
      <c r="C9" s="98" t="str">
        <f>KPIs!C27</f>
        <v>Wind On</v>
      </c>
      <c r="D9" s="98" t="str">
        <f>KPIs!D27</f>
        <v>Wind On</v>
      </c>
      <c r="E9" s="98" t="str">
        <f>KPIs!E27</f>
        <v>Wind On</v>
      </c>
      <c r="F9" s="98" t="str">
        <f>KPIs!F27</f>
        <v>Wind On</v>
      </c>
      <c r="G9" s="98" t="str">
        <f>KPIs!G27</f>
        <v>Wind On</v>
      </c>
      <c r="H9" s="98" t="str">
        <f>KPIs!H27</f>
        <v>Wind On</v>
      </c>
      <c r="I9" s="98" t="str">
        <f>KPIs!I27</f>
        <v>Wind On</v>
      </c>
      <c r="J9" s="98" t="str">
        <f>KPIs!J27</f>
        <v>Wind On</v>
      </c>
      <c r="K9" s="98" t="str">
        <f>KPIs!K27</f>
        <v>Wind On</v>
      </c>
      <c r="L9" s="98" t="str">
        <f>KPIs!L27</f>
        <v>Wind On</v>
      </c>
      <c r="M9" s="98" t="str">
        <f>KPIs!M27</f>
        <v>Gas CCS</v>
      </c>
      <c r="N9" s="98" t="str">
        <f>KPIs!N27</f>
        <v>Gas CCS</v>
      </c>
      <c r="O9" s="98" t="str">
        <f>KPIs!O27</f>
        <v>Gas CCS</v>
      </c>
      <c r="P9" s="98" t="str">
        <f>KPIs!P27</f>
        <v>Gas CCS</v>
      </c>
      <c r="Q9" s="98" t="str">
        <f>KPIs!Q27</f>
        <v>Gas CCS</v>
      </c>
      <c r="R9" s="98" t="str">
        <f>KPIs!R27</f>
        <v>Wind On</v>
      </c>
      <c r="S9" s="98" t="str">
        <f>KPIs!S27</f>
        <v>Wind On</v>
      </c>
      <c r="T9" s="98" t="str">
        <f>KPIs!T27</f>
        <v>Wind On</v>
      </c>
      <c r="U9" s="98" t="str">
        <f>KPIs!U27</f>
        <v>Wind On</v>
      </c>
      <c r="V9" s="98" t="str">
        <f>KPIs!V27</f>
        <v>Wind On</v>
      </c>
      <c r="W9" s="98" t="str">
        <f>KPIs!W27</f>
        <v>Wind On</v>
      </c>
      <c r="X9" s="98" t="str">
        <f>KPIs!X27</f>
        <v>Wind On</v>
      </c>
      <c r="Y9" s="98" t="str">
        <f>KPIs!Y27</f>
        <v>Wind On</v>
      </c>
      <c r="Z9" s="98" t="str">
        <f>KPIs!Z27</f>
        <v>Wind On</v>
      </c>
      <c r="AA9" s="98" t="str">
        <f>KPIs!AA27</f>
        <v>Wind On</v>
      </c>
      <c r="AB9" s="98" t="str">
        <f>KPIs!AB27</f>
        <v>Wind On</v>
      </c>
      <c r="AC9" s="98" t="str">
        <f>KPIs!AC27</f>
        <v>Wind On</v>
      </c>
      <c r="AD9" s="98" t="str">
        <f>KPIs!AD27</f>
        <v>Wind On</v>
      </c>
      <c r="AE9" s="98" t="str">
        <f>KPIs!AE27</f>
        <v>Wind On</v>
      </c>
      <c r="AF9" s="98" t="str">
        <f>KPIs!AF27</f>
        <v>Wind On</v>
      </c>
      <c r="AG9" s="98" t="str">
        <f>KPIs!AG27</f>
        <v>Wind On</v>
      </c>
      <c r="AH9" s="98" t="str">
        <f>KPIs!AH27</f>
        <v>Wind On</v>
      </c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</row>
    <row r="10" spans="1:8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</row>
    <row r="11" spans="1:84">
      <c r="A11" s="1"/>
      <c r="B11" s="58" t="s">
        <v>121</v>
      </c>
      <c r="C11" s="58">
        <v>2019</v>
      </c>
      <c r="D11" s="58">
        <v>2020</v>
      </c>
      <c r="E11" s="58">
        <v>2021</v>
      </c>
      <c r="F11" s="58">
        <v>2022</v>
      </c>
      <c r="G11" s="58">
        <v>2023</v>
      </c>
      <c r="H11" s="58">
        <v>2024</v>
      </c>
      <c r="I11" s="58">
        <v>2025</v>
      </c>
      <c r="J11" s="58">
        <v>2026</v>
      </c>
      <c r="K11" s="58">
        <v>2027</v>
      </c>
      <c r="L11" s="58">
        <v>2028</v>
      </c>
      <c r="M11" s="58">
        <v>2029</v>
      </c>
      <c r="N11" s="58">
        <v>2030</v>
      </c>
      <c r="O11" s="58">
        <v>2031</v>
      </c>
      <c r="P11" s="58">
        <v>2032</v>
      </c>
      <c r="Q11" s="58">
        <v>2033</v>
      </c>
      <c r="R11" s="58">
        <v>2034</v>
      </c>
      <c r="S11" s="58">
        <v>2035</v>
      </c>
      <c r="T11" s="58">
        <v>2036</v>
      </c>
      <c r="U11" s="58">
        <v>2037</v>
      </c>
      <c r="V11" s="58">
        <v>2038</v>
      </c>
      <c r="W11" s="58">
        <v>2039</v>
      </c>
      <c r="X11" s="58">
        <v>2040</v>
      </c>
      <c r="Y11" s="58">
        <v>2041</v>
      </c>
      <c r="Z11" s="58">
        <v>2042</v>
      </c>
      <c r="AA11" s="58">
        <v>2043</v>
      </c>
      <c r="AB11" s="58">
        <v>2044</v>
      </c>
      <c r="AC11" s="58">
        <v>2045</v>
      </c>
      <c r="AD11" s="58">
        <v>2046</v>
      </c>
      <c r="AE11" s="58">
        <v>2047</v>
      </c>
      <c r="AF11" s="58">
        <v>2048</v>
      </c>
      <c r="AG11" s="58">
        <v>2049</v>
      </c>
      <c r="AH11" s="58">
        <v>2050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</row>
    <row r="12" spans="1:84">
      <c r="A12" s="1"/>
      <c r="B12" s="58">
        <v>1</v>
      </c>
      <c r="C12" s="99">
        <f>SMALL(KPIs!C8:C20,1)</f>
        <v>3.8354964552685639E-2</v>
      </c>
      <c r="D12" s="99"/>
      <c r="E12" s="99"/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</row>
    <row r="13" spans="1:84">
      <c r="A13" s="1"/>
      <c r="B13" s="58">
        <v>2</v>
      </c>
      <c r="C13" s="99">
        <f>SMALL(KPIs!C9:C21,1)</f>
        <v>3.8354964552685639E-2</v>
      </c>
      <c r="D13" s="99"/>
      <c r="E13" s="99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</row>
    <row r="14" spans="1:84">
      <c r="A14" s="1"/>
      <c r="B14" s="58">
        <v>3</v>
      </c>
      <c r="C14" s="99">
        <f>SMALL(KPIs!C10:C22,1)</f>
        <v>3.8354964552685639E-2</v>
      </c>
      <c r="D14" s="99"/>
      <c r="E14" s="99"/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</row>
    <row r="15" spans="1:84">
      <c r="A15" s="1"/>
      <c r="B15" s="58">
        <v>4</v>
      </c>
      <c r="C15" s="99"/>
      <c r="D15" s="99"/>
      <c r="E15" s="99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</row>
    <row r="16" spans="1:84">
      <c r="A16" s="1"/>
      <c r="B16" s="58">
        <v>5</v>
      </c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</row>
    <row r="17" spans="1:8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</row>
    <row r="18" spans="1:8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</row>
    <row r="19" spans="1:8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</row>
    <row r="20" spans="1:8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</row>
    <row r="21" spans="1:8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</row>
    <row r="22" spans="1:8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</row>
    <row r="23" spans="1:8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</row>
    <row r="24" spans="1:8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</row>
    <row r="25" spans="1:8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</row>
    <row r="26" spans="1:8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</row>
    <row r="27" spans="1:8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</row>
    <row r="28" spans="1:8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</row>
    <row r="29" spans="1:8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</row>
    <row r="30" spans="1:8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</row>
    <row r="31" spans="1:8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</row>
    <row r="32" spans="1:8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</row>
    <row r="33" spans="1:8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</row>
    <row r="34" spans="1:8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</row>
    <row r="35" spans="1:8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</row>
    <row r="36" spans="1:8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</row>
    <row r="37" spans="1:8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</row>
    <row r="38" spans="1:8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</row>
    <row r="39" spans="1:8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</row>
    <row r="40" spans="1:8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</row>
    <row r="41" spans="1:8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</row>
    <row r="42" spans="1:8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</row>
    <row r="43" spans="1:8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</row>
    <row r="44" spans="1:8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</row>
    <row r="45" spans="1:8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</row>
    <row r="46" spans="1:8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</row>
    <row r="47" spans="1:8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</row>
    <row r="48" spans="1:8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</row>
    <row r="49" spans="1:8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</row>
    <row r="50" spans="1:8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</row>
    <row r="51" spans="1:8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</row>
    <row r="52" spans="1:8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</row>
    <row r="53" spans="1:8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</row>
    <row r="54" spans="1:8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</row>
    <row r="55" spans="1:8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</row>
    <row r="56" spans="1:8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</row>
    <row r="57" spans="1:8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</row>
    <row r="58" spans="1:8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</row>
    <row r="59" spans="1:8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</row>
    <row r="60" spans="1:8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</row>
    <row r="61" spans="1:8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</row>
    <row r="62" spans="1:8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</row>
    <row r="63" spans="1:8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</row>
    <row r="64" spans="1:8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</row>
    <row r="65" spans="1:8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</row>
    <row r="66" spans="1:8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</row>
    <row r="67" spans="1:8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</row>
    <row r="68" spans="1:8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</row>
    <row r="69" spans="1:8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</row>
    <row r="70" spans="1:8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</row>
    <row r="71" spans="1:8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</row>
    <row r="72" spans="1:8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</row>
    <row r="73" spans="1:8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</row>
    <row r="74" spans="1:8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</row>
    <row r="75" spans="1:8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</row>
    <row r="76" spans="1:8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</row>
    <row r="77" spans="1:8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</row>
    <row r="78" spans="1:8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</row>
    <row r="79" spans="1:8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</row>
    <row r="80" spans="1:8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</row>
    <row r="81" spans="1:8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</row>
    <row r="82" spans="1:8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</row>
    <row r="83" spans="1:8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</row>
    <row r="84" spans="1: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</row>
    <row r="85" spans="1:8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</row>
    <row r="86" spans="1:8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</row>
    <row r="87" spans="1:8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</row>
    <row r="88" spans="1:8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</row>
    <row r="89" spans="1:8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</row>
    <row r="90" spans="1:8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</row>
    <row r="91" spans="1:8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</row>
    <row r="92" spans="1:8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</row>
    <row r="93" spans="1:8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</row>
    <row r="94" spans="1:8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</row>
    <row r="95" spans="1:8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</row>
    <row r="96" spans="1:8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</row>
    <row r="97" spans="1:8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</row>
    <row r="98" spans="1:8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</row>
    <row r="99" spans="1:8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</row>
    <row r="100" spans="1:8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</row>
    <row r="101" spans="1:8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</row>
    <row r="102" spans="1:8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</row>
    <row r="103" spans="1:8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</row>
    <row r="104" spans="1:8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</row>
    <row r="105" spans="1:8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</row>
    <row r="106" spans="1:8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</row>
    <row r="107" spans="1:8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</row>
    <row r="108" spans="1:8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</row>
    <row r="109" spans="1:8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</row>
    <row r="110" spans="1:8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</row>
    <row r="111" spans="1:8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</row>
    <row r="112" spans="1:8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</row>
    <row r="113" spans="1:8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</row>
    <row r="114" spans="1:8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</row>
    <row r="115" spans="1:8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</row>
    <row r="116" spans="1:8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</row>
    <row r="117" spans="1:8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</row>
    <row r="118" spans="1:8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</row>
    <row r="119" spans="1:8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</row>
    <row r="120" spans="1:8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</row>
    <row r="121" spans="1:8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</row>
    <row r="122" spans="1:8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</row>
    <row r="123" spans="1:8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</row>
    <row r="124" spans="1:8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</row>
    <row r="125" spans="1:8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</row>
    <row r="126" spans="1:8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</row>
    <row r="127" spans="1:8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</row>
    <row r="128" spans="1:8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</row>
    <row r="129" spans="1:8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</row>
    <row r="130" spans="1:8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</row>
    <row r="131" spans="1:8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</row>
    <row r="132" spans="1:8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</row>
    <row r="133" spans="1:8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</row>
    <row r="134" spans="1:8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</row>
    <row r="135" spans="1:8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</row>
    <row r="136" spans="1:8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</row>
    <row r="137" spans="1:8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</row>
    <row r="138" spans="1:8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</row>
    <row r="139" spans="1:84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</row>
    <row r="140" spans="1:84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</row>
    <row r="141" spans="1:84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</row>
    <row r="142" spans="1:84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</row>
    <row r="143" spans="1:84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</row>
    <row r="144" spans="1:8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</row>
    <row r="145" spans="1:84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</row>
    <row r="146" spans="1:84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</row>
    <row r="147" spans="1:84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</row>
    <row r="148" spans="1:84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</row>
    <row r="149" spans="1:84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</row>
    <row r="150" spans="1:84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</row>
    <row r="151" spans="1:84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</row>
    <row r="152" spans="1:84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</row>
    <row r="153" spans="1:84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</row>
    <row r="154" spans="1:8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</row>
    <row r="155" spans="1:8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</row>
    <row r="156" spans="1:8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</row>
    <row r="157" spans="1:8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</row>
    <row r="158" spans="1:8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</row>
    <row r="159" spans="1:8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</row>
    <row r="160" spans="1:8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</row>
    <row r="161" spans="1:8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</row>
    <row r="162" spans="1:8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</row>
    <row r="163" spans="1:8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</row>
    <row r="164" spans="1:8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</row>
    <row r="165" spans="1:8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</row>
    <row r="166" spans="1:8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</row>
    <row r="167" spans="1:8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</row>
    <row r="168" spans="1:8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</row>
    <row r="169" spans="1:8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</row>
    <row r="170" spans="1:8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</row>
    <row r="171" spans="1:8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</row>
    <row r="172" spans="1:8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</row>
    <row r="173" spans="1:8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</row>
    <row r="174" spans="1:8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</row>
    <row r="175" spans="1:8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</row>
    <row r="176" spans="1:8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</row>
    <row r="177" spans="1:8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</row>
    <row r="178" spans="1:8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</row>
    <row r="179" spans="1:8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</row>
    <row r="180" spans="1:8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</row>
    <row r="181" spans="1:8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</row>
    <row r="182" spans="1:8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</row>
    <row r="183" spans="1:8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</row>
    <row r="184" spans="1: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</row>
    <row r="185" spans="1:8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</row>
    <row r="186" spans="1:8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</row>
    <row r="187" spans="1:8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</row>
    <row r="188" spans="1:8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</row>
    <row r="189" spans="1:8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</row>
    <row r="190" spans="1:8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</row>
    <row r="191" spans="1:8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</row>
    <row r="192" spans="1:8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</row>
    <row r="193" spans="1:8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</row>
    <row r="194" spans="1:8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</row>
    <row r="195" spans="1:8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</row>
    <row r="196" spans="1:8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</row>
    <row r="197" spans="1:8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</row>
    <row r="198" spans="1:8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</row>
    <row r="199" spans="1:8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</row>
    <row r="200" spans="1:8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</row>
    <row r="201" spans="1:8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</row>
    <row r="202" spans="1:8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</row>
    <row r="203" spans="1:8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</row>
    <row r="204" spans="1:8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</row>
    <row r="205" spans="1:8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</row>
    <row r="206" spans="1:8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</row>
    <row r="207" spans="1:8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</row>
    <row r="208" spans="1:8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</row>
    <row r="209" spans="1:8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</row>
    <row r="210" spans="1:8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</row>
    <row r="211" spans="1:8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</row>
    <row r="212" spans="1:8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</row>
    <row r="213" spans="1:8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</row>
    <row r="214" spans="1:8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</row>
    <row r="215" spans="1:8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</row>
    <row r="216" spans="1:8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</row>
    <row r="217" spans="1:8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</row>
    <row r="218" spans="1:8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</row>
    <row r="219" spans="1:8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</row>
    <row r="220" spans="1:8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</row>
    <row r="221" spans="1:8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</row>
    <row r="222" spans="1:8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</row>
    <row r="223" spans="1:8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</row>
    <row r="224" spans="1:8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</row>
    <row r="225" spans="1:8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</row>
    <row r="226" spans="1:8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</row>
    <row r="227" spans="1:8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</row>
    <row r="228" spans="1:8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</row>
    <row r="229" spans="1:8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</row>
    <row r="230" spans="1:8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</row>
    <row r="231" spans="1:8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</row>
    <row r="232" spans="1:8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</row>
    <row r="233" spans="1:8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</row>
    <row r="234" spans="1:8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</row>
    <row r="235" spans="1:8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</row>
    <row r="236" spans="1:8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</row>
    <row r="237" spans="1:8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</row>
    <row r="238" spans="1:8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</row>
    <row r="239" spans="1:8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</row>
    <row r="240" spans="1:8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</row>
    <row r="241" spans="1:8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</row>
    <row r="242" spans="1:8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</row>
    <row r="243" spans="1:8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</row>
    <row r="244" spans="1:8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</row>
    <row r="245" spans="1:8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</row>
    <row r="246" spans="1:8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</row>
    <row r="247" spans="1:8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</row>
    <row r="248" spans="1:8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</row>
    <row r="249" spans="1:8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</row>
    <row r="250" spans="1:8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</row>
    <row r="251" spans="1:8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</row>
    <row r="252" spans="1:8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</row>
    <row r="253" spans="1:8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</row>
    <row r="254" spans="1:8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</row>
    <row r="255" spans="1:8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</row>
    <row r="256" spans="1:8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</row>
    <row r="257" spans="1:8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</row>
    <row r="258" spans="1:8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</row>
    <row r="259" spans="1:8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</row>
    <row r="260" spans="1:8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</row>
    <row r="261" spans="1:8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</row>
    <row r="262" spans="1:8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</row>
    <row r="263" spans="1:8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</row>
    <row r="264" spans="1:8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</row>
    <row r="265" spans="1:8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</row>
    <row r="266" spans="1:8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</row>
    <row r="267" spans="1:8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</row>
    <row r="268" spans="1:8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</row>
    <row r="269" spans="1:8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</row>
    <row r="270" spans="1:8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</row>
    <row r="271" spans="1:8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</row>
    <row r="272" spans="1:8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</row>
    <row r="273" spans="1:8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</row>
    <row r="274" spans="1:8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</row>
    <row r="275" spans="1:8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</row>
    <row r="276" spans="1:8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</row>
    <row r="277" spans="1:8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</row>
    <row r="278" spans="1:8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</row>
    <row r="279" spans="1:8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</row>
    <row r="280" spans="1:8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</row>
    <row r="281" spans="1:8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</row>
    <row r="282" spans="1:8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</row>
    <row r="283" spans="1:8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</row>
    <row r="284" spans="1: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</row>
    <row r="285" spans="1:8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</row>
    <row r="286" spans="1:8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</row>
    <row r="287" spans="1:8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</row>
    <row r="288" spans="1:8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</row>
    <row r="289" spans="1:8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</row>
    <row r="290" spans="1:8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</row>
    <row r="291" spans="1:8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</row>
    <row r="292" spans="1:8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</row>
    <row r="293" spans="1:8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</row>
    <row r="294" spans="1:8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</row>
    <row r="295" spans="1:8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</row>
    <row r="296" spans="1:8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</row>
    <row r="297" spans="1:8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</row>
    <row r="298" spans="1:8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</row>
    <row r="299" spans="1:8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</row>
    <row r="300" spans="1:8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</row>
    <row r="301" spans="1:8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</row>
    <row r="302" spans="1:8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</row>
    <row r="303" spans="1:8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</row>
    <row r="304" spans="1:8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</row>
    <row r="305" spans="1:8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</row>
    <row r="306" spans="1:8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</row>
    <row r="307" spans="1:8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</row>
    <row r="308" spans="1:8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</row>
    <row r="309" spans="1:8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</row>
    <row r="310" spans="1:8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</row>
    <row r="311" spans="1:8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</row>
    <row r="312" spans="1:8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</row>
    <row r="313" spans="1:8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</row>
    <row r="314" spans="1:8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</row>
    <row r="315" spans="1:8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</row>
    <row r="316" spans="1:8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</row>
    <row r="317" spans="1:8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</row>
    <row r="318" spans="1:8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</row>
    <row r="319" spans="1:8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</row>
    <row r="320" spans="1:8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</row>
    <row r="321" spans="1:8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</row>
    <row r="322" spans="1:8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</row>
    <row r="323" spans="1:8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</row>
    <row r="324" spans="1:8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</row>
    <row r="325" spans="1:8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</row>
    <row r="326" spans="1:8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</row>
    <row r="327" spans="1:8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</row>
    <row r="328" spans="1:8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</row>
    <row r="329" spans="1:8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</row>
    <row r="330" spans="1:8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</row>
    <row r="331" spans="1:8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</row>
    <row r="332" spans="1:8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</row>
    <row r="333" spans="1:8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</row>
    <row r="334" spans="1:8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</row>
    <row r="335" spans="1:8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</row>
    <row r="336" spans="1:8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</row>
    <row r="337" spans="1:8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</row>
    <row r="338" spans="1:8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</row>
    <row r="339" spans="1:8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</row>
    <row r="340" spans="1:8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</row>
    <row r="341" spans="1:8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</row>
    <row r="342" spans="1:8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</row>
    <row r="343" spans="1:8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</row>
    <row r="344" spans="1:8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</row>
    <row r="345" spans="1:8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</row>
    <row r="346" spans="1:8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</row>
    <row r="347" spans="1:8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</row>
    <row r="348" spans="1:8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</row>
    <row r="349" spans="1:8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</row>
    <row r="350" spans="1:8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</row>
    <row r="351" spans="1:8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</row>
    <row r="352" spans="1:8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</row>
    <row r="353" spans="1:8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</row>
    <row r="354" spans="1:8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</row>
    <row r="355" spans="1:8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</row>
    <row r="356" spans="1:8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</row>
    <row r="357" spans="1:8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</row>
    <row r="358" spans="1:8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</row>
    <row r="359" spans="1:8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</row>
    <row r="360" spans="1:8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</row>
    <row r="361" spans="1:8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</row>
    <row r="362" spans="1:8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</row>
    <row r="363" spans="1:8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</row>
    <row r="364" spans="1:8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</row>
    <row r="365" spans="1:8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</row>
    <row r="366" spans="1:8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</row>
    <row r="367" spans="1:8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</row>
    <row r="368" spans="1:8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</row>
    <row r="369" spans="1:8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</row>
    <row r="370" spans="1:8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</row>
    <row r="371" spans="1:8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</row>
    <row r="372" spans="1:8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</row>
    <row r="373" spans="1:8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</row>
    <row r="374" spans="1:8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</row>
    <row r="375" spans="1:8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</row>
    <row r="376" spans="1:8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</row>
    <row r="377" spans="1:8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</row>
    <row r="378" spans="1:8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</row>
    <row r="379" spans="1:8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</row>
    <row r="380" spans="1:8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</row>
    <row r="381" spans="1:8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</row>
    <row r="382" spans="1:8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</row>
    <row r="383" spans="1:8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</row>
    <row r="384" spans="1: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</row>
    <row r="385" spans="1:84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</row>
    <row r="386" spans="1:8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</row>
    <row r="387" spans="1:8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</row>
    <row r="388" spans="1:8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</row>
    <row r="389" spans="1:8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</row>
    <row r="390" spans="1:8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</row>
    <row r="391" spans="1:84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</row>
    <row r="392" spans="1:8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</row>
    <row r="393" spans="1:8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</row>
    <row r="394" spans="1:8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</row>
    <row r="395" spans="1:84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</row>
    <row r="396" spans="1:8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</row>
    <row r="397" spans="1:8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</row>
    <row r="398" spans="1:8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</row>
    <row r="399" spans="1:84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</row>
    <row r="400" spans="1:8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</row>
    <row r="401" spans="1:8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</row>
    <row r="402" spans="1:8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</row>
    <row r="403" spans="1:8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</row>
    <row r="404" spans="1:8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</row>
    <row r="405" spans="1:8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</row>
    <row r="406" spans="1:8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</row>
    <row r="407" spans="1:84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</row>
    <row r="408" spans="1:8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</row>
    <row r="409" spans="1:8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</row>
    <row r="410" spans="1:8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</row>
    <row r="411" spans="1:8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</row>
    <row r="412" spans="1:8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</row>
    <row r="413" spans="1:8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</row>
    <row r="414" spans="1:8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</row>
    <row r="415" spans="1:84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</row>
    <row r="416" spans="1:8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</row>
    <row r="417" spans="1:8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</row>
    <row r="418" spans="1:8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</row>
    <row r="419" spans="1:84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</row>
    <row r="420" spans="1:84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</row>
    <row r="421" spans="1:84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</row>
    <row r="422" spans="1:84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</row>
    <row r="423" spans="1:84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</row>
    <row r="424" spans="1:8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</row>
    <row r="425" spans="1:84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</row>
    <row r="426" spans="1:8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</row>
    <row r="427" spans="1:84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</row>
    <row r="428" spans="1:84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</row>
    <row r="429" spans="1:84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</row>
    <row r="430" spans="1:84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</row>
    <row r="431" spans="1:84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</row>
    <row r="432" spans="1:8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</row>
    <row r="433" spans="1:8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</row>
    <row r="434" spans="1:8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</row>
    <row r="435" spans="1:8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</row>
    <row r="436" spans="1:8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</row>
    <row r="437" spans="1:84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</row>
    <row r="438" spans="1:8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</row>
    <row r="439" spans="1:8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</row>
    <row r="440" spans="1:84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</row>
    <row r="441" spans="1:8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</row>
    <row r="442" spans="1:8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</row>
    <row r="443" spans="1:84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</row>
    <row r="444" spans="1:8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</row>
    <row r="445" spans="1:84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</row>
    <row r="446" spans="1:84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</row>
    <row r="447" spans="1:84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</row>
    <row r="448" spans="1:84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</row>
    <row r="449" spans="1:84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</row>
    <row r="450" spans="1:84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</row>
    <row r="451" spans="1:84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</row>
    <row r="452" spans="1:8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</row>
    <row r="453" spans="1:84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</row>
    <row r="454" spans="1:8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</row>
    <row r="455" spans="1:8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</row>
    <row r="456" spans="1:8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</row>
    <row r="457" spans="1:8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</row>
    <row r="458" spans="1:8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</row>
    <row r="459" spans="1:84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</row>
    <row r="460" spans="1:84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</row>
    <row r="461" spans="1:8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</row>
    <row r="462" spans="1:8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</row>
    <row r="463" spans="1:8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</row>
    <row r="464" spans="1:8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</row>
    <row r="465" spans="1:8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</row>
    <row r="466" spans="1:8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</row>
    <row r="467" spans="1:8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</row>
    <row r="468" spans="1:84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</row>
    <row r="469" spans="1:8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</row>
    <row r="470" spans="1:8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</row>
    <row r="471" spans="1:8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</row>
    <row r="472" spans="1:8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</row>
    <row r="473" spans="1:8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</row>
    <row r="474" spans="1:8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</row>
    <row r="475" spans="1:8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</row>
    <row r="476" spans="1:8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</row>
    <row r="477" spans="1:8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</row>
    <row r="478" spans="1:8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</row>
    <row r="479" spans="1:8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</row>
    <row r="480" spans="1:8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</row>
    <row r="481" spans="1:8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</row>
    <row r="482" spans="1:84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</row>
    <row r="483" spans="1:8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</row>
    <row r="484" spans="1: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</row>
    <row r="485" spans="1:84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</row>
    <row r="486" spans="1:84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</row>
    <row r="487" spans="1:84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</row>
    <row r="488" spans="1:84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</row>
    <row r="489" spans="1:84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</row>
    <row r="490" spans="1:84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</row>
    <row r="491" spans="1:84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</row>
    <row r="492" spans="1:84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</row>
    <row r="493" spans="1:84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</row>
    <row r="494" spans="1:8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</row>
    <row r="495" spans="1:84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</row>
    <row r="496" spans="1:84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</row>
    <row r="497" spans="1:84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</row>
    <row r="498" spans="1:84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</row>
    <row r="499" spans="1:84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</row>
    <row r="500" spans="1:84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</row>
    <row r="501" spans="1:84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</row>
    <row r="502" spans="1:84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</row>
    <row r="503" spans="1:84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</row>
    <row r="504" spans="1:8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</row>
    <row r="505" spans="1:84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</row>
    <row r="506" spans="1:84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</row>
    <row r="507" spans="1:84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</row>
    <row r="508" spans="1:84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</row>
    <row r="509" spans="1:84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</row>
    <row r="510" spans="1:84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</row>
    <row r="511" spans="1:84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</row>
    <row r="512" spans="1:84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</row>
    <row r="513" spans="1:84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</row>
    <row r="514" spans="1:8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</row>
    <row r="515" spans="1:84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</row>
    <row r="516" spans="1:84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</row>
    <row r="517" spans="1:84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</row>
    <row r="518" spans="1:84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</row>
    <row r="519" spans="1:84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</row>
    <row r="520" spans="1:84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</row>
    <row r="521" spans="1:84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</row>
    <row r="522" spans="1:84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</row>
    <row r="523" spans="1:84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</row>
    <row r="524" spans="1:8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</row>
    <row r="525" spans="1:84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</row>
    <row r="526" spans="1:84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</row>
    <row r="527" spans="1:84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</row>
    <row r="528" spans="1:84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</row>
    <row r="529" spans="1:84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</row>
    <row r="530" spans="1:84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</row>
    <row r="531" spans="1:84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</row>
    <row r="532" spans="1:84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</row>
    <row r="533" spans="1:84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</row>
    <row r="534" spans="1:8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</row>
    <row r="535" spans="1:84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</row>
    <row r="536" spans="1:84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</row>
    <row r="537" spans="1:84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</row>
    <row r="538" spans="1:84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</row>
    <row r="539" spans="1:84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</row>
    <row r="540" spans="1:84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</row>
    <row r="541" spans="1:84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</row>
    <row r="542" spans="1:84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</row>
    <row r="543" spans="1:84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</row>
    <row r="544" spans="1:8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</row>
    <row r="545" spans="1:84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</row>
    <row r="546" spans="1:84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</row>
    <row r="547" spans="1:84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</row>
    <row r="548" spans="1:84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</row>
    <row r="549" spans="1:84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</row>
    <row r="550" spans="1:84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</row>
    <row r="551" spans="1:84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</row>
    <row r="552" spans="1:84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</row>
    <row r="553" spans="1:84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</row>
    <row r="554" spans="1:8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</row>
    <row r="555" spans="1:84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</row>
    <row r="556" spans="1:84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</row>
    <row r="557" spans="1:84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</row>
    <row r="558" spans="1:84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</row>
    <row r="559" spans="1:84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</row>
    <row r="560" spans="1:84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</row>
    <row r="561" spans="1:84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</row>
    <row r="562" spans="1:84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</row>
    <row r="563" spans="1:84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</row>
    <row r="564" spans="1:8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</row>
    <row r="565" spans="1:84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</row>
    <row r="566" spans="1:84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</row>
    <row r="567" spans="1:84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</row>
    <row r="568" spans="1:84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</row>
    <row r="569" spans="1:84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</row>
    <row r="570" spans="1:84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</row>
    <row r="571" spans="1:84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</row>
    <row r="572" spans="1:84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</row>
    <row r="573" spans="1:84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</row>
    <row r="574" spans="1:8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</row>
    <row r="575" spans="1:84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</row>
    <row r="576" spans="1:84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</row>
    <row r="577" spans="1:84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</row>
    <row r="578" spans="1:84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</row>
    <row r="579" spans="1:84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</row>
    <row r="580" spans="1:84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</row>
    <row r="581" spans="1:84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</row>
    <row r="582" spans="1:84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</row>
    <row r="583" spans="1:84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</row>
    <row r="584" spans="1: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</row>
    <row r="585" spans="1:84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</row>
    <row r="586" spans="1:84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</row>
    <row r="587" spans="1:84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</row>
    <row r="588" spans="1:84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</row>
  </sheetData>
  <mergeCells count="1">
    <mergeCell ref="B3:E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78DA-1E33-48FC-818A-503AF27699B0}">
  <dimension ref="B2:AI46"/>
  <sheetViews>
    <sheetView zoomScale="55" zoomScaleNormal="55" workbookViewId="0">
      <selection activeCell="C34" sqref="C34"/>
    </sheetView>
  </sheetViews>
  <sheetFormatPr defaultRowHeight="14.5"/>
  <cols>
    <col min="2" max="2" width="19.81640625" bestFit="1" customWidth="1"/>
    <col min="3" max="3" width="9.54296875" bestFit="1" customWidth="1"/>
  </cols>
  <sheetData>
    <row r="2" spans="2:35" ht="15" thickBot="1"/>
    <row r="3" spans="2:35" ht="15" thickBot="1">
      <c r="B3" s="262" t="s">
        <v>112</v>
      </c>
      <c r="C3" s="263"/>
      <c r="D3" s="263"/>
      <c r="E3" s="264"/>
      <c r="F3" s="1"/>
      <c r="G3" s="59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2:35">
      <c r="B4" s="75" t="s">
        <v>77</v>
      </c>
      <c r="C4" s="75">
        <v>2019</v>
      </c>
      <c r="D4" s="75">
        <v>2020</v>
      </c>
      <c r="E4" s="75">
        <v>2021</v>
      </c>
      <c r="F4" s="71">
        <v>2022</v>
      </c>
      <c r="G4" s="71">
        <v>2023</v>
      </c>
      <c r="H4" s="71">
        <v>2024</v>
      </c>
      <c r="I4" s="71">
        <v>2025</v>
      </c>
      <c r="J4" s="71">
        <v>2026</v>
      </c>
      <c r="K4" s="71">
        <v>2027</v>
      </c>
      <c r="L4" s="71">
        <v>2028</v>
      </c>
      <c r="M4" s="71">
        <v>2029</v>
      </c>
      <c r="N4" s="71">
        <v>2030</v>
      </c>
      <c r="O4" s="71">
        <v>2031</v>
      </c>
      <c r="P4" s="71">
        <v>2032</v>
      </c>
      <c r="Q4" s="71">
        <v>2033</v>
      </c>
      <c r="R4" s="71">
        <v>2034</v>
      </c>
      <c r="S4" s="71">
        <v>2035</v>
      </c>
      <c r="T4" s="71">
        <v>2036</v>
      </c>
      <c r="U4" s="71">
        <v>2037</v>
      </c>
      <c r="V4" s="71">
        <v>2038</v>
      </c>
      <c r="W4" s="71">
        <v>2039</v>
      </c>
      <c r="X4" s="71">
        <v>2040</v>
      </c>
      <c r="Y4" s="71">
        <v>2041</v>
      </c>
      <c r="Z4" s="71">
        <v>2042</v>
      </c>
      <c r="AA4" s="71">
        <v>2043</v>
      </c>
      <c r="AB4" s="71">
        <v>2044</v>
      </c>
      <c r="AC4" s="71">
        <v>2045</v>
      </c>
      <c r="AD4" s="71">
        <v>2046</v>
      </c>
      <c r="AE4" s="71">
        <v>2047</v>
      </c>
      <c r="AF4" s="71">
        <v>2048</v>
      </c>
      <c r="AG4" s="71">
        <v>2049</v>
      </c>
      <c r="AH4" s="71">
        <v>2050</v>
      </c>
      <c r="AI4" s="1"/>
    </row>
    <row r="5" spans="2:35">
      <c r="B5" s="71" t="s">
        <v>81</v>
      </c>
      <c r="C5" s="100">
        <f>KPIs!C32</f>
        <v>4241</v>
      </c>
      <c r="D5" s="100">
        <f>KPIs!D32</f>
        <v>4214.909090909091</v>
      </c>
      <c r="E5" s="100">
        <f>KPIs!E32</f>
        <v>4188.818181818182</v>
      </c>
      <c r="F5" s="100">
        <f>KPIs!F32</f>
        <v>4162.727272727273</v>
      </c>
      <c r="G5" s="100">
        <f>KPIs!G32</f>
        <v>4136.636363636364</v>
      </c>
      <c r="H5" s="100">
        <f>KPIs!H32</f>
        <v>4110.545454545455</v>
      </c>
      <c r="I5" s="100">
        <f>KPIs!I32</f>
        <v>4084.4545454545455</v>
      </c>
      <c r="J5" s="100">
        <f>KPIs!J32</f>
        <v>4058.3636363636365</v>
      </c>
      <c r="K5" s="100">
        <f>KPIs!K32</f>
        <v>4032.2727272727275</v>
      </c>
      <c r="L5" s="100">
        <f>KPIs!L32</f>
        <v>4006.181818181818</v>
      </c>
      <c r="M5" s="100">
        <f>KPIs!M32</f>
        <v>3980.090909090909</v>
      </c>
      <c r="N5" s="100">
        <f>KPIs!N32</f>
        <v>3954</v>
      </c>
      <c r="O5" s="100">
        <f>KPIs!O32</f>
        <v>3951.7</v>
      </c>
      <c r="P5" s="100">
        <f>KPIs!P32</f>
        <v>3949.4</v>
      </c>
      <c r="Q5" s="100">
        <f>KPIs!Q32</f>
        <v>3947.1</v>
      </c>
      <c r="R5" s="100">
        <f>KPIs!R32</f>
        <v>3944.8</v>
      </c>
      <c r="S5" s="100">
        <f>KPIs!S32</f>
        <v>3942.5</v>
      </c>
      <c r="T5" s="100">
        <f>KPIs!T32</f>
        <v>3940.2</v>
      </c>
      <c r="U5" s="100">
        <f>KPIs!U32</f>
        <v>3937.9</v>
      </c>
      <c r="V5" s="100">
        <f>KPIs!V32</f>
        <v>3935.6</v>
      </c>
      <c r="W5" s="100">
        <f>KPIs!W32</f>
        <v>3933.3</v>
      </c>
      <c r="X5" s="100">
        <f>KPIs!X32</f>
        <v>3931</v>
      </c>
      <c r="Y5" s="100">
        <f>KPIs!Y32</f>
        <v>3928.7</v>
      </c>
      <c r="Z5" s="100">
        <f>KPIs!Z32</f>
        <v>3926.4</v>
      </c>
      <c r="AA5" s="100">
        <f>KPIs!AA32</f>
        <v>3924.1</v>
      </c>
      <c r="AB5" s="100">
        <f>KPIs!AB32</f>
        <v>3921.8</v>
      </c>
      <c r="AC5" s="100">
        <f>KPIs!AC32</f>
        <v>3919.5</v>
      </c>
      <c r="AD5" s="100">
        <f>KPIs!AD32</f>
        <v>3917.2</v>
      </c>
      <c r="AE5" s="100">
        <f>KPIs!AE32</f>
        <v>3914.9</v>
      </c>
      <c r="AF5" s="100">
        <f>KPIs!AF32</f>
        <v>3912.6</v>
      </c>
      <c r="AG5" s="100">
        <f>KPIs!AG32</f>
        <v>3910.3</v>
      </c>
      <c r="AH5" s="100">
        <f>KPIs!AH32</f>
        <v>3908</v>
      </c>
      <c r="AI5" s="71" t="s">
        <v>81</v>
      </c>
    </row>
    <row r="6" spans="2:35">
      <c r="B6" s="71" t="s">
        <v>36</v>
      </c>
      <c r="C6" s="100">
        <f>KPIs!C33</f>
        <v>6049</v>
      </c>
      <c r="D6" s="100">
        <f>KPIs!D33</f>
        <v>6019.090909090909</v>
      </c>
      <c r="E6" s="100">
        <f>KPIs!E33</f>
        <v>5989.181818181818</v>
      </c>
      <c r="F6" s="100">
        <f>KPIs!F33</f>
        <v>5959.272727272727</v>
      </c>
      <c r="G6" s="100">
        <f>KPIs!G33</f>
        <v>5929.363636363636</v>
      </c>
      <c r="H6" s="100">
        <f>KPIs!H33</f>
        <v>5899.454545454545</v>
      </c>
      <c r="I6" s="100">
        <f>KPIs!I33</f>
        <v>5869.545454545455</v>
      </c>
      <c r="J6" s="100">
        <f>KPIs!J33</f>
        <v>5839.636363636364</v>
      </c>
      <c r="K6" s="100">
        <f>KPIs!K33</f>
        <v>5809.727272727273</v>
      </c>
      <c r="L6" s="100">
        <f>KPIs!L33</f>
        <v>5779.818181818182</v>
      </c>
      <c r="M6" s="100">
        <f>KPIs!M33</f>
        <v>5749.909090909091</v>
      </c>
      <c r="N6" s="100">
        <f>KPIs!N33</f>
        <v>5720</v>
      </c>
      <c r="O6" s="100">
        <f>KPIs!O33</f>
        <v>5713.9250000000002</v>
      </c>
      <c r="P6" s="100">
        <f>KPIs!P33</f>
        <v>5707.85</v>
      </c>
      <c r="Q6" s="100">
        <f>KPIs!Q33</f>
        <v>5701.7749999999996</v>
      </c>
      <c r="R6" s="100">
        <f>KPIs!R33</f>
        <v>5695.7</v>
      </c>
      <c r="S6" s="100">
        <f>KPIs!S33</f>
        <v>5689.625</v>
      </c>
      <c r="T6" s="100">
        <f>KPIs!T33</f>
        <v>5683.55</v>
      </c>
      <c r="U6" s="100">
        <f>KPIs!U33</f>
        <v>5677.4750000000004</v>
      </c>
      <c r="V6" s="100">
        <f>KPIs!V33</f>
        <v>5671.4</v>
      </c>
      <c r="W6" s="100">
        <f>KPIs!W33</f>
        <v>5665.3249999999998</v>
      </c>
      <c r="X6" s="100">
        <f>KPIs!X33</f>
        <v>5659.25</v>
      </c>
      <c r="Y6" s="100">
        <f>KPIs!Y33</f>
        <v>5653.1750000000002</v>
      </c>
      <c r="Z6" s="100">
        <f>KPIs!Z33</f>
        <v>5647.1</v>
      </c>
      <c r="AA6" s="100">
        <f>KPIs!AA33</f>
        <v>5641.0249999999996</v>
      </c>
      <c r="AB6" s="100">
        <f>KPIs!AB33</f>
        <v>5634.95</v>
      </c>
      <c r="AC6" s="100">
        <f>KPIs!AC33</f>
        <v>5628.875</v>
      </c>
      <c r="AD6" s="100">
        <f>KPIs!AD33</f>
        <v>5622.8</v>
      </c>
      <c r="AE6" s="100">
        <f>KPIs!AE33</f>
        <v>5616.7250000000004</v>
      </c>
      <c r="AF6" s="100">
        <f>KPIs!AF33</f>
        <v>5610.65</v>
      </c>
      <c r="AG6" s="100">
        <f>KPIs!AG33</f>
        <v>5604.5749999999998</v>
      </c>
      <c r="AH6" s="100">
        <f>KPIs!AH33</f>
        <v>5598.5</v>
      </c>
      <c r="AI6" s="71" t="s">
        <v>96</v>
      </c>
    </row>
    <row r="7" spans="2:35">
      <c r="B7" s="71" t="s">
        <v>89</v>
      </c>
      <c r="C7" s="100">
        <f>KPIs!C34</f>
        <v>902</v>
      </c>
      <c r="D7" s="100">
        <f>KPIs!D34</f>
        <v>897.4545454545455</v>
      </c>
      <c r="E7" s="100">
        <f>KPIs!E34</f>
        <v>892.90909090909088</v>
      </c>
      <c r="F7" s="100">
        <f>KPIs!F34</f>
        <v>888.36363636363637</v>
      </c>
      <c r="G7" s="100">
        <f>KPIs!G34</f>
        <v>883.81818181818187</v>
      </c>
      <c r="H7" s="100">
        <f>KPIs!H34</f>
        <v>879.27272727272725</v>
      </c>
      <c r="I7" s="100">
        <f>KPIs!I34</f>
        <v>874.72727272727275</v>
      </c>
      <c r="J7" s="100">
        <f>KPIs!J34</f>
        <v>870.18181818181813</v>
      </c>
      <c r="K7" s="100">
        <f>KPIs!K34</f>
        <v>865.63636363636363</v>
      </c>
      <c r="L7" s="100">
        <f>KPIs!L34</f>
        <v>861.09090909090912</v>
      </c>
      <c r="M7" s="100">
        <f>KPIs!M34</f>
        <v>856.5454545454545</v>
      </c>
      <c r="N7" s="100">
        <f>KPIs!N34</f>
        <v>852</v>
      </c>
      <c r="O7" s="100">
        <f>KPIs!O34</f>
        <v>848.7</v>
      </c>
      <c r="P7" s="100">
        <f>KPIs!P34</f>
        <v>845.4</v>
      </c>
      <c r="Q7" s="100">
        <f>KPIs!Q34</f>
        <v>842.1</v>
      </c>
      <c r="R7" s="100">
        <f>KPIs!R34</f>
        <v>838.8</v>
      </c>
      <c r="S7" s="100">
        <f>KPIs!S34</f>
        <v>835.5</v>
      </c>
      <c r="T7" s="100">
        <f>KPIs!T34</f>
        <v>832.2</v>
      </c>
      <c r="U7" s="100">
        <f>KPIs!U34</f>
        <v>828.9</v>
      </c>
      <c r="V7" s="100">
        <f>KPIs!V34</f>
        <v>825.6</v>
      </c>
      <c r="W7" s="100">
        <f>KPIs!W34</f>
        <v>822.3</v>
      </c>
      <c r="X7" s="100">
        <f>KPIs!X34</f>
        <v>819</v>
      </c>
      <c r="Y7" s="100">
        <f>KPIs!Y34</f>
        <v>815.7</v>
      </c>
      <c r="Z7" s="100">
        <f>KPIs!Z34</f>
        <v>812.4</v>
      </c>
      <c r="AA7" s="100">
        <f>KPIs!AA34</f>
        <v>809.1</v>
      </c>
      <c r="AB7" s="100">
        <f>KPIs!AB34</f>
        <v>805.8</v>
      </c>
      <c r="AC7" s="100">
        <f>KPIs!AC34</f>
        <v>802.5</v>
      </c>
      <c r="AD7" s="100">
        <f>KPIs!AD34</f>
        <v>799.2</v>
      </c>
      <c r="AE7" s="100">
        <f>KPIs!AE34</f>
        <v>795.9</v>
      </c>
      <c r="AF7" s="100">
        <f>KPIs!AF34</f>
        <v>792.6</v>
      </c>
      <c r="AG7" s="100">
        <f>KPIs!AG34</f>
        <v>789.3</v>
      </c>
      <c r="AH7" s="100">
        <f>KPIs!AH34</f>
        <v>786</v>
      </c>
      <c r="AI7" s="71" t="s">
        <v>89</v>
      </c>
    </row>
    <row r="8" spans="2:35">
      <c r="B8" s="71" t="s">
        <v>88</v>
      </c>
      <c r="C8" s="100">
        <f>KPIs!C35</f>
        <v>1054</v>
      </c>
      <c r="D8" s="100">
        <f>KPIs!D35</f>
        <v>1049.1818181818182</v>
      </c>
      <c r="E8" s="100">
        <f>KPIs!E35</f>
        <v>1044.3636363636363</v>
      </c>
      <c r="F8" s="100">
        <f>KPIs!F35</f>
        <v>1039.5454545454545</v>
      </c>
      <c r="G8" s="100">
        <f>KPIs!G35</f>
        <v>1034.7272727272727</v>
      </c>
      <c r="H8" s="100">
        <f>KPIs!H35</f>
        <v>1029.909090909091</v>
      </c>
      <c r="I8" s="100">
        <f>KPIs!I35</f>
        <v>1025.090909090909</v>
      </c>
      <c r="J8" s="100">
        <f>KPIs!J35</f>
        <v>1020.2727272727273</v>
      </c>
      <c r="K8" s="100">
        <f>KPIs!K35</f>
        <v>1015.4545454545455</v>
      </c>
      <c r="L8" s="100">
        <f>KPIs!L35</f>
        <v>1010.6363636363636</v>
      </c>
      <c r="M8" s="100">
        <f>KPIs!M35</f>
        <v>1005.8181818181819</v>
      </c>
      <c r="N8" s="100">
        <f>KPIs!N35</f>
        <v>1001</v>
      </c>
      <c r="O8" s="100">
        <f>KPIs!O35</f>
        <v>997.3</v>
      </c>
      <c r="P8" s="100">
        <f>KPIs!P35</f>
        <v>993.6</v>
      </c>
      <c r="Q8" s="100">
        <f>KPIs!Q35</f>
        <v>989.9</v>
      </c>
      <c r="R8" s="100">
        <f>KPIs!R35</f>
        <v>986.2</v>
      </c>
      <c r="S8" s="100">
        <f>KPIs!S35</f>
        <v>982.5</v>
      </c>
      <c r="T8" s="100">
        <f>KPIs!T35</f>
        <v>978.8</v>
      </c>
      <c r="U8" s="100">
        <f>KPIs!U35</f>
        <v>975.1</v>
      </c>
      <c r="V8" s="100">
        <f>KPIs!V35</f>
        <v>971.4</v>
      </c>
      <c r="W8" s="100">
        <f>KPIs!W35</f>
        <v>967.7</v>
      </c>
      <c r="X8" s="100">
        <f>KPIs!X35</f>
        <v>964</v>
      </c>
      <c r="Y8" s="100">
        <f>KPIs!Y35</f>
        <v>960.3</v>
      </c>
      <c r="Z8" s="100">
        <f>KPIs!Z35</f>
        <v>956.6</v>
      </c>
      <c r="AA8" s="100">
        <f>KPIs!AA35</f>
        <v>952.9</v>
      </c>
      <c r="AB8" s="100">
        <f>KPIs!AB35</f>
        <v>949.2</v>
      </c>
      <c r="AC8" s="100">
        <f>KPIs!AC35</f>
        <v>945.5</v>
      </c>
      <c r="AD8" s="100">
        <f>KPIs!AD35</f>
        <v>941.8</v>
      </c>
      <c r="AE8" s="100">
        <f>KPIs!AE35</f>
        <v>938.1</v>
      </c>
      <c r="AF8" s="100">
        <f>KPIs!AF35</f>
        <v>934.4</v>
      </c>
      <c r="AG8" s="100">
        <f>KPIs!AG35</f>
        <v>930.7</v>
      </c>
      <c r="AH8" s="100">
        <f>KPIs!AH35</f>
        <v>927</v>
      </c>
      <c r="AI8" s="71" t="s">
        <v>88</v>
      </c>
    </row>
    <row r="9" spans="2:35">
      <c r="B9" s="71" t="s">
        <v>90</v>
      </c>
      <c r="C9" s="100">
        <f>KPIs!C36</f>
        <v>2201</v>
      </c>
      <c r="D9" s="100">
        <f>KPIs!D36</f>
        <v>2181.909090909091</v>
      </c>
      <c r="E9" s="100">
        <f>KPIs!E36</f>
        <v>2162.818181818182</v>
      </c>
      <c r="F9" s="100">
        <f>KPIs!F36</f>
        <v>2143.7272727272725</v>
      </c>
      <c r="G9" s="100">
        <f>KPIs!G36</f>
        <v>2124.6363636363635</v>
      </c>
      <c r="H9" s="100">
        <f>KPIs!H36</f>
        <v>2105.5454545454545</v>
      </c>
      <c r="I9" s="100">
        <f>KPIs!I36</f>
        <v>2086.4545454545455</v>
      </c>
      <c r="J9" s="100">
        <f>KPIs!J36</f>
        <v>2067.3636363636365</v>
      </c>
      <c r="K9" s="100">
        <f>KPIs!K36</f>
        <v>2048.2727272727275</v>
      </c>
      <c r="L9" s="100">
        <f>KPIs!L36</f>
        <v>2029.1818181818182</v>
      </c>
      <c r="M9" s="100">
        <f>KPIs!M36</f>
        <v>2010.090909090909</v>
      </c>
      <c r="N9" s="100">
        <f>KPIs!N36</f>
        <v>1991</v>
      </c>
      <c r="O9" s="100">
        <f>KPIs!O36</f>
        <v>1976.3</v>
      </c>
      <c r="P9" s="100">
        <f>KPIs!P36</f>
        <v>1961.6</v>
      </c>
      <c r="Q9" s="100">
        <f>KPIs!Q36</f>
        <v>1946.9</v>
      </c>
      <c r="R9" s="100">
        <f>KPIs!R36</f>
        <v>1932.2</v>
      </c>
      <c r="S9" s="100">
        <f>KPIs!S36</f>
        <v>1917.5</v>
      </c>
      <c r="T9" s="100">
        <f>KPIs!T36</f>
        <v>1902.8</v>
      </c>
      <c r="U9" s="100">
        <f>KPIs!U36</f>
        <v>1888.1</v>
      </c>
      <c r="V9" s="100">
        <f>KPIs!V36</f>
        <v>1873.4</v>
      </c>
      <c r="W9" s="100">
        <f>KPIs!W36</f>
        <v>1858.7</v>
      </c>
      <c r="X9" s="100">
        <f>KPIs!X36</f>
        <v>1844</v>
      </c>
      <c r="Y9" s="100">
        <f>KPIs!Y36</f>
        <v>1829.3</v>
      </c>
      <c r="Z9" s="100">
        <f>KPIs!Z36</f>
        <v>1814.6</v>
      </c>
      <c r="AA9" s="100">
        <f>KPIs!AA36</f>
        <v>1799.9</v>
      </c>
      <c r="AB9" s="100">
        <f>KPIs!AB36</f>
        <v>1785.2</v>
      </c>
      <c r="AC9" s="100">
        <f>KPIs!AC36</f>
        <v>1770.5</v>
      </c>
      <c r="AD9" s="100">
        <f>KPIs!AD36</f>
        <v>1755.8</v>
      </c>
      <c r="AE9" s="100">
        <f>KPIs!AE36</f>
        <v>1741.1</v>
      </c>
      <c r="AF9" s="100">
        <f>KPIs!AF36</f>
        <v>1726.4</v>
      </c>
      <c r="AG9" s="100">
        <f>KPIs!AG36</f>
        <v>1711.7</v>
      </c>
      <c r="AH9" s="100">
        <f>KPIs!AH36</f>
        <v>1697</v>
      </c>
      <c r="AI9" s="71" t="s">
        <v>97</v>
      </c>
    </row>
    <row r="10" spans="2:35">
      <c r="B10" s="71" t="s">
        <v>48</v>
      </c>
      <c r="C10" s="100">
        <f>KPIs!C37</f>
        <v>1778</v>
      </c>
      <c r="D10" s="100">
        <f>KPIs!D37</f>
        <v>1691</v>
      </c>
      <c r="E10" s="100">
        <f>KPIs!E37</f>
        <v>1604</v>
      </c>
      <c r="F10" s="100">
        <f>KPIs!F37</f>
        <v>1517</v>
      </c>
      <c r="G10" s="100">
        <f>KPIs!G37</f>
        <v>1430</v>
      </c>
      <c r="H10" s="100">
        <f>KPIs!H37</f>
        <v>1343</v>
      </c>
      <c r="I10" s="100">
        <f>KPIs!I37</f>
        <v>1256</v>
      </c>
      <c r="J10" s="100">
        <f>KPIs!J37</f>
        <v>1169</v>
      </c>
      <c r="K10" s="100">
        <f>KPIs!K37</f>
        <v>1082</v>
      </c>
      <c r="L10" s="100">
        <f>KPIs!L37</f>
        <v>995</v>
      </c>
      <c r="M10" s="100">
        <f>KPIs!M37</f>
        <v>908</v>
      </c>
      <c r="N10" s="100">
        <f>KPIs!N37</f>
        <v>821</v>
      </c>
      <c r="O10" s="100">
        <f>KPIs!O37</f>
        <v>813.4</v>
      </c>
      <c r="P10" s="100">
        <f>KPIs!P37</f>
        <v>805.8</v>
      </c>
      <c r="Q10" s="100">
        <f>KPIs!Q37</f>
        <v>798.2</v>
      </c>
      <c r="R10" s="100">
        <f>KPIs!R37</f>
        <v>790.6</v>
      </c>
      <c r="S10" s="100">
        <f>KPIs!S37</f>
        <v>783</v>
      </c>
      <c r="T10" s="100">
        <f>KPIs!T37</f>
        <v>775.4</v>
      </c>
      <c r="U10" s="100">
        <f>KPIs!U37</f>
        <v>767.8</v>
      </c>
      <c r="V10" s="100">
        <f>KPIs!V37</f>
        <v>760.2</v>
      </c>
      <c r="W10" s="100">
        <f>KPIs!W37</f>
        <v>752.6</v>
      </c>
      <c r="X10" s="100">
        <f>KPIs!X37</f>
        <v>745</v>
      </c>
      <c r="Y10" s="100">
        <f>KPIs!Y37</f>
        <v>737.4</v>
      </c>
      <c r="Z10" s="100">
        <f>KPIs!Z37</f>
        <v>729.8</v>
      </c>
      <c r="AA10" s="100">
        <f>KPIs!AA37</f>
        <v>722.2</v>
      </c>
      <c r="AB10" s="100">
        <f>KPIs!AB37</f>
        <v>714.6</v>
      </c>
      <c r="AC10" s="100">
        <f>KPIs!AC37</f>
        <v>707</v>
      </c>
      <c r="AD10" s="100">
        <f>KPIs!AD37</f>
        <v>699.4</v>
      </c>
      <c r="AE10" s="100">
        <f>KPIs!AE37</f>
        <v>691.8</v>
      </c>
      <c r="AF10" s="100">
        <f>KPIs!AF37</f>
        <v>684.2</v>
      </c>
      <c r="AG10" s="100">
        <f>KPIs!AG37</f>
        <v>676.6</v>
      </c>
      <c r="AH10" s="100">
        <f>KPIs!AH37</f>
        <v>669</v>
      </c>
      <c r="AI10" s="71" t="s">
        <v>98</v>
      </c>
    </row>
    <row r="11" spans="2:35">
      <c r="B11" s="71" t="s">
        <v>51</v>
      </c>
      <c r="C11" s="100">
        <f>KPIs!C38</f>
        <v>7872</v>
      </c>
      <c r="D11" s="100">
        <f>KPIs!D38</f>
        <v>7684.181818181818</v>
      </c>
      <c r="E11" s="100">
        <f>KPIs!E38</f>
        <v>7496.363636363636</v>
      </c>
      <c r="F11" s="100">
        <f>KPIs!F38</f>
        <v>7308.545454545454</v>
      </c>
      <c r="G11" s="100">
        <f>KPIs!G38</f>
        <v>7120.727272727273</v>
      </c>
      <c r="H11" s="100">
        <f>KPIs!H38</f>
        <v>6932.909090909091</v>
      </c>
      <c r="I11" s="100">
        <f>KPIs!I38</f>
        <v>6745.090909090909</v>
      </c>
      <c r="J11" s="100">
        <f>KPIs!J38</f>
        <v>6557.272727272727</v>
      </c>
      <c r="K11" s="100">
        <f>KPIs!K38</f>
        <v>6369.454545454546</v>
      </c>
      <c r="L11" s="100">
        <f>KPIs!L38</f>
        <v>6181.636363636364</v>
      </c>
      <c r="M11" s="100">
        <f>KPIs!M38</f>
        <v>5993.818181818182</v>
      </c>
      <c r="N11" s="100">
        <f>KPIs!N38</f>
        <v>5806</v>
      </c>
      <c r="O11" s="100">
        <f>KPIs!O38</f>
        <v>5747.95</v>
      </c>
      <c r="P11" s="100">
        <f>KPIs!P38</f>
        <v>5689.9</v>
      </c>
      <c r="Q11" s="100">
        <f>KPIs!Q38</f>
        <v>5631.85</v>
      </c>
      <c r="R11" s="100">
        <f>KPIs!R38</f>
        <v>5573.8</v>
      </c>
      <c r="S11" s="100">
        <f>KPIs!S38</f>
        <v>5515.75</v>
      </c>
      <c r="T11" s="100">
        <f>KPIs!T38</f>
        <v>5457.7</v>
      </c>
      <c r="U11" s="100">
        <f>KPIs!U38</f>
        <v>5399.65</v>
      </c>
      <c r="V11" s="100">
        <f>KPIs!V38</f>
        <v>5341.6</v>
      </c>
      <c r="W11" s="100">
        <f>KPIs!W38</f>
        <v>5283.55</v>
      </c>
      <c r="X11" s="100">
        <f>KPIs!X38</f>
        <v>5225.5</v>
      </c>
      <c r="Y11" s="100">
        <f>KPIs!Y38</f>
        <v>5167.45</v>
      </c>
      <c r="Z11" s="100">
        <f>KPIs!Z38</f>
        <v>5109.3999999999996</v>
      </c>
      <c r="AA11" s="100">
        <f>KPIs!AA38</f>
        <v>5051.3500000000004</v>
      </c>
      <c r="AB11" s="100">
        <f>KPIs!AB38</f>
        <v>4993.3</v>
      </c>
      <c r="AC11" s="100">
        <f>KPIs!AC38</f>
        <v>4935.25</v>
      </c>
      <c r="AD11" s="100">
        <f>KPIs!AD38</f>
        <v>4877.2</v>
      </c>
      <c r="AE11" s="100">
        <f>KPIs!AE38</f>
        <v>4819.1499999999996</v>
      </c>
      <c r="AF11" s="100">
        <f>KPIs!AF38</f>
        <v>4761.1000000000004</v>
      </c>
      <c r="AG11" s="100">
        <f>KPIs!AG38</f>
        <v>4703.05</v>
      </c>
      <c r="AH11" s="100">
        <f>KPIs!AH38</f>
        <v>4645</v>
      </c>
      <c r="AI11" s="71" t="s">
        <v>99</v>
      </c>
    </row>
    <row r="12" spans="2:35">
      <c r="B12" s="71" t="s">
        <v>56</v>
      </c>
      <c r="C12" s="100">
        <f>KPIs!C39</f>
        <v>1640</v>
      </c>
      <c r="D12" s="100">
        <f>KPIs!D39</f>
        <v>1643.5454545454545</v>
      </c>
      <c r="E12" s="100">
        <f>KPIs!E39</f>
        <v>1647.090909090909</v>
      </c>
      <c r="F12" s="100">
        <f>KPIs!F39</f>
        <v>1650.6363636363637</v>
      </c>
      <c r="G12" s="100">
        <f>KPIs!G39</f>
        <v>1654.1818181818182</v>
      </c>
      <c r="H12" s="100">
        <f>KPIs!H39</f>
        <v>1657.7272727272727</v>
      </c>
      <c r="I12" s="100">
        <f>KPIs!I39</f>
        <v>1661.2727272727273</v>
      </c>
      <c r="J12" s="100">
        <f>KPIs!J39</f>
        <v>1664.8181818181818</v>
      </c>
      <c r="K12" s="100">
        <f>KPIs!K39</f>
        <v>1668.3636363636363</v>
      </c>
      <c r="L12" s="100">
        <f>KPIs!L39</f>
        <v>1671.909090909091</v>
      </c>
      <c r="M12" s="100">
        <f>KPIs!M39</f>
        <v>1675.4545454545455</v>
      </c>
      <c r="N12" s="100">
        <f>KPIs!N39</f>
        <v>1679</v>
      </c>
      <c r="O12" s="100">
        <f>KPIs!O39</f>
        <v>1682.7750000000001</v>
      </c>
      <c r="P12" s="100">
        <f>KPIs!P39</f>
        <v>1686.55</v>
      </c>
      <c r="Q12" s="100">
        <f>KPIs!Q39</f>
        <v>1690.325</v>
      </c>
      <c r="R12" s="100">
        <f>KPIs!R39</f>
        <v>1694.1</v>
      </c>
      <c r="S12" s="100">
        <f>KPIs!S39</f>
        <v>1697.875</v>
      </c>
      <c r="T12" s="100">
        <f>KPIs!T39</f>
        <v>1701.65</v>
      </c>
      <c r="U12" s="100">
        <f>KPIs!U39</f>
        <v>1705.425</v>
      </c>
      <c r="V12" s="100">
        <f>KPIs!V39</f>
        <v>1709.2</v>
      </c>
      <c r="W12" s="100">
        <f>KPIs!W39</f>
        <v>1712.9749999999999</v>
      </c>
      <c r="X12" s="100">
        <f>KPIs!X39</f>
        <v>1716.75</v>
      </c>
      <c r="Y12" s="100">
        <f>KPIs!Y39</f>
        <v>1720.5250000000001</v>
      </c>
      <c r="Z12" s="100">
        <f>KPIs!Z39</f>
        <v>1724.3</v>
      </c>
      <c r="AA12" s="100">
        <f>KPIs!AA39</f>
        <v>1728.075</v>
      </c>
      <c r="AB12" s="100">
        <f>KPIs!AB39</f>
        <v>1731.85</v>
      </c>
      <c r="AC12" s="100">
        <f>KPIs!AC39</f>
        <v>1735.625</v>
      </c>
      <c r="AD12" s="100">
        <f>KPIs!AD39</f>
        <v>1739.4</v>
      </c>
      <c r="AE12" s="100">
        <f>KPIs!AE39</f>
        <v>1743.175</v>
      </c>
      <c r="AF12" s="100">
        <f>KPIs!AF39</f>
        <v>1746.95</v>
      </c>
      <c r="AG12" s="100">
        <f>KPIs!AG39</f>
        <v>1750.7249999999999</v>
      </c>
      <c r="AH12" s="100">
        <f>KPIs!AH39</f>
        <v>1754.5</v>
      </c>
      <c r="AI12" s="71" t="s">
        <v>100</v>
      </c>
    </row>
    <row r="13" spans="2:35">
      <c r="B13" s="71" t="s">
        <v>59</v>
      </c>
      <c r="C13" s="100">
        <f>KPIs!C40</f>
        <v>6002</v>
      </c>
      <c r="D13" s="100">
        <f>KPIs!D40</f>
        <v>5841.636363636364</v>
      </c>
      <c r="E13" s="100">
        <f>KPIs!E40</f>
        <v>5681.272727272727</v>
      </c>
      <c r="F13" s="100">
        <f>KPIs!F40</f>
        <v>5520.909090909091</v>
      </c>
      <c r="G13" s="100">
        <f>KPIs!G40</f>
        <v>5360.545454545454</v>
      </c>
      <c r="H13" s="100">
        <f>KPIs!H40</f>
        <v>5200.181818181818</v>
      </c>
      <c r="I13" s="100">
        <f>KPIs!I40</f>
        <v>5039.818181818182</v>
      </c>
      <c r="J13" s="100">
        <f>KPIs!J40</f>
        <v>4879.454545454546</v>
      </c>
      <c r="K13" s="100">
        <f>KPIs!K40</f>
        <v>4719.090909090909</v>
      </c>
      <c r="L13" s="100">
        <f>KPIs!L40</f>
        <v>4558.727272727273</v>
      </c>
      <c r="M13" s="100">
        <f>KPIs!M40</f>
        <v>4398.363636363636</v>
      </c>
      <c r="N13" s="100">
        <f>KPIs!N40</f>
        <v>4238</v>
      </c>
      <c r="O13" s="100">
        <f>KPIs!O40</f>
        <v>4206.05</v>
      </c>
      <c r="P13" s="100">
        <f>KPIs!P40</f>
        <v>4174.1000000000004</v>
      </c>
      <c r="Q13" s="100">
        <f>KPIs!Q40</f>
        <v>4142.1499999999996</v>
      </c>
      <c r="R13" s="100">
        <f>KPIs!R40</f>
        <v>4110.2</v>
      </c>
      <c r="S13" s="100">
        <f>KPIs!S40</f>
        <v>4078.25</v>
      </c>
      <c r="T13" s="100">
        <f>KPIs!T40</f>
        <v>4046.3</v>
      </c>
      <c r="U13" s="100">
        <f>KPIs!U40</f>
        <v>4014.35</v>
      </c>
      <c r="V13" s="100">
        <f>KPIs!V40</f>
        <v>3982.4</v>
      </c>
      <c r="W13" s="100">
        <f>KPIs!W40</f>
        <v>3950.45</v>
      </c>
      <c r="X13" s="100">
        <f>KPIs!X40</f>
        <v>3918.5</v>
      </c>
      <c r="Y13" s="100">
        <f>KPIs!Y40</f>
        <v>3886.55</v>
      </c>
      <c r="Z13" s="100">
        <f>KPIs!Z40</f>
        <v>3854.6</v>
      </c>
      <c r="AA13" s="100">
        <f>KPIs!AA40</f>
        <v>3822.65</v>
      </c>
      <c r="AB13" s="100">
        <f>KPIs!AB40</f>
        <v>3790.7</v>
      </c>
      <c r="AC13" s="100">
        <f>KPIs!AC40</f>
        <v>3758.75</v>
      </c>
      <c r="AD13" s="100">
        <f>KPIs!AD40</f>
        <v>3726.8</v>
      </c>
      <c r="AE13" s="100">
        <f>KPIs!AE40</f>
        <v>3694.85</v>
      </c>
      <c r="AF13" s="100">
        <f>KPIs!AF40</f>
        <v>3662.9</v>
      </c>
      <c r="AG13" s="100">
        <f>KPIs!AG40</f>
        <v>3630.95</v>
      </c>
      <c r="AH13" s="100">
        <f>KPIs!AH40</f>
        <v>3599</v>
      </c>
      <c r="AI13" s="71" t="s">
        <v>101</v>
      </c>
    </row>
    <row r="14" spans="2:35">
      <c r="B14" s="71" t="s">
        <v>5</v>
      </c>
      <c r="C14" s="100">
        <f>KPIs!C41</f>
        <v>6158</v>
      </c>
      <c r="D14" s="100">
        <f>KPIs!D41</f>
        <v>6133.363636363636</v>
      </c>
      <c r="E14" s="100">
        <f>KPIs!E41</f>
        <v>6108.727272727273</v>
      </c>
      <c r="F14" s="100">
        <f>KPIs!F41</f>
        <v>6084.090909090909</v>
      </c>
      <c r="G14" s="100">
        <f>KPIs!G41</f>
        <v>6059.454545454545</v>
      </c>
      <c r="H14" s="100">
        <f>KPIs!H41</f>
        <v>6034.818181818182</v>
      </c>
      <c r="I14" s="100">
        <f>KPIs!I41</f>
        <v>6010.181818181818</v>
      </c>
      <c r="J14" s="100">
        <f>KPIs!J41</f>
        <v>5985.545454545455</v>
      </c>
      <c r="K14" s="100">
        <f>KPIs!K41</f>
        <v>5960.909090909091</v>
      </c>
      <c r="L14" s="100">
        <f>KPIs!L41</f>
        <v>5936.272727272727</v>
      </c>
      <c r="M14" s="100">
        <f>KPIs!M41</f>
        <v>5911.636363636364</v>
      </c>
      <c r="N14" s="100">
        <f>KPIs!N41</f>
        <v>5887</v>
      </c>
      <c r="O14" s="100">
        <f>KPIs!O41</f>
        <v>5853.2</v>
      </c>
      <c r="P14" s="100">
        <f>KPIs!P41</f>
        <v>5819.4</v>
      </c>
      <c r="Q14" s="100">
        <f>KPIs!Q41</f>
        <v>5785.6</v>
      </c>
      <c r="R14" s="100">
        <f>KPIs!R41</f>
        <v>5751.8</v>
      </c>
      <c r="S14" s="100">
        <f>KPIs!S41</f>
        <v>5718</v>
      </c>
      <c r="T14" s="100">
        <f>KPIs!T41</f>
        <v>5684.2</v>
      </c>
      <c r="U14" s="100">
        <f>KPIs!U41</f>
        <v>5650.4</v>
      </c>
      <c r="V14" s="100">
        <f>KPIs!V41</f>
        <v>5616.6</v>
      </c>
      <c r="W14" s="100">
        <f>KPIs!W41</f>
        <v>5582.8</v>
      </c>
      <c r="X14" s="100">
        <f>KPIs!X41</f>
        <v>5549</v>
      </c>
      <c r="Y14" s="100">
        <f>KPIs!Y41</f>
        <v>5515.2</v>
      </c>
      <c r="Z14" s="100">
        <f>KPIs!Z41</f>
        <v>5481.4</v>
      </c>
      <c r="AA14" s="100">
        <f>KPIs!AA41</f>
        <v>5447.6</v>
      </c>
      <c r="AB14" s="100">
        <f>KPIs!AB41</f>
        <v>5413.8</v>
      </c>
      <c r="AC14" s="100">
        <f>KPIs!AC41</f>
        <v>5380</v>
      </c>
      <c r="AD14" s="100">
        <f>KPIs!AD41</f>
        <v>5346.2</v>
      </c>
      <c r="AE14" s="100">
        <f>KPIs!AE41</f>
        <v>5312.4</v>
      </c>
      <c r="AF14" s="100">
        <f>KPIs!AF41</f>
        <v>5278.6</v>
      </c>
      <c r="AG14" s="100">
        <f>KPIs!AG41</f>
        <v>5244.8</v>
      </c>
      <c r="AH14" s="100">
        <f>KPIs!AH41</f>
        <v>5211</v>
      </c>
      <c r="AI14" s="71" t="s">
        <v>5</v>
      </c>
    </row>
    <row r="15" spans="2:35">
      <c r="B15" s="71" t="s">
        <v>6</v>
      </c>
      <c r="C15" s="100">
        <f>KPIs!C42</f>
        <v>9400</v>
      </c>
      <c r="D15" s="100">
        <f>KPIs!D42</f>
        <v>9370.136363636364</v>
      </c>
      <c r="E15" s="100">
        <f>KPIs!E42</f>
        <v>9340.2727272727279</v>
      </c>
      <c r="F15" s="100">
        <f>KPIs!F42</f>
        <v>9310.4090909090901</v>
      </c>
      <c r="G15" s="100">
        <f>KPIs!G42</f>
        <v>9280.545454545454</v>
      </c>
      <c r="H15" s="100">
        <f>KPIs!H42</f>
        <v>9250.681818181818</v>
      </c>
      <c r="I15" s="100">
        <f>KPIs!I42</f>
        <v>9220.818181818182</v>
      </c>
      <c r="J15" s="100">
        <f>KPIs!J42</f>
        <v>9190.954545454546</v>
      </c>
      <c r="K15" s="100">
        <f>KPIs!K42</f>
        <v>9161.0909090909099</v>
      </c>
      <c r="L15" s="100">
        <f>KPIs!L42</f>
        <v>9131.2272727272721</v>
      </c>
      <c r="M15" s="100">
        <f>KPIs!M42</f>
        <v>9101.363636363636</v>
      </c>
      <c r="N15" s="100">
        <f>KPIs!N42</f>
        <v>9071.5</v>
      </c>
      <c r="O15" s="100">
        <f>KPIs!O42</f>
        <v>9048</v>
      </c>
      <c r="P15" s="100">
        <f>KPIs!P42</f>
        <v>9024.5</v>
      </c>
      <c r="Q15" s="100">
        <f>KPIs!Q42</f>
        <v>9001</v>
      </c>
      <c r="R15" s="100">
        <f>KPIs!R42</f>
        <v>8977.5</v>
      </c>
      <c r="S15" s="100">
        <f>KPIs!S42</f>
        <v>8954</v>
      </c>
      <c r="T15" s="100">
        <f>KPIs!T42</f>
        <v>8930.5</v>
      </c>
      <c r="U15" s="100">
        <f>KPIs!U42</f>
        <v>8907</v>
      </c>
      <c r="V15" s="100">
        <f>KPIs!V42</f>
        <v>8883.5</v>
      </c>
      <c r="W15" s="100">
        <f>KPIs!W42</f>
        <v>8860</v>
      </c>
      <c r="X15" s="100">
        <f>KPIs!X42</f>
        <v>8836.5</v>
      </c>
      <c r="Y15" s="100">
        <f>KPIs!Y42</f>
        <v>8813</v>
      </c>
      <c r="Z15" s="100">
        <f>KPIs!Z42</f>
        <v>8789.5</v>
      </c>
      <c r="AA15" s="100">
        <f>KPIs!AA42</f>
        <v>8766</v>
      </c>
      <c r="AB15" s="100">
        <f>KPIs!AB42</f>
        <v>8742.5</v>
      </c>
      <c r="AC15" s="100">
        <f>KPIs!AC42</f>
        <v>8719</v>
      </c>
      <c r="AD15" s="100">
        <f>KPIs!AD42</f>
        <v>8695.5</v>
      </c>
      <c r="AE15" s="100">
        <f>KPIs!AE42</f>
        <v>8672</v>
      </c>
      <c r="AF15" s="100">
        <f>KPIs!AF42</f>
        <v>8648.5</v>
      </c>
      <c r="AG15" s="100">
        <f>KPIs!AG42</f>
        <v>8625</v>
      </c>
      <c r="AH15" s="100">
        <f>KPIs!AH42</f>
        <v>8601.5</v>
      </c>
      <c r="AI15" s="71" t="s">
        <v>102</v>
      </c>
    </row>
    <row r="16" spans="2:35">
      <c r="B16" s="71" t="s">
        <v>7</v>
      </c>
      <c r="C16" s="100">
        <f>KPIs!C43</f>
        <v>4035</v>
      </c>
      <c r="D16" s="100">
        <f>KPIs!D43</f>
        <v>4017.681818181818</v>
      </c>
      <c r="E16" s="100">
        <f>KPIs!E43</f>
        <v>4000.3636363636365</v>
      </c>
      <c r="F16" s="100">
        <f>KPIs!F43</f>
        <v>3983.0454545454545</v>
      </c>
      <c r="G16" s="100">
        <f>KPIs!G43</f>
        <v>3965.7272727272725</v>
      </c>
      <c r="H16" s="100">
        <f>KPIs!H43</f>
        <v>3948.409090909091</v>
      </c>
      <c r="I16" s="100">
        <f>KPIs!I43</f>
        <v>3931.090909090909</v>
      </c>
      <c r="J16" s="100">
        <f>KPIs!J43</f>
        <v>3913.7727272727275</v>
      </c>
      <c r="K16" s="100">
        <f>KPIs!K43</f>
        <v>3896.4545454545455</v>
      </c>
      <c r="L16" s="100">
        <f>KPIs!L43</f>
        <v>3879.1363636363635</v>
      </c>
      <c r="M16" s="100">
        <f>KPIs!M43</f>
        <v>3861.818181818182</v>
      </c>
      <c r="N16" s="100">
        <f>KPIs!N43</f>
        <v>3844.5</v>
      </c>
      <c r="O16" s="100">
        <f>KPIs!O43</f>
        <v>3831.05</v>
      </c>
      <c r="P16" s="100">
        <f>KPIs!P43</f>
        <v>3817.6</v>
      </c>
      <c r="Q16" s="100">
        <f>KPIs!Q43</f>
        <v>3804.15</v>
      </c>
      <c r="R16" s="100">
        <f>KPIs!R43</f>
        <v>3790.7</v>
      </c>
      <c r="S16" s="100">
        <f>KPIs!S43</f>
        <v>3777.25</v>
      </c>
      <c r="T16" s="100">
        <f>KPIs!T43</f>
        <v>3763.8</v>
      </c>
      <c r="U16" s="100">
        <f>KPIs!U43</f>
        <v>3750.35</v>
      </c>
      <c r="V16" s="100">
        <f>KPIs!V43</f>
        <v>3736.9</v>
      </c>
      <c r="W16" s="100">
        <f>KPIs!W43</f>
        <v>3723.45</v>
      </c>
      <c r="X16" s="100">
        <f>KPIs!X43</f>
        <v>3710</v>
      </c>
      <c r="Y16" s="100">
        <f>KPIs!Y43</f>
        <v>3696.55</v>
      </c>
      <c r="Z16" s="100">
        <f>KPIs!Z43</f>
        <v>3683.1</v>
      </c>
      <c r="AA16" s="100">
        <f>KPIs!AA43</f>
        <v>3669.65</v>
      </c>
      <c r="AB16" s="100">
        <f>KPIs!AB43</f>
        <v>3656.2</v>
      </c>
      <c r="AC16" s="100">
        <f>KPIs!AC43</f>
        <v>3642.75</v>
      </c>
      <c r="AD16" s="100">
        <f>KPIs!AD43</f>
        <v>3629.3</v>
      </c>
      <c r="AE16" s="100">
        <f>KPIs!AE43</f>
        <v>3615.85</v>
      </c>
      <c r="AF16" s="100">
        <f>KPIs!AF43</f>
        <v>3602.4</v>
      </c>
      <c r="AG16" s="100">
        <f>KPIs!AG43</f>
        <v>3588.95</v>
      </c>
      <c r="AH16" s="100">
        <f>KPIs!AH43</f>
        <v>3575.5</v>
      </c>
      <c r="AI16" s="71" t="s">
        <v>7</v>
      </c>
    </row>
    <row r="17" spans="2:35">
      <c r="B17" s="71" t="s">
        <v>72</v>
      </c>
      <c r="C17" s="100">
        <f>KPIs!C44</f>
        <v>5691.5</v>
      </c>
      <c r="D17" s="100">
        <f>KPIs!D44</f>
        <v>5678.772727272727</v>
      </c>
      <c r="E17" s="100">
        <f>KPIs!E44</f>
        <v>5666.045454545455</v>
      </c>
      <c r="F17" s="100">
        <f>KPIs!F44</f>
        <v>5653.318181818182</v>
      </c>
      <c r="G17" s="100">
        <f>KPIs!G44</f>
        <v>5640.590909090909</v>
      </c>
      <c r="H17" s="100">
        <f>KPIs!H44</f>
        <v>5627.863636363636</v>
      </c>
      <c r="I17" s="100">
        <f>KPIs!I44</f>
        <v>5615.136363636364</v>
      </c>
      <c r="J17" s="100">
        <f>KPIs!J44</f>
        <v>5602.409090909091</v>
      </c>
      <c r="K17" s="100">
        <f>KPIs!K44</f>
        <v>5589.681818181818</v>
      </c>
      <c r="L17" s="100">
        <f>KPIs!L44</f>
        <v>5576.954545454545</v>
      </c>
      <c r="M17" s="100">
        <f>KPIs!M44</f>
        <v>5564.227272727273</v>
      </c>
      <c r="N17" s="100">
        <f>KPIs!N44</f>
        <v>5551.5</v>
      </c>
      <c r="O17" s="100">
        <f>KPIs!O44</f>
        <v>5542.6</v>
      </c>
      <c r="P17" s="100">
        <f>KPIs!P44</f>
        <v>5533.7</v>
      </c>
      <c r="Q17" s="100">
        <f>KPIs!Q44</f>
        <v>5524.8</v>
      </c>
      <c r="R17" s="100">
        <f>KPIs!R44</f>
        <v>5515.9</v>
      </c>
      <c r="S17" s="100">
        <f>KPIs!S44</f>
        <v>5507</v>
      </c>
      <c r="T17" s="100">
        <f>KPIs!T44</f>
        <v>5498.1</v>
      </c>
      <c r="U17" s="100">
        <f>KPIs!U44</f>
        <v>5489.2</v>
      </c>
      <c r="V17" s="100">
        <f>KPIs!V44</f>
        <v>5480.3</v>
      </c>
      <c r="W17" s="100">
        <f>KPIs!W44</f>
        <v>5471.4</v>
      </c>
      <c r="X17" s="100">
        <f>KPIs!X44</f>
        <v>5462.5</v>
      </c>
      <c r="Y17" s="100">
        <f>KPIs!Y44</f>
        <v>5453.6</v>
      </c>
      <c r="Z17" s="100">
        <f>KPIs!Z44</f>
        <v>5444.7</v>
      </c>
      <c r="AA17" s="100">
        <f>KPIs!AA44</f>
        <v>5435.8</v>
      </c>
      <c r="AB17" s="100">
        <f>KPIs!AB44</f>
        <v>5426.9</v>
      </c>
      <c r="AC17" s="100">
        <f>KPIs!AC44</f>
        <v>5418</v>
      </c>
      <c r="AD17" s="100">
        <f>KPIs!AD44</f>
        <v>5409.1</v>
      </c>
      <c r="AE17" s="100">
        <f>KPIs!AE44</f>
        <v>5400.2</v>
      </c>
      <c r="AF17" s="100">
        <f>KPIs!AF44</f>
        <v>5391.3</v>
      </c>
      <c r="AG17" s="100">
        <f>KPIs!AG44</f>
        <v>5382.4</v>
      </c>
      <c r="AH17" s="100">
        <f>KPIs!AH44</f>
        <v>5373.5</v>
      </c>
      <c r="AI17" s="71" t="s">
        <v>103</v>
      </c>
    </row>
    <row r="18" spans="2:35">
      <c r="B18" s="1"/>
      <c r="AI18" s="1"/>
    </row>
    <row r="19" spans="2:35">
      <c r="B19" s="71" t="s">
        <v>115</v>
      </c>
      <c r="C19" s="71">
        <v>2019</v>
      </c>
      <c r="D19" s="71">
        <v>2020</v>
      </c>
      <c r="E19" s="71">
        <v>2021</v>
      </c>
      <c r="F19" s="71">
        <v>2022</v>
      </c>
      <c r="G19" s="71">
        <v>2023</v>
      </c>
      <c r="H19" s="71">
        <v>2024</v>
      </c>
      <c r="I19" s="71">
        <v>2025</v>
      </c>
      <c r="J19" s="71">
        <v>2026</v>
      </c>
      <c r="K19" s="71">
        <v>2027</v>
      </c>
      <c r="L19" s="71">
        <v>2028</v>
      </c>
      <c r="M19" s="71">
        <v>2029</v>
      </c>
      <c r="N19" s="71">
        <v>2030</v>
      </c>
      <c r="O19" s="71">
        <v>2031</v>
      </c>
      <c r="P19" s="71">
        <v>2032</v>
      </c>
      <c r="Q19" s="71">
        <v>2033</v>
      </c>
      <c r="R19" s="71">
        <v>2034</v>
      </c>
      <c r="S19" s="71">
        <v>2035</v>
      </c>
      <c r="T19" s="71">
        <v>2036</v>
      </c>
      <c r="U19" s="71">
        <v>2037</v>
      </c>
      <c r="V19" s="71">
        <v>2038</v>
      </c>
      <c r="W19" s="71">
        <v>2039</v>
      </c>
      <c r="X19" s="71">
        <v>2040</v>
      </c>
      <c r="Y19" s="71">
        <v>2041</v>
      </c>
      <c r="Z19" s="71">
        <v>2042</v>
      </c>
      <c r="AA19" s="71">
        <v>2043</v>
      </c>
      <c r="AB19" s="71">
        <v>2044</v>
      </c>
      <c r="AC19" s="71">
        <v>2045</v>
      </c>
      <c r="AD19" s="71">
        <v>2046</v>
      </c>
      <c r="AE19" s="71">
        <v>2047</v>
      </c>
      <c r="AF19" s="71">
        <v>2048</v>
      </c>
      <c r="AG19" s="71">
        <v>2049</v>
      </c>
      <c r="AH19" s="71">
        <v>2050</v>
      </c>
      <c r="AI19" s="1"/>
    </row>
    <row r="20" spans="2:35">
      <c r="B20" s="71">
        <v>1</v>
      </c>
      <c r="C20" s="100" t="str">
        <f>VLOOKUP(SMALL($C$5:$C$17,1),$C$5:$AI$17,33,FALSE)</f>
        <v>Gas - CT</v>
      </c>
      <c r="D20" s="100" t="str">
        <f>VLOOKUP(SMALL($D$5:$D$17,1),$D$5:$AI$17,32,FALSE)</f>
        <v>Gas - CT</v>
      </c>
      <c r="E20" s="100" t="str">
        <f>VLOOKUP(SMALL($E$5:$E$17,1),$E$5:$AI$17,31,FALSE)</f>
        <v>Gas - CT</v>
      </c>
      <c r="F20" s="100" t="str">
        <f>VLOOKUP(SMALL($F$5:$F$17,1),$F$5:$AI$17,30,FALSE)</f>
        <v>Gas - CT</v>
      </c>
      <c r="G20" s="100" t="str">
        <f>VLOOKUP(SMALL($G$5:$G$17,1),$G$5:$AI$17,29,FALSE)</f>
        <v>Gas - CT</v>
      </c>
      <c r="H20" s="100" t="str">
        <f>VLOOKUP(SMALL($H$5:$H$17,1),$H$5:$AI$17,28,FALSE)</f>
        <v>Gas - CT</v>
      </c>
      <c r="I20" s="100" t="str">
        <f>VLOOKUP(SMALL($I$5:$I$17,1),$I$5:$AI$17,27,FALSE)</f>
        <v>Gas - CT</v>
      </c>
      <c r="J20" s="100" t="str">
        <f>VLOOKUP(SMALL($J$5:$J$17,1),$J$5:$AI$17,26,FALSE)</f>
        <v>Gas - CT</v>
      </c>
      <c r="K20" s="100" t="str">
        <f>VLOOKUP(SMALL($K$5:$K$17,1),$K$5:$AI$17,25,FALSE)</f>
        <v>Gas - CT</v>
      </c>
      <c r="L20" s="100" t="str">
        <f>VLOOKUP(SMALL($L$5:$L$17,1),$L$5:$AI$17,24,FALSE)</f>
        <v>Gas - CT</v>
      </c>
      <c r="M20" s="100" t="str">
        <f>VLOOKUP(SMALL($M$5:$M$17,1),$M$5:$AI$17,23,FALSE)</f>
        <v>Gas - CT</v>
      </c>
      <c r="N20" s="100" t="str">
        <f>VLOOKUP(SMALL($N$5:$N$17,1),$N$5:$AI$17,22,FALSE)</f>
        <v>Solar PV</v>
      </c>
      <c r="O20" s="100" t="str">
        <f>VLOOKUP(SMALL($O$5:$O$17,1),$O$5:$AI$17,21,FALSE)</f>
        <v>Solar PV</v>
      </c>
      <c r="P20" s="100" t="str">
        <f>VLOOKUP(SMALL($P$5:$P$17,1),$P$5:$AI$17,20,FALSE)</f>
        <v>Solar PV</v>
      </c>
      <c r="Q20" s="100" t="str">
        <f>VLOOKUP(SMALL($Q$5:$Q$17,1),$Q$5:$AI$17,19,FALSE)</f>
        <v>Solar PV</v>
      </c>
      <c r="R20" s="100" t="str">
        <f>VLOOKUP(SMALL($R$5:$R$17,1),$R$5:$AI$17,18,FALSE)</f>
        <v>Solar PV</v>
      </c>
      <c r="S20" s="100" t="str">
        <f>VLOOKUP(SMALL($S$5:$S$17,1),$S$5:$AI$17,17,FALSE)</f>
        <v>Solar PV</v>
      </c>
      <c r="T20" s="100" t="str">
        <f>VLOOKUP(SMALL($T$5:$T$17,1),$T$5:$AI$17,16,FALSE)</f>
        <v>Solar PV</v>
      </c>
      <c r="U20" s="100" t="str">
        <f>VLOOKUP(SMALL($U$5:$U$17,1),$U$5:$AI$17,15,FALSE)</f>
        <v>Solar PV</v>
      </c>
      <c r="V20" s="100" t="str">
        <f>VLOOKUP(SMALL($V$5:$V$17,1),$V$5:$AI$17,14,FALSE)</f>
        <v>Solar PV</v>
      </c>
      <c r="W20" s="100" t="str">
        <f>VLOOKUP(SMALL($W$5:$W$17,1),$W$5:$AI$17,13,FALSE)</f>
        <v>Solar PV</v>
      </c>
      <c r="X20" s="100" t="str">
        <f>VLOOKUP(SMALL($X$5:$X$17,1),$X$5:$AI$17,12,FALSE)</f>
        <v>Solar PV</v>
      </c>
      <c r="Y20" s="100" t="str">
        <f>VLOOKUP(SMALL($Y$5:$Y$17,1),$Y$5:$AI$17,11,FALSE)</f>
        <v>Solar PV</v>
      </c>
      <c r="Z20" s="100" t="str">
        <f>VLOOKUP(SMALL($Z$5:$Z$17,1),$Z$5:$AI$17,10,FALSE)</f>
        <v>Solar PV</v>
      </c>
      <c r="AA20" s="100" t="str">
        <f>VLOOKUP(SMALL($AA$5:$AA$17,1),$AA$5:$AI$17,9,FALSE)</f>
        <v>Solar PV</v>
      </c>
      <c r="AB20" s="100" t="str">
        <f>VLOOKUP(SMALL($AB$5:$AB$17,1),$AB$5:$AI$17,8,FALSE)</f>
        <v>Solar PV</v>
      </c>
      <c r="AC20" s="100" t="str">
        <f>VLOOKUP(SMALL($AC$5:$AC$17,1),$AC$5:$AI$17,7,FALSE)</f>
        <v>Solar PV</v>
      </c>
      <c r="AD20" s="100" t="str">
        <f>VLOOKUP(SMALL($AD$5:$AD$17,1),$AD$5:$AI$17,6,FALSE)</f>
        <v>Solar PV</v>
      </c>
      <c r="AE20" s="100" t="str">
        <f>VLOOKUP(SMALL($AE$5:$AE$17,1),$AE$5:$AI$17,5,FALSE)</f>
        <v>Solar PV</v>
      </c>
      <c r="AF20" s="100" t="str">
        <f>VLOOKUP(SMALL($AF$5:$AF$17,1),$AF$5:$AI$17,4,FALSE)</f>
        <v>Solar PV</v>
      </c>
      <c r="AG20" s="100" t="str">
        <f>VLOOKUP(SMALL($AG$5:$AG$17,1),$AG$5:$AI$17,3,FALSE)</f>
        <v>Solar PV</v>
      </c>
      <c r="AH20" s="100" t="str">
        <f>VLOOKUP(SMALL($AH$5:$AH$17,1),$AH$5:$AI$17,2,FALSE)</f>
        <v>Solar PV</v>
      </c>
      <c r="AI20" s="1"/>
    </row>
    <row r="21" spans="2:35">
      <c r="B21" s="71">
        <v>2</v>
      </c>
      <c r="C21" s="100" t="str">
        <f>VLOOKUP(SMALL($C$5:$C$17,2),$C$5:$AI$17,33,FALSE)</f>
        <v>Gas - CC</v>
      </c>
      <c r="D21" s="100" t="str">
        <f>VLOOKUP(SMALL($D$5:$D$17,2),$D$5:$AI$17,32,FALSE)</f>
        <v>Gas - CC</v>
      </c>
      <c r="E21" s="100" t="str">
        <f>VLOOKUP(SMALL($E$5:$E$17,2),$E$5:$AI$17,31,FALSE)</f>
        <v>Gas - CC</v>
      </c>
      <c r="F21" s="100" t="str">
        <f>VLOOKUP(SMALL($F$5:$F$17,2),$F$5:$AI$17,30,FALSE)</f>
        <v>Gas - CC</v>
      </c>
      <c r="G21" s="100" t="str">
        <f>VLOOKUP(SMALL($G$5:$G$17,2),$G$5:$AI$17,29,FALSE)</f>
        <v>Gas - CC</v>
      </c>
      <c r="H21" s="100" t="str">
        <f>VLOOKUP(SMALL($H$5:$H$17,2),$H$5:$AI$17,28,FALSE)</f>
        <v>Gas - CC</v>
      </c>
      <c r="I21" s="100" t="str">
        <f>VLOOKUP(SMALL($I$5:$I$17,2),$I$5:$AI$17,27,FALSE)</f>
        <v>Gas - CC</v>
      </c>
      <c r="J21" s="100" t="str">
        <f>VLOOKUP(SMALL($J$5:$J$17,2),$J$5:$AI$17,26,FALSE)</f>
        <v>Gas - CC</v>
      </c>
      <c r="K21" s="100" t="str">
        <f>VLOOKUP(SMALL($K$5:$K$17,2),$K$5:$AI$17,25,FALSE)</f>
        <v>Gas - CC</v>
      </c>
      <c r="L21" s="100" t="str">
        <f>VLOOKUP(SMALL($L$5:$L$17,2),$L$5:$AI$17,24,FALSE)</f>
        <v>Solar PV</v>
      </c>
      <c r="M21" s="100" t="str">
        <f>VLOOKUP(SMALL($M$5:$M$17,2),$M$5:$AI$17,23,FALSE)</f>
        <v>Solar PV</v>
      </c>
      <c r="N21" s="100" t="str">
        <f>VLOOKUP(SMALL($N$5:$N$17,2),$N$5:$AI$17,22,FALSE)</f>
        <v>Gas - CT</v>
      </c>
      <c r="O21" s="100" t="str">
        <f>VLOOKUP(SMALL($O$5:$O$17,2),$O$5:$AI$17,21,FALSE)</f>
        <v>Gas - CT</v>
      </c>
      <c r="P21" s="100" t="str">
        <f>VLOOKUP(SMALL($P$5:$P$17,2),$P$5:$AI$17,20,FALSE)</f>
        <v>Gas - CT</v>
      </c>
      <c r="Q21" s="100" t="str">
        <f>VLOOKUP(SMALL($Q$5:$Q$17,2),$Q$5:$AI$17,19,FALSE)</f>
        <v>Gas - CT</v>
      </c>
      <c r="R21" s="100" t="str">
        <f>VLOOKUP(SMALL($R$5:$R$17,2),$R$5:$AI$17,18,FALSE)</f>
        <v>Gas - CT</v>
      </c>
      <c r="S21" s="100" t="str">
        <f>VLOOKUP(SMALL($S$5:$S$17,2),$S$5:$AI$17,17,FALSE)</f>
        <v>Gas - CT</v>
      </c>
      <c r="T21" s="100" t="str">
        <f>VLOOKUP(SMALL($T$5:$T$17,2),$T$5:$AI$17,16,FALSE)</f>
        <v>Gas - CT</v>
      </c>
      <c r="U21" s="100" t="str">
        <f>VLOOKUP(SMALL($U$5:$U$17,2),$U$5:$AI$17,15,FALSE)</f>
        <v>Gas - CT</v>
      </c>
      <c r="V21" s="100" t="str">
        <f>VLOOKUP(SMALL($V$5:$V$17,2),$V$5:$AI$17,14,FALSE)</f>
        <v>Gas - CT</v>
      </c>
      <c r="W21" s="100" t="str">
        <f>VLOOKUP(SMALL($W$5:$W$17,2),$W$5:$AI$17,13,FALSE)</f>
        <v>Gas - CT</v>
      </c>
      <c r="X21" s="100" t="str">
        <f>VLOOKUP(SMALL($X$5:$X$17,2),$X$5:$AI$17,12,FALSE)</f>
        <v>Gas - CT</v>
      </c>
      <c r="Y21" s="100" t="str">
        <f>VLOOKUP(SMALL($Y$5:$Y$17,2),$Y$5:$AI$17,11,FALSE)</f>
        <v>Gas - CT</v>
      </c>
      <c r="Z21" s="100" t="str">
        <f>VLOOKUP(SMALL($Z$5:$Z$17,2),$Z$5:$AI$17,10,FALSE)</f>
        <v>Gas - CT</v>
      </c>
      <c r="AA21" s="100" t="str">
        <f>VLOOKUP(SMALL($AA$5:$AA$17,2),$AA$5:$AI$17,9,FALSE)</f>
        <v>Gas - CT</v>
      </c>
      <c r="AB21" s="100" t="str">
        <f>VLOOKUP(SMALL($AB$5:$AB$17,2),$AB$5:$AI$17,8,FALSE)</f>
        <v>Gas - CT</v>
      </c>
      <c r="AC21" s="100" t="str">
        <f>VLOOKUP(SMALL($AC$5:$AC$17,2),$AC$5:$AI$17,7,FALSE)</f>
        <v>Gas - CT</v>
      </c>
      <c r="AD21" s="100" t="str">
        <f>VLOOKUP(SMALL($AD$5:$AD$17,2),$AD$5:$AI$17,6,FALSE)</f>
        <v>Gas - CT</v>
      </c>
      <c r="AE21" s="100" t="str">
        <f>VLOOKUP(SMALL($AE$5:$AE$17,2),$AE$5:$AI$17,5,FALSE)</f>
        <v>Gas - CT</v>
      </c>
      <c r="AF21" s="100" t="str">
        <f>VLOOKUP(SMALL($AF$5:$AF$17,2),$AF$5:$AI$17,4,FALSE)</f>
        <v>Gas - CT</v>
      </c>
      <c r="AG21" s="100" t="str">
        <f>VLOOKUP(SMALL($AG$5:$AG$17,2),$AG$5:$AI$17,3,FALSE)</f>
        <v>Gas - CT</v>
      </c>
      <c r="AH21" s="100" t="str">
        <f>VLOOKUP(SMALL($AH$5:$AH$17,2),$AH$5:$AI$17,2,FALSE)</f>
        <v>Gas - CT</v>
      </c>
      <c r="AI21" s="1"/>
    </row>
    <row r="22" spans="2:35">
      <c r="B22" s="71">
        <v>3</v>
      </c>
      <c r="C22" s="100" t="str">
        <f>VLOOKUP(SMALL($C$5:$C$17,3),$C$5:$AI$17,33,FALSE)</f>
        <v>Wind On</v>
      </c>
      <c r="D22" s="100" t="str">
        <f>VLOOKUP(SMALL($D$5:$D$17,3),$D$5:$AI$17,32,FALSE)</f>
        <v>Wind On</v>
      </c>
      <c r="E22" s="100" t="str">
        <f>VLOOKUP(SMALL($E$5:$E$17,3),$E$5:$AI$17,31,FALSE)</f>
        <v>Solar PV</v>
      </c>
      <c r="F22" s="100" t="str">
        <f>VLOOKUP(SMALL($F$5:$F$17,3),$F$5:$AI$17,30,FALSE)</f>
        <v>Solar PV</v>
      </c>
      <c r="G22" s="100" t="str">
        <f>VLOOKUP(SMALL($G$5:$G$17,3),$G$5:$AI$17,29,FALSE)</f>
        <v>Solar PV</v>
      </c>
      <c r="H22" s="100" t="str">
        <f>VLOOKUP(SMALL($H$5:$H$17,3),$H$5:$AI$17,28,FALSE)</f>
        <v>Solar PV</v>
      </c>
      <c r="I22" s="100" t="str">
        <f>VLOOKUP(SMALL($I$5:$I$17,3),$I$5:$AI$17,27,FALSE)</f>
        <v>Solar PV</v>
      </c>
      <c r="J22" s="100" t="str">
        <f>VLOOKUP(SMALL($J$5:$J$17,3),$J$5:$AI$17,26,FALSE)</f>
        <v>Solar PV</v>
      </c>
      <c r="K22" s="100" t="str">
        <f>VLOOKUP(SMALL($K$5:$K$17,3),$K$5:$AI$17,25,FALSE)</f>
        <v>Solar PV</v>
      </c>
      <c r="L22" s="100" t="str">
        <f>VLOOKUP(SMALL($L$5:$L$17,3),$L$5:$AI$17,24,FALSE)</f>
        <v>Gas - CC</v>
      </c>
      <c r="M22" s="100" t="str">
        <f>VLOOKUP(SMALL($M$5:$M$17,3),$M$5:$AI$17,23,FALSE)</f>
        <v>Gas - CC</v>
      </c>
      <c r="N22" s="100" t="str">
        <f>VLOOKUP(SMALL($N$5:$N$17,3),$N$5:$AI$17,22,FALSE)</f>
        <v>Gas - CC</v>
      </c>
      <c r="O22" s="100" t="str">
        <f>VLOOKUP(SMALL($O$5:$O$17,3),$O$5:$AI$17,21,FALSE)</f>
        <v>Gas - CC</v>
      </c>
      <c r="P22" s="100" t="str">
        <f>VLOOKUP(SMALL($P$5:$P$17,3),$P$5:$AI$17,20,FALSE)</f>
        <v>Gas - CC</v>
      </c>
      <c r="Q22" s="100" t="str">
        <f>VLOOKUP(SMALL($Q$5:$Q$17,3),$Q$5:$AI$17,19,FALSE)</f>
        <v>Gas - CC</v>
      </c>
      <c r="R22" s="100" t="str">
        <f>VLOOKUP(SMALL($R$5:$R$17,3),$R$5:$AI$17,18,FALSE)</f>
        <v>Gas - CC</v>
      </c>
      <c r="S22" s="100" t="str">
        <f>VLOOKUP(SMALL($S$5:$S$17,3),$S$5:$AI$17,17,FALSE)</f>
        <v>Gas - CC</v>
      </c>
      <c r="T22" s="100" t="str">
        <f>VLOOKUP(SMALL($T$5:$T$17,3),$T$5:$AI$17,16,FALSE)</f>
        <v>Gas - CC</v>
      </c>
      <c r="U22" s="100" t="str">
        <f>VLOOKUP(SMALL($U$5:$U$17,3),$U$5:$AI$17,15,FALSE)</f>
        <v>Gas - CC</v>
      </c>
      <c r="V22" s="100" t="str">
        <f>VLOOKUP(SMALL($V$5:$V$17,3),$V$5:$AI$17,14,FALSE)</f>
        <v>Gas - CC</v>
      </c>
      <c r="W22" s="100" t="str">
        <f>VLOOKUP(SMALL($W$5:$W$17,3),$W$5:$AI$17,13,FALSE)</f>
        <v>Gas - CC</v>
      </c>
      <c r="X22" s="100" t="str">
        <f>VLOOKUP(SMALL($X$5:$X$17,3),$X$5:$AI$17,12,FALSE)</f>
        <v>Gas - CC</v>
      </c>
      <c r="Y22" s="100" t="str">
        <f>VLOOKUP(SMALL($Y$5:$Y$17,3),$Y$5:$AI$17,11,FALSE)</f>
        <v>Gas - CC</v>
      </c>
      <c r="Z22" s="100" t="str">
        <f>VLOOKUP(SMALL($Z$5:$Z$17,3),$Z$5:$AI$17,10,FALSE)</f>
        <v>Gas - CC</v>
      </c>
      <c r="AA22" s="100" t="str">
        <f>VLOOKUP(SMALL($AA$5:$AA$17,3),$AA$5:$AI$17,9,FALSE)</f>
        <v>Gas - CC</v>
      </c>
      <c r="AB22" s="100" t="str">
        <f>VLOOKUP(SMALL($AB$5:$AB$17,3),$AB$5:$AI$17,8,FALSE)</f>
        <v>Gas - CC</v>
      </c>
      <c r="AC22" s="100" t="str">
        <f>VLOOKUP(SMALL($AC$5:$AC$17,3),$AC$5:$AI$17,7,FALSE)</f>
        <v>Gas - CC</v>
      </c>
      <c r="AD22" s="100" t="str">
        <f>VLOOKUP(SMALL($AD$5:$AD$17,3),$AD$5:$AI$17,6,FALSE)</f>
        <v>Gas - CC</v>
      </c>
      <c r="AE22" s="100" t="str">
        <f>VLOOKUP(SMALL($AE$5:$AE$17,3),$AE$5:$AI$17,5,FALSE)</f>
        <v>Gas - CC</v>
      </c>
      <c r="AF22" s="100" t="str">
        <f>VLOOKUP(SMALL($AF$5:$AF$17,3),$AF$5:$AI$17,4,FALSE)</f>
        <v>Gas - CC</v>
      </c>
      <c r="AG22" s="100" t="str">
        <f>VLOOKUP(SMALL($AG$5:$AG$17,3),$AG$5:$AI$17,3,FALSE)</f>
        <v>Gas - CC</v>
      </c>
      <c r="AH22" s="100" t="str">
        <f>VLOOKUP(SMALL($AH$5:$AH$17,3),$AH$5:$AI$17,2,FALSE)</f>
        <v>Gas - CC</v>
      </c>
      <c r="AI22" s="1"/>
    </row>
    <row r="23" spans="2:35">
      <c r="B23" s="71">
        <v>4</v>
      </c>
      <c r="C23" s="100" t="str">
        <f>VLOOKUP(SMALL($C$5:$C$17,4),$C$5:$AI$17,33,FALSE)</f>
        <v>Solar PV</v>
      </c>
      <c r="D23" s="100" t="str">
        <f>VLOOKUP(SMALL($D$5:$D$17,4),$D$5:$AI$17,32,FALSE)</f>
        <v>Solar PV</v>
      </c>
      <c r="E23" s="100" t="str">
        <f>VLOOKUP(SMALL($E$5:$E$17,4),$E$5:$AI$17,31,FALSE)</f>
        <v>Wind On</v>
      </c>
      <c r="F23" s="100" t="str">
        <f>VLOOKUP(SMALL($F$5:$F$17,4),$F$5:$AI$17,30,FALSE)</f>
        <v>Wind On</v>
      </c>
      <c r="G23" s="100" t="str">
        <f>VLOOKUP(SMALL($G$5:$G$17,4),$G$5:$AI$17,29,FALSE)</f>
        <v>Wind On</v>
      </c>
      <c r="H23" s="100" t="str">
        <f>VLOOKUP(SMALL($H$5:$H$17,4),$H$5:$AI$17,28,FALSE)</f>
        <v>Wind On</v>
      </c>
      <c r="I23" s="100" t="str">
        <f>VLOOKUP(SMALL($I$5:$I$17,4),$I$5:$AI$17,27,FALSE)</f>
        <v>Wind On</v>
      </c>
      <c r="J23" s="100" t="str">
        <f>VLOOKUP(SMALL($J$5:$J$17,4),$J$5:$AI$17,26,FALSE)</f>
        <v>Wind On</v>
      </c>
      <c r="K23" s="100" t="str">
        <f>VLOOKUP(SMALL($K$5:$K$17,4),$K$5:$AI$17,25,FALSE)</f>
        <v>Wind On</v>
      </c>
      <c r="L23" s="100" t="str">
        <f>VLOOKUP(SMALL($L$5:$L$17,4),$L$5:$AI$17,24,FALSE)</f>
        <v>Wind On</v>
      </c>
      <c r="M23" s="100" t="str">
        <f>VLOOKUP(SMALL($M$5:$M$17,4),$M$5:$AI$17,23,FALSE)</f>
        <v>Wind On</v>
      </c>
      <c r="N23" s="100" t="str">
        <f>VLOOKUP(SMALL($N$5:$N$17,4),$N$5:$AI$17,22,FALSE)</f>
        <v>Wind On</v>
      </c>
      <c r="O23" s="100" t="str">
        <f>VLOOKUP(SMALL($O$5:$O$17,4),$O$5:$AI$17,21,FALSE)</f>
        <v>Wind On</v>
      </c>
      <c r="P23" s="100" t="str">
        <f>VLOOKUP(SMALL($P$5:$P$17,4),$P$5:$AI$17,20,FALSE)</f>
        <v>Wind On</v>
      </c>
      <c r="Q23" s="100" t="str">
        <f>VLOOKUP(SMALL($Q$5:$Q$17,4),$Q$5:$AI$17,19,FALSE)</f>
        <v>Wind On</v>
      </c>
      <c r="R23" s="100" t="str">
        <f>VLOOKUP(SMALL($R$5:$R$17,4),$R$5:$AI$17,18,FALSE)</f>
        <v>Wind On</v>
      </c>
      <c r="S23" s="100" t="str">
        <f>VLOOKUP(SMALL($S$5:$S$17,4),$S$5:$AI$17,17,FALSE)</f>
        <v>Wind On</v>
      </c>
      <c r="T23" s="100" t="str">
        <f>VLOOKUP(SMALL($T$5:$T$17,4),$T$5:$AI$17,16,FALSE)</f>
        <v>Wind On</v>
      </c>
      <c r="U23" s="100" t="str">
        <f>VLOOKUP(SMALL($U$5:$U$17,4),$U$5:$AI$17,15,FALSE)</f>
        <v>Wind On</v>
      </c>
      <c r="V23" s="100" t="str">
        <f>VLOOKUP(SMALL($V$5:$V$17,4),$V$5:$AI$17,14,FALSE)</f>
        <v>Wind On</v>
      </c>
      <c r="W23" s="100" t="str">
        <f>VLOOKUP(SMALL($W$5:$W$17,4),$W$5:$AI$17,13,FALSE)</f>
        <v>Wind On</v>
      </c>
      <c r="X23" s="100" t="str">
        <f>VLOOKUP(SMALL($X$5:$X$17,4),$X$5:$AI$17,12,FALSE)</f>
        <v>Wind On</v>
      </c>
      <c r="Y23" s="100" t="str">
        <f>VLOOKUP(SMALL($Y$5:$Y$17,4),$Y$5:$AI$17,11,FALSE)</f>
        <v>Wind On</v>
      </c>
      <c r="Z23" s="100" t="str">
        <f>VLOOKUP(SMALL($Z$5:$Z$17,4),$Z$5:$AI$17,10,FALSE)</f>
        <v>Wind On</v>
      </c>
      <c r="AA23" s="100" t="str">
        <f>VLOOKUP(SMALL($AA$5:$AA$17,4),$AA$5:$AI$17,9,FALSE)</f>
        <v>Wind On</v>
      </c>
      <c r="AB23" s="100" t="str">
        <f>VLOOKUP(SMALL($AB$5:$AB$17,4),$AB$5:$AI$17,8,FALSE)</f>
        <v>Wind On</v>
      </c>
      <c r="AC23" s="100" t="str">
        <f>VLOOKUP(SMALL($AC$5:$AC$17,4),$AC$5:$AI$17,7,FALSE)</f>
        <v>Wind On</v>
      </c>
      <c r="AD23" s="100" t="str">
        <f>VLOOKUP(SMALL($AD$5:$AD$17,4),$AD$5:$AI$17,6,FALSE)</f>
        <v>Wind On</v>
      </c>
      <c r="AE23" s="100" t="str">
        <f>VLOOKUP(SMALL($AE$5:$AE$17,4),$AE$5:$AI$17,5,FALSE)</f>
        <v>Gas CCS</v>
      </c>
      <c r="AF23" s="100" t="str">
        <f>VLOOKUP(SMALL($AF$5:$AF$17,4),$AF$5:$AI$17,4,FALSE)</f>
        <v>Gas CCS</v>
      </c>
      <c r="AG23" s="100" t="str">
        <f>VLOOKUP(SMALL($AG$5:$AG$17,4),$AG$5:$AI$17,3,FALSE)</f>
        <v>Gas CCS</v>
      </c>
      <c r="AH23" s="100" t="str">
        <f>VLOOKUP(SMALL($AH$5:$AH$17,4),$AH$5:$AI$17,2,FALSE)</f>
        <v>Gas CCS</v>
      </c>
      <c r="AI23" s="1"/>
    </row>
    <row r="24" spans="2:35">
      <c r="B24" s="71">
        <v>5</v>
      </c>
      <c r="C24" s="100" t="str">
        <f>VLOOKUP(SMALL($C$5:$C$17,5),$C$5:$AI$17,33,FALSE)</f>
        <v>Gas CCS</v>
      </c>
      <c r="D24" s="100" t="str">
        <f>VLOOKUP(SMALL($D$5:$D$17,5),$D$5:$AI$17,32,FALSE)</f>
        <v>Gas CCS</v>
      </c>
      <c r="E24" s="100" t="str">
        <f>VLOOKUP(SMALL($E$5:$E$17,5),$E$5:$AI$17,31,FALSE)</f>
        <v>Gas CCS</v>
      </c>
      <c r="F24" s="100" t="str">
        <f>VLOOKUP(SMALL($F$5:$F$17,5),$F$5:$AI$17,30,FALSE)</f>
        <v>Gas CCS</v>
      </c>
      <c r="G24" s="100" t="str">
        <f>VLOOKUP(SMALL($G$5:$G$17,5),$G$5:$AI$17,29,FALSE)</f>
        <v>Gas CCS</v>
      </c>
      <c r="H24" s="100" t="str">
        <f>VLOOKUP(SMALL($H$5:$H$17,5),$H$5:$AI$17,28,FALSE)</f>
        <v>Gas CCS</v>
      </c>
      <c r="I24" s="100" t="str">
        <f>VLOOKUP(SMALL($I$5:$I$17,5),$I$5:$AI$17,27,FALSE)</f>
        <v>Gas CCS</v>
      </c>
      <c r="J24" s="100" t="str">
        <f>VLOOKUP(SMALL($J$5:$J$17,5),$J$5:$AI$17,26,FALSE)</f>
        <v>Gas CCS</v>
      </c>
      <c r="K24" s="100" t="str">
        <f>VLOOKUP(SMALL($K$5:$K$17,5),$K$5:$AI$17,25,FALSE)</f>
        <v>Gas CCS</v>
      </c>
      <c r="L24" s="100" t="str">
        <f>VLOOKUP(SMALL($L$5:$L$17,5),$L$5:$AI$17,24,FALSE)</f>
        <v>Gas CCS</v>
      </c>
      <c r="M24" s="100" t="str">
        <f>VLOOKUP(SMALL($M$5:$M$17,5),$M$5:$AI$17,23,FALSE)</f>
        <v>Gas CCS</v>
      </c>
      <c r="N24" s="100" t="str">
        <f>VLOOKUP(SMALL($N$5:$N$17,5),$N$5:$AI$17,22,FALSE)</f>
        <v>Gas CCS</v>
      </c>
      <c r="O24" s="100" t="str">
        <f>VLOOKUP(SMALL($O$5:$O$17,5),$O$5:$AI$17,21,FALSE)</f>
        <v>Gas CCS</v>
      </c>
      <c r="P24" s="100" t="str">
        <f>VLOOKUP(SMALL($P$5:$P$17,5),$P$5:$AI$17,20,FALSE)</f>
        <v>Gas CCS</v>
      </c>
      <c r="Q24" s="100" t="str">
        <f>VLOOKUP(SMALL($Q$5:$Q$17,5),$Q$5:$AI$17,19,FALSE)</f>
        <v>Gas CCS</v>
      </c>
      <c r="R24" s="100" t="str">
        <f>VLOOKUP(SMALL($R$5:$R$17,5),$R$5:$AI$17,18,FALSE)</f>
        <v>Gas CCS</v>
      </c>
      <c r="S24" s="100" t="str">
        <f>VLOOKUP(SMALL($S$5:$S$17,5),$S$5:$AI$17,17,FALSE)</f>
        <v>Gas CCS</v>
      </c>
      <c r="T24" s="100" t="str">
        <f>VLOOKUP(SMALL($T$5:$T$17,5),$T$5:$AI$17,16,FALSE)</f>
        <v>Gas CCS</v>
      </c>
      <c r="U24" s="100" t="str">
        <f>VLOOKUP(SMALL($U$5:$U$17,5),$U$5:$AI$17,15,FALSE)</f>
        <v>Gas CCS</v>
      </c>
      <c r="V24" s="100" t="str">
        <f>VLOOKUP(SMALL($V$5:$V$17,5),$V$5:$AI$17,14,FALSE)</f>
        <v>Gas CCS</v>
      </c>
      <c r="W24" s="100" t="str">
        <f>VLOOKUP(SMALL($W$5:$W$17,5),$W$5:$AI$17,13,FALSE)</f>
        <v>Gas CCS</v>
      </c>
      <c r="X24" s="100" t="str">
        <f>VLOOKUP(SMALL($X$5:$X$17,5),$X$5:$AI$17,12,FALSE)</f>
        <v>Gas CCS</v>
      </c>
      <c r="Y24" s="100" t="str">
        <f>VLOOKUP(SMALL($Y$5:$Y$17,5),$Y$5:$AI$17,11,FALSE)</f>
        <v>Gas CCS</v>
      </c>
      <c r="Z24" s="100" t="str">
        <f>VLOOKUP(SMALL($Z$5:$Z$17,5),$Z$5:$AI$17,10,FALSE)</f>
        <v>Gas CCS</v>
      </c>
      <c r="AA24" s="100" t="str">
        <f>VLOOKUP(SMALL($AA$5:$AA$17,5),$AA$5:$AI$17,9,FALSE)</f>
        <v>Gas CCS</v>
      </c>
      <c r="AB24" s="100" t="str">
        <f>VLOOKUP(SMALL($AB$5:$AB$17,5),$AB$5:$AI$17,8,FALSE)</f>
        <v>Gas CCS</v>
      </c>
      <c r="AC24" s="100" t="str">
        <f>VLOOKUP(SMALL($AC$5:$AC$17,5),$AC$5:$AI$17,7,FALSE)</f>
        <v>Gas CCS</v>
      </c>
      <c r="AD24" s="100" t="str">
        <f>VLOOKUP(SMALL($AD$5:$AD$17,5),$AD$5:$AI$17,6,FALSE)</f>
        <v>Gas CCS</v>
      </c>
      <c r="AE24" s="100" t="str">
        <f>VLOOKUP(SMALL($AE$5:$AE$17,5),$AE$5:$AI$17,5,FALSE)</f>
        <v>Wind On</v>
      </c>
      <c r="AF24" s="100" t="str">
        <f>VLOOKUP(SMALL($AF$5:$AF$17,5),$AF$5:$AI$17,4,FALSE)</f>
        <v>Wind On</v>
      </c>
      <c r="AG24" s="100" t="str">
        <f>VLOOKUP(SMALL($AG$5:$AG$17,5),$AG$5:$AI$17,3,FALSE)</f>
        <v>Wind On</v>
      </c>
      <c r="AH24" s="100" t="str">
        <f>VLOOKUP(SMALL($AH$5:$AH$17,5),$AH$5:$AI$17,2,FALSE)</f>
        <v>Wind On</v>
      </c>
      <c r="AI24" s="1"/>
    </row>
    <row r="25" spans="2:35">
      <c r="B25" s="51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1"/>
    </row>
    <row r="26" spans="2:35">
      <c r="B26" s="71" t="s">
        <v>122</v>
      </c>
      <c r="C26" s="71">
        <v>2019</v>
      </c>
      <c r="D26" s="71">
        <v>2020</v>
      </c>
      <c r="E26" s="71">
        <v>2021</v>
      </c>
      <c r="F26" s="71">
        <v>2022</v>
      </c>
      <c r="G26" s="71">
        <v>2023</v>
      </c>
      <c r="H26" s="71">
        <v>2024</v>
      </c>
      <c r="I26" s="71">
        <v>2025</v>
      </c>
      <c r="J26" s="71">
        <v>2026</v>
      </c>
      <c r="K26" s="71">
        <v>2027</v>
      </c>
      <c r="L26" s="71">
        <v>2028</v>
      </c>
      <c r="M26" s="71">
        <v>2029</v>
      </c>
      <c r="N26" s="71">
        <v>2030</v>
      </c>
      <c r="O26" s="71">
        <v>2031</v>
      </c>
      <c r="P26" s="71">
        <v>2032</v>
      </c>
      <c r="Q26" s="71">
        <v>2033</v>
      </c>
      <c r="R26" s="71">
        <v>2034</v>
      </c>
      <c r="S26" s="71">
        <v>2035</v>
      </c>
      <c r="T26" s="71">
        <v>2036</v>
      </c>
      <c r="U26" s="71">
        <v>2037</v>
      </c>
      <c r="V26" s="71">
        <v>2038</v>
      </c>
      <c r="W26" s="71">
        <v>2039</v>
      </c>
      <c r="X26" s="71">
        <v>2040</v>
      </c>
      <c r="Y26" s="71">
        <v>2041</v>
      </c>
      <c r="Z26" s="71">
        <v>2042</v>
      </c>
      <c r="AA26" s="71">
        <v>2043</v>
      </c>
      <c r="AB26" s="71">
        <v>2044</v>
      </c>
      <c r="AC26" s="71">
        <v>2045</v>
      </c>
      <c r="AD26" s="71">
        <v>2046</v>
      </c>
      <c r="AE26" s="71">
        <v>2047</v>
      </c>
      <c r="AF26" s="71">
        <v>2048</v>
      </c>
      <c r="AG26" s="71">
        <v>2049</v>
      </c>
      <c r="AH26" s="71">
        <v>2050</v>
      </c>
      <c r="AI26" s="1"/>
    </row>
    <row r="27" spans="2:35">
      <c r="B27" s="71">
        <v>1</v>
      </c>
      <c r="C27" s="100">
        <f>SMALL($C$5:$C$17,1)</f>
        <v>902</v>
      </c>
      <c r="D27" s="100">
        <f>(SMALL($D$5:$D$17,1))</f>
        <v>897.4545454545455</v>
      </c>
      <c r="E27" s="100">
        <f>SMALL($E$5:$E$17,1)</f>
        <v>892.90909090909088</v>
      </c>
      <c r="F27" s="100">
        <f>SMALL($F$5:$F$17,1)</f>
        <v>888.36363636363637</v>
      </c>
      <c r="G27" s="100">
        <f t="shared" ref="G27:AH27" si="0">SMALL(G5:G17,1)</f>
        <v>883.81818181818187</v>
      </c>
      <c r="H27" s="100">
        <f t="shared" si="0"/>
        <v>879.27272727272725</v>
      </c>
      <c r="I27" s="100">
        <f t="shared" si="0"/>
        <v>874.72727272727275</v>
      </c>
      <c r="J27" s="100">
        <f t="shared" si="0"/>
        <v>870.18181818181813</v>
      </c>
      <c r="K27" s="100">
        <f t="shared" si="0"/>
        <v>865.63636363636363</v>
      </c>
      <c r="L27" s="100">
        <f t="shared" si="0"/>
        <v>861.09090909090912</v>
      </c>
      <c r="M27" s="100">
        <f t="shared" si="0"/>
        <v>856.5454545454545</v>
      </c>
      <c r="N27" s="100">
        <f t="shared" si="0"/>
        <v>821</v>
      </c>
      <c r="O27" s="100">
        <f t="shared" si="0"/>
        <v>813.4</v>
      </c>
      <c r="P27" s="100">
        <f t="shared" si="0"/>
        <v>805.8</v>
      </c>
      <c r="Q27" s="100">
        <f t="shared" si="0"/>
        <v>798.2</v>
      </c>
      <c r="R27" s="100">
        <f t="shared" si="0"/>
        <v>790.6</v>
      </c>
      <c r="S27" s="100">
        <f t="shared" si="0"/>
        <v>783</v>
      </c>
      <c r="T27" s="100">
        <f t="shared" si="0"/>
        <v>775.4</v>
      </c>
      <c r="U27" s="100">
        <f t="shared" si="0"/>
        <v>767.8</v>
      </c>
      <c r="V27" s="100">
        <f t="shared" si="0"/>
        <v>760.2</v>
      </c>
      <c r="W27" s="100">
        <f t="shared" si="0"/>
        <v>752.6</v>
      </c>
      <c r="X27" s="100">
        <f t="shared" si="0"/>
        <v>745</v>
      </c>
      <c r="Y27" s="100">
        <f t="shared" si="0"/>
        <v>737.4</v>
      </c>
      <c r="Z27" s="100">
        <f t="shared" si="0"/>
        <v>729.8</v>
      </c>
      <c r="AA27" s="100">
        <f t="shared" si="0"/>
        <v>722.2</v>
      </c>
      <c r="AB27" s="100">
        <f t="shared" si="0"/>
        <v>714.6</v>
      </c>
      <c r="AC27" s="100">
        <f t="shared" si="0"/>
        <v>707</v>
      </c>
      <c r="AD27" s="100">
        <f t="shared" si="0"/>
        <v>699.4</v>
      </c>
      <c r="AE27" s="100">
        <f t="shared" si="0"/>
        <v>691.8</v>
      </c>
      <c r="AF27" s="100">
        <f t="shared" si="0"/>
        <v>684.2</v>
      </c>
      <c r="AG27" s="100">
        <f t="shared" si="0"/>
        <v>676.6</v>
      </c>
      <c r="AH27" s="100">
        <f t="shared" si="0"/>
        <v>669</v>
      </c>
      <c r="AI27" s="1"/>
    </row>
    <row r="28" spans="2:35">
      <c r="B28" s="71">
        <v>2</v>
      </c>
      <c r="C28" s="100">
        <f>SMALL($C$5:$C$17,2)</f>
        <v>1054</v>
      </c>
      <c r="D28" s="100">
        <f>(SMALL($D$5:$D$17,2))</f>
        <v>1049.1818181818182</v>
      </c>
      <c r="E28" s="100">
        <f>SMALL($E$5:$E$17,2)</f>
        <v>1044.3636363636363</v>
      </c>
      <c r="F28" s="100">
        <f>SMALL($F$5:$F$17,2)</f>
        <v>1039.5454545454545</v>
      </c>
      <c r="G28" s="100">
        <f t="shared" ref="G28:AH28" si="1">SMALL(G5:G17,2)</f>
        <v>1034.7272727272727</v>
      </c>
      <c r="H28" s="100">
        <f t="shared" si="1"/>
        <v>1029.909090909091</v>
      </c>
      <c r="I28" s="100">
        <f t="shared" si="1"/>
        <v>1025.090909090909</v>
      </c>
      <c r="J28" s="100">
        <f t="shared" si="1"/>
        <v>1020.2727272727273</v>
      </c>
      <c r="K28" s="100">
        <f t="shared" si="1"/>
        <v>1015.4545454545455</v>
      </c>
      <c r="L28" s="100">
        <f t="shared" si="1"/>
        <v>995</v>
      </c>
      <c r="M28" s="100">
        <f t="shared" si="1"/>
        <v>908</v>
      </c>
      <c r="N28" s="100">
        <f t="shared" si="1"/>
        <v>852</v>
      </c>
      <c r="O28" s="100">
        <f t="shared" si="1"/>
        <v>848.7</v>
      </c>
      <c r="P28" s="100">
        <f t="shared" si="1"/>
        <v>845.4</v>
      </c>
      <c r="Q28" s="100">
        <f t="shared" si="1"/>
        <v>842.1</v>
      </c>
      <c r="R28" s="100">
        <f t="shared" si="1"/>
        <v>838.8</v>
      </c>
      <c r="S28" s="100">
        <f t="shared" si="1"/>
        <v>835.5</v>
      </c>
      <c r="T28" s="100">
        <f t="shared" si="1"/>
        <v>832.2</v>
      </c>
      <c r="U28" s="100">
        <f t="shared" si="1"/>
        <v>828.9</v>
      </c>
      <c r="V28" s="100">
        <f t="shared" si="1"/>
        <v>825.6</v>
      </c>
      <c r="W28" s="100">
        <f t="shared" si="1"/>
        <v>822.3</v>
      </c>
      <c r="X28" s="100">
        <f t="shared" si="1"/>
        <v>819</v>
      </c>
      <c r="Y28" s="100">
        <f t="shared" si="1"/>
        <v>815.7</v>
      </c>
      <c r="Z28" s="100">
        <f t="shared" si="1"/>
        <v>812.4</v>
      </c>
      <c r="AA28" s="100">
        <f t="shared" si="1"/>
        <v>809.1</v>
      </c>
      <c r="AB28" s="100">
        <f t="shared" si="1"/>
        <v>805.8</v>
      </c>
      <c r="AC28" s="100">
        <f t="shared" si="1"/>
        <v>802.5</v>
      </c>
      <c r="AD28" s="100">
        <f t="shared" si="1"/>
        <v>799.2</v>
      </c>
      <c r="AE28" s="100">
        <f t="shared" si="1"/>
        <v>795.9</v>
      </c>
      <c r="AF28" s="100">
        <f t="shared" si="1"/>
        <v>792.6</v>
      </c>
      <c r="AG28" s="100">
        <f t="shared" si="1"/>
        <v>789.3</v>
      </c>
      <c r="AH28" s="100">
        <f t="shared" si="1"/>
        <v>786</v>
      </c>
      <c r="AI28" s="1"/>
    </row>
    <row r="29" spans="2:35">
      <c r="B29" s="71">
        <v>3</v>
      </c>
      <c r="C29" s="100">
        <f>SMALL($C$5:$C$17,3)</f>
        <v>1640</v>
      </c>
      <c r="D29" s="100">
        <f>(SMALL($D$5:$D$17,3))</f>
        <v>1643.5454545454545</v>
      </c>
      <c r="E29" s="100">
        <f>SMALL($E$5:$E$17,3)</f>
        <v>1604</v>
      </c>
      <c r="F29" s="100">
        <f>SMALL($F$5:$F$17,3)</f>
        <v>1517</v>
      </c>
      <c r="G29" s="100">
        <f t="shared" ref="G29:AH29" si="2">SMALL(G5:G17,3)</f>
        <v>1430</v>
      </c>
      <c r="H29" s="100">
        <f t="shared" si="2"/>
        <v>1343</v>
      </c>
      <c r="I29" s="100">
        <f t="shared" si="2"/>
        <v>1256</v>
      </c>
      <c r="J29" s="100">
        <f t="shared" si="2"/>
        <v>1169</v>
      </c>
      <c r="K29" s="100">
        <f t="shared" si="2"/>
        <v>1082</v>
      </c>
      <c r="L29" s="100">
        <f t="shared" si="2"/>
        <v>1010.6363636363636</v>
      </c>
      <c r="M29" s="100">
        <f t="shared" si="2"/>
        <v>1005.8181818181819</v>
      </c>
      <c r="N29" s="100">
        <f t="shared" si="2"/>
        <v>1001</v>
      </c>
      <c r="O29" s="100">
        <f t="shared" si="2"/>
        <v>997.3</v>
      </c>
      <c r="P29" s="100">
        <f t="shared" si="2"/>
        <v>993.6</v>
      </c>
      <c r="Q29" s="100">
        <f t="shared" si="2"/>
        <v>989.9</v>
      </c>
      <c r="R29" s="100">
        <f t="shared" si="2"/>
        <v>986.2</v>
      </c>
      <c r="S29" s="100">
        <f t="shared" si="2"/>
        <v>982.5</v>
      </c>
      <c r="T29" s="100">
        <f t="shared" si="2"/>
        <v>978.8</v>
      </c>
      <c r="U29" s="100">
        <f t="shared" si="2"/>
        <v>975.1</v>
      </c>
      <c r="V29" s="100">
        <f t="shared" si="2"/>
        <v>971.4</v>
      </c>
      <c r="W29" s="100">
        <f t="shared" si="2"/>
        <v>967.7</v>
      </c>
      <c r="X29" s="100">
        <f t="shared" si="2"/>
        <v>964</v>
      </c>
      <c r="Y29" s="100">
        <f t="shared" si="2"/>
        <v>960.3</v>
      </c>
      <c r="Z29" s="100">
        <f t="shared" si="2"/>
        <v>956.6</v>
      </c>
      <c r="AA29" s="100">
        <f t="shared" si="2"/>
        <v>952.9</v>
      </c>
      <c r="AB29" s="100">
        <f t="shared" si="2"/>
        <v>949.2</v>
      </c>
      <c r="AC29" s="100">
        <f t="shared" si="2"/>
        <v>945.5</v>
      </c>
      <c r="AD29" s="100">
        <f t="shared" si="2"/>
        <v>941.8</v>
      </c>
      <c r="AE29" s="100">
        <f t="shared" si="2"/>
        <v>938.1</v>
      </c>
      <c r="AF29" s="100">
        <f t="shared" si="2"/>
        <v>934.4</v>
      </c>
      <c r="AG29" s="100">
        <f t="shared" si="2"/>
        <v>930.7</v>
      </c>
      <c r="AH29" s="100">
        <f t="shared" si="2"/>
        <v>927</v>
      </c>
      <c r="AI29" s="1"/>
    </row>
    <row r="30" spans="2:35">
      <c r="B30" s="71">
        <v>4</v>
      </c>
      <c r="C30" s="100">
        <f>SMALL($C$5:$C$17,4)</f>
        <v>1778</v>
      </c>
      <c r="D30" s="100">
        <f>(SMALL($D$5:$D$17,4))</f>
        <v>1691</v>
      </c>
      <c r="E30" s="100">
        <f>SMALL($E$5:$E$17,4)</f>
        <v>1647.090909090909</v>
      </c>
      <c r="F30" s="100">
        <f>SMALL($F$5:$F$17,4)</f>
        <v>1650.6363636363637</v>
      </c>
      <c r="G30" s="100">
        <f t="shared" ref="G30:AH30" si="3">SMALL(G5:G17,4)</f>
        <v>1654.1818181818182</v>
      </c>
      <c r="H30" s="100">
        <f t="shared" si="3"/>
        <v>1657.7272727272727</v>
      </c>
      <c r="I30" s="100">
        <f t="shared" si="3"/>
        <v>1661.2727272727273</v>
      </c>
      <c r="J30" s="100">
        <f t="shared" si="3"/>
        <v>1664.8181818181818</v>
      </c>
      <c r="K30" s="100">
        <f t="shared" si="3"/>
        <v>1668.3636363636363</v>
      </c>
      <c r="L30" s="100">
        <f t="shared" si="3"/>
        <v>1671.909090909091</v>
      </c>
      <c r="M30" s="100">
        <f t="shared" si="3"/>
        <v>1675.4545454545455</v>
      </c>
      <c r="N30" s="100">
        <f t="shared" si="3"/>
        <v>1679</v>
      </c>
      <c r="O30" s="100">
        <f t="shared" si="3"/>
        <v>1682.7750000000001</v>
      </c>
      <c r="P30" s="100">
        <f t="shared" si="3"/>
        <v>1686.55</v>
      </c>
      <c r="Q30" s="100">
        <f t="shared" si="3"/>
        <v>1690.325</v>
      </c>
      <c r="R30" s="100">
        <f t="shared" si="3"/>
        <v>1694.1</v>
      </c>
      <c r="S30" s="100">
        <f t="shared" si="3"/>
        <v>1697.875</v>
      </c>
      <c r="T30" s="100">
        <f t="shared" si="3"/>
        <v>1701.65</v>
      </c>
      <c r="U30" s="100">
        <f t="shared" si="3"/>
        <v>1705.425</v>
      </c>
      <c r="V30" s="100">
        <f t="shared" si="3"/>
        <v>1709.2</v>
      </c>
      <c r="W30" s="100">
        <f t="shared" si="3"/>
        <v>1712.9749999999999</v>
      </c>
      <c r="X30" s="100">
        <f t="shared" si="3"/>
        <v>1716.75</v>
      </c>
      <c r="Y30" s="100">
        <f t="shared" si="3"/>
        <v>1720.5250000000001</v>
      </c>
      <c r="Z30" s="100">
        <f t="shared" si="3"/>
        <v>1724.3</v>
      </c>
      <c r="AA30" s="100">
        <f t="shared" si="3"/>
        <v>1728.075</v>
      </c>
      <c r="AB30" s="100">
        <f t="shared" si="3"/>
        <v>1731.85</v>
      </c>
      <c r="AC30" s="100">
        <f t="shared" si="3"/>
        <v>1735.625</v>
      </c>
      <c r="AD30" s="100">
        <f t="shared" si="3"/>
        <v>1739.4</v>
      </c>
      <c r="AE30" s="100">
        <f t="shared" si="3"/>
        <v>1741.1</v>
      </c>
      <c r="AF30" s="100">
        <f t="shared" si="3"/>
        <v>1726.4</v>
      </c>
      <c r="AG30" s="100">
        <f t="shared" si="3"/>
        <v>1711.7</v>
      </c>
      <c r="AH30" s="100">
        <f t="shared" si="3"/>
        <v>1697</v>
      </c>
      <c r="AI30" s="1"/>
    </row>
    <row r="31" spans="2:35">
      <c r="B31" s="71">
        <v>5</v>
      </c>
      <c r="C31" s="100">
        <f>SMALL($C$5:$C$17,5)</f>
        <v>2201</v>
      </c>
      <c r="D31" s="100">
        <f>(SMALL($D$5:$D$17,5))</f>
        <v>2181.909090909091</v>
      </c>
      <c r="E31" s="100">
        <f>SMALL($E$5:$E$17,5)</f>
        <v>2162.818181818182</v>
      </c>
      <c r="F31" s="100">
        <f>SMALL($F$5:$F$17,5)</f>
        <v>2143.7272727272725</v>
      </c>
      <c r="G31" s="100">
        <f t="shared" ref="G31:AH31" si="4">SMALL(G5:G17,5)</f>
        <v>2124.6363636363635</v>
      </c>
      <c r="H31" s="100">
        <f t="shared" si="4"/>
        <v>2105.5454545454545</v>
      </c>
      <c r="I31" s="100">
        <f t="shared" si="4"/>
        <v>2086.4545454545455</v>
      </c>
      <c r="J31" s="100">
        <f t="shared" si="4"/>
        <v>2067.3636363636365</v>
      </c>
      <c r="K31" s="100">
        <f t="shared" si="4"/>
        <v>2048.2727272727275</v>
      </c>
      <c r="L31" s="100">
        <f t="shared" si="4"/>
        <v>2029.1818181818182</v>
      </c>
      <c r="M31" s="100">
        <f t="shared" si="4"/>
        <v>2010.090909090909</v>
      </c>
      <c r="N31" s="100">
        <f t="shared" si="4"/>
        <v>1991</v>
      </c>
      <c r="O31" s="100">
        <f t="shared" si="4"/>
        <v>1976.3</v>
      </c>
      <c r="P31" s="100">
        <f t="shared" si="4"/>
        <v>1961.6</v>
      </c>
      <c r="Q31" s="100">
        <f t="shared" si="4"/>
        <v>1946.9</v>
      </c>
      <c r="R31" s="100">
        <f t="shared" si="4"/>
        <v>1932.2</v>
      </c>
      <c r="S31" s="100">
        <f t="shared" si="4"/>
        <v>1917.5</v>
      </c>
      <c r="T31" s="100">
        <f t="shared" si="4"/>
        <v>1902.8</v>
      </c>
      <c r="U31" s="100">
        <f t="shared" si="4"/>
        <v>1888.1</v>
      </c>
      <c r="V31" s="100">
        <f t="shared" si="4"/>
        <v>1873.4</v>
      </c>
      <c r="W31" s="100">
        <f t="shared" si="4"/>
        <v>1858.7</v>
      </c>
      <c r="X31" s="100">
        <f t="shared" si="4"/>
        <v>1844</v>
      </c>
      <c r="Y31" s="100">
        <f t="shared" si="4"/>
        <v>1829.3</v>
      </c>
      <c r="Z31" s="100">
        <f t="shared" si="4"/>
        <v>1814.6</v>
      </c>
      <c r="AA31" s="100">
        <f t="shared" si="4"/>
        <v>1799.9</v>
      </c>
      <c r="AB31" s="100">
        <f t="shared" si="4"/>
        <v>1785.2</v>
      </c>
      <c r="AC31" s="100">
        <f t="shared" si="4"/>
        <v>1770.5</v>
      </c>
      <c r="AD31" s="100">
        <f t="shared" si="4"/>
        <v>1755.8</v>
      </c>
      <c r="AE31" s="100">
        <f t="shared" si="4"/>
        <v>1743.175</v>
      </c>
      <c r="AF31" s="100">
        <f t="shared" si="4"/>
        <v>1746.95</v>
      </c>
      <c r="AG31" s="100">
        <f t="shared" si="4"/>
        <v>1750.7249999999999</v>
      </c>
      <c r="AH31" s="100">
        <f t="shared" si="4"/>
        <v>1754.5</v>
      </c>
      <c r="AI31" s="1"/>
    </row>
    <row r="32" spans="2:35">
      <c r="B32" s="61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1"/>
    </row>
    <row r="33" spans="2:35">
      <c r="B33" s="71" t="s">
        <v>123</v>
      </c>
      <c r="C33" s="71">
        <v>2019</v>
      </c>
      <c r="D33" s="71">
        <v>2020</v>
      </c>
      <c r="E33" s="71">
        <v>2021</v>
      </c>
      <c r="F33" s="71">
        <v>2022</v>
      </c>
      <c r="G33" s="71">
        <v>2023</v>
      </c>
      <c r="H33" s="71">
        <v>2024</v>
      </c>
      <c r="I33" s="71">
        <v>2025</v>
      </c>
      <c r="J33" s="71">
        <v>2026</v>
      </c>
      <c r="K33" s="71">
        <v>2027</v>
      </c>
      <c r="L33" s="71">
        <v>2028</v>
      </c>
      <c r="M33" s="71">
        <v>2029</v>
      </c>
      <c r="N33" s="71">
        <v>2030</v>
      </c>
      <c r="O33" s="71">
        <v>2031</v>
      </c>
      <c r="P33" s="71">
        <v>2032</v>
      </c>
      <c r="Q33" s="71">
        <v>2033</v>
      </c>
      <c r="R33" s="71">
        <v>2034</v>
      </c>
      <c r="S33" s="71">
        <v>2035</v>
      </c>
      <c r="T33" s="71">
        <v>2036</v>
      </c>
      <c r="U33" s="71">
        <v>2037</v>
      </c>
      <c r="V33" s="71">
        <v>2038</v>
      </c>
      <c r="W33" s="71">
        <v>2039</v>
      </c>
      <c r="X33" s="71">
        <v>2040</v>
      </c>
      <c r="Y33" s="71">
        <v>2041</v>
      </c>
      <c r="Z33" s="71">
        <v>2042</v>
      </c>
      <c r="AA33" s="71">
        <v>2043</v>
      </c>
      <c r="AB33" s="71">
        <v>2044</v>
      </c>
      <c r="AC33" s="71">
        <v>2045</v>
      </c>
      <c r="AD33" s="71">
        <v>2046</v>
      </c>
      <c r="AE33" s="71">
        <v>2047</v>
      </c>
      <c r="AF33" s="71">
        <v>2048</v>
      </c>
      <c r="AG33" s="71">
        <v>2049</v>
      </c>
      <c r="AH33" s="71">
        <v>2050</v>
      </c>
      <c r="AI33" s="1"/>
    </row>
    <row r="34" spans="2:35">
      <c r="B34" s="71" t="s">
        <v>81</v>
      </c>
      <c r="C34" s="101">
        <f t="shared" ref="C34:C46" si="5">1+((MAX($C$5:$C$17)-C5)/(MAX($C$5:$C$17)-MIN($C$5:$C$17))*99)</f>
        <v>61.101317957166387</v>
      </c>
      <c r="D34" s="101">
        <f t="shared" ref="D34:D46" si="6">1+((MAX($D$5:$D$17)-D5)/(MAX($D$5:$D$17)-MIN($D$5:$D$17))*99)</f>
        <v>61.236830669692438</v>
      </c>
      <c r="E34" s="101">
        <f t="shared" ref="E34:E46" si="7">1+((MAX($E$5:$E$17)-E5)/(MAX($E$5:$E$17)-MIN($E$5:$E$17))*99)</f>
        <v>61.373155691393755</v>
      </c>
      <c r="F34" s="101">
        <f t="shared" ref="F34:F46" si="8">1+((MAX($F$5:$F$17)-F5)/(MAX($F$5:$F$17)-MIN($F$5:$F$17))*99)</f>
        <v>61.510300348112359</v>
      </c>
      <c r="G34" s="101">
        <f t="shared" ref="G34:G46" si="9">1+((MAX($G$5:$G$17)-G5)/(MAX($G$5:$G$17)-MIN($G$5:$G$17))*99)</f>
        <v>61.648272054047027</v>
      </c>
      <c r="H34" s="101">
        <f t="shared" ref="H34:H46" si="10">1+((MAX($H$5:$H$17)-H5)/(MAX($H$5:$H$17)-MIN($H$5:$H$17))*99)</f>
        <v>61.787078313089459</v>
      </c>
      <c r="I34" s="101">
        <f t="shared" ref="I34:I46" si="11">1+((MAX($I$5:$I$17)-I5)/(MAX($I$5:$I$17)-MIN($I$5:$I$17))*99)</f>
        <v>61.926726720184725</v>
      </c>
      <c r="J34" s="101">
        <f t="shared" ref="J34:J46" si="12">1+((MAX($J$5:$J$17)-J5)/(MAX($J$5:$J$17)-MIN($J$5:$J$17))*99)</f>
        <v>62.067224962716537</v>
      </c>
      <c r="K34" s="101">
        <f t="shared" ref="K34:K46" si="13">1+((MAX($K$5:$K$17)-K5)/(MAX($K$5:$K$17)-MIN($K$5:$K$17))*99)</f>
        <v>62.208580821917806</v>
      </c>
      <c r="L34" s="101">
        <f t="shared" ref="L34:L46" si="14">1+((MAX($L$5:$L$17)-L5)/(MAX($L$5:$L$17)-MIN($L$5:$L$17))*99)</f>
        <v>62.350802174307347</v>
      </c>
      <c r="M34" s="101">
        <f t="shared" ref="M34:M46" si="15">1+((MAX($M$5:$M$17)-M5)/(MAX($M$5:$M$17)-MIN($M$5:$M$17))*99)</f>
        <v>62.493896993152717</v>
      </c>
      <c r="N34" s="101">
        <f t="shared" ref="N34:N46" si="16">1+((MAX($N$5:$N$17)-N5)/(MAX($N$5:$N$17)-MIN($N$5:$N$17))*99)</f>
        <v>62.406278407369257</v>
      </c>
      <c r="O34" s="101">
        <f t="shared" ref="O34:O46" si="17">1+((MAX($O$5:$O$17)-O5)/(MAX($O$5:$O$17)-MIN($O$5:$O$17))*99)</f>
        <v>62.269970611808709</v>
      </c>
      <c r="P34" s="101">
        <f t="shared" ref="P34:P46" si="18">1+((MAX($P$5:$P$17)-P5)/(MAX($P$5:$P$17)-MIN($P$5:$P$17))*99)</f>
        <v>62.13313541070972</v>
      </c>
      <c r="Q34" s="101">
        <f t="shared" ref="Q34:Q46" si="19">1+((MAX($Q$5:$Q$17)-Q5)/(MAX($Q$5:$Q$17)-MIN($Q$5:$Q$17))*99)</f>
        <v>61.995769737162924</v>
      </c>
      <c r="R34" s="101">
        <f t="shared" ref="R34:R46" si="20">1+((MAX($R$5:$R$17)-R5)/(MAX($R$5:$R$17)-MIN($R$5:$R$17))*99)</f>
        <v>61.85787050043362</v>
      </c>
      <c r="S34" s="101">
        <f t="shared" ref="S34:S46" si="21">1+((MAX($S$5:$S$17)-S5)/(MAX($S$5:$S$17)-MIN($S$5:$S$17))*99)</f>
        <v>61.719434585730021</v>
      </c>
      <c r="T34" s="101">
        <f t="shared" ref="T34:T46" si="22">1+((MAX($T$5:$T$17)-T5)/(MAX($T$5:$T$17)-MIN($T$5:$T$17))*99)</f>
        <v>61.580458853968679</v>
      </c>
      <c r="U34" s="101">
        <f t="shared" ref="U34:U46" si="23">1+((MAX($U$5:$U$17)-U5)/(MAX($U$5:$U$17)-MIN($U$5:$U$17))*99)</f>
        <v>61.440940141537254</v>
      </c>
      <c r="V34" s="101">
        <f t="shared" ref="V34:V46" si="24">1+((MAX($V$5:$V$17)-V5)/(MAX($V$5:$V$17)-MIN($V$5:$V$17))*99)</f>
        <v>61.300875260054411</v>
      </c>
      <c r="W34" s="101">
        <f t="shared" ref="W34:W46" si="25">1+((MAX($W$5:$W$17)-W5)/(MAX($W$5:$W$17)-MIN($W$5:$W$17))*99)</f>
        <v>61.160260996126993</v>
      </c>
      <c r="X34" s="101">
        <f t="shared" ref="X34:X46" si="26">1+((MAX($X$5:$X$17)-X5)/(MAX($X$5:$X$17)-MIN($X$5:$X$17))*99)</f>
        <v>61.019094111104245</v>
      </c>
      <c r="Y34" s="101">
        <f t="shared" ref="Y34:Y46" si="27">1+((MAX($Y$5:$Y$17)-Y5)/(MAX($Y$5:$Y$17)-MIN($Y$5:$Y$17))*99)</f>
        <v>60.877371340829164</v>
      </c>
      <c r="Z34" s="101">
        <f t="shared" ref="Z34:Z46" si="28">1+((MAX($Z$5:$Z$17)-Z5)/(MAX($Z$5:$Z$17)-MIN($Z$5:$Z$17))*99)</f>
        <v>60.735089395386929</v>
      </c>
      <c r="AA34" s="101">
        <f t="shared" ref="AA34:AA46" si="29">1+((MAX($AA$5:$AA$17)-AA5)/(MAX($AA$5:$AA$17)-MIN($AA$5:$AA$17))*99)</f>
        <v>60.592244958850287</v>
      </c>
      <c r="AB34" s="101">
        <f t="shared" ref="AB34:AB46" si="30">1+((MAX($AB$5:$AB$17)-AB5)/(MAX($AB$5:$AB$17)-MIN($AB$5:$AB$17))*99)</f>
        <v>60.448834689022043</v>
      </c>
      <c r="AC34" s="101">
        <f t="shared" ref="AC34:AC46" si="31">1+((MAX($AC$5:$AC$17)-AC5)/(MAX($AC$5:$AC$17)-MIN($AC$5:$AC$17))*99)</f>
        <v>60.304855217174243</v>
      </c>
      <c r="AD34" s="101">
        <f t="shared" ref="AD34:AD46" si="32">1+((MAX($AD$5:$AD$17)-AD5)/(MAX($AD$5:$AD$17)-MIN($AD$5:$AD$17))*99)</f>
        <v>60.160303147784546</v>
      </c>
      <c r="AE34" s="101">
        <f t="shared" ref="AE34:AE46" si="33">1+((MAX($AE$5:$AE$17)-AE5)/(MAX($AE$5:$AE$17)-MIN($AE$5:$AE$17))*99)</f>
        <v>60.015175058269215</v>
      </c>
      <c r="AF34" s="101">
        <f t="shared" ref="AF34:AF46" si="34">1+((MAX($AF$5:$AF$17)-AF5)/(MAX($AF$5:$AF$17)-MIN($AF$5:$AF$17))*99)</f>
        <v>59.869467498713</v>
      </c>
      <c r="AG34" s="101">
        <f t="shared" ref="AG34:AG46" si="35">1+((MAX($AG$5:$AG$17)-AG5)/(MAX($AG$5:$AG$17)-MIN($AG$5:$AG$17))*99)</f>
        <v>59.723176991595793</v>
      </c>
      <c r="AH34" s="101">
        <f t="shared" ref="AH34:AH46" si="36">1+((MAX($AH$5:$AH$17)-AH5)/(MAX($AH$5:$AH$17)-MIN($AH$5:$AH$17))*99)</f>
        <v>59.576300031515913</v>
      </c>
      <c r="AI34" s="1"/>
    </row>
    <row r="35" spans="2:35">
      <c r="B35" s="71" t="s">
        <v>36</v>
      </c>
      <c r="C35" s="101">
        <f t="shared" si="5"/>
        <v>40.038479642268769</v>
      </c>
      <c r="D35" s="101">
        <f t="shared" si="6"/>
        <v>40.155666071169911</v>
      </c>
      <c r="E35" s="101">
        <f t="shared" si="7"/>
        <v>40.273554955284595</v>
      </c>
      <c r="F35" s="101">
        <f t="shared" si="8"/>
        <v>40.392152629732571</v>
      </c>
      <c r="G35" s="101">
        <f t="shared" si="9"/>
        <v>40.511465506041318</v>
      </c>
      <c r="H35" s="101">
        <f t="shared" si="10"/>
        <v>40.631500073301453</v>
      </c>
      <c r="I35" s="101">
        <f t="shared" si="11"/>
        <v>40.752262899343179</v>
      </c>
      <c r="J35" s="101">
        <f t="shared" si="12"/>
        <v>40.87376063193431</v>
      </c>
      <c r="K35" s="101">
        <f t="shared" si="13"/>
        <v>40.996000000000002</v>
      </c>
      <c r="L35" s="101">
        <f t="shared" si="14"/>
        <v>41.118987814865093</v>
      </c>
      <c r="M35" s="101">
        <f t="shared" si="15"/>
        <v>41.2427309715193</v>
      </c>
      <c r="N35" s="101">
        <f t="shared" si="16"/>
        <v>41.215562693170114</v>
      </c>
      <c r="O35" s="101">
        <f t="shared" si="17"/>
        <v>41.083722949505741</v>
      </c>
      <c r="P35" s="101">
        <f t="shared" si="18"/>
        <v>40.951373088201287</v>
      </c>
      <c r="Q35" s="101">
        <f t="shared" si="19"/>
        <v>40.818510142878047</v>
      </c>
      <c r="R35" s="101">
        <f t="shared" si="20"/>
        <v>40.685131124112914</v>
      </c>
      <c r="S35" s="101">
        <f t="shared" si="21"/>
        <v>40.551233019214294</v>
      </c>
      <c r="T35" s="101">
        <f t="shared" si="22"/>
        <v>40.416812791995191</v>
      </c>
      <c r="U35" s="101">
        <f t="shared" si="23"/>
        <v>40.281867382543737</v>
      </c>
      <c r="V35" s="101">
        <f t="shared" si="24"/>
        <v>40.146393706991006</v>
      </c>
      <c r="W35" s="101">
        <f t="shared" si="25"/>
        <v>40.010388657276074</v>
      </c>
      <c r="X35" s="101">
        <f t="shared" si="26"/>
        <v>39.873849100908359</v>
      </c>
      <c r="Y35" s="101">
        <f t="shared" si="27"/>
        <v>39.736771880727126</v>
      </c>
      <c r="Z35" s="101">
        <f t="shared" si="28"/>
        <v>39.599153814658109</v>
      </c>
      <c r="AA35" s="101">
        <f t="shared" si="29"/>
        <v>39.460991695467321</v>
      </c>
      <c r="AB35" s="101">
        <f t="shared" si="30"/>
        <v>39.322282290511843</v>
      </c>
      <c r="AC35" s="101">
        <f t="shared" si="31"/>
        <v>39.183022341487771</v>
      </c>
      <c r="AD35" s="101">
        <f t="shared" si="32"/>
        <v>39.043208564175032</v>
      </c>
      <c r="AE35" s="101">
        <f t="shared" si="33"/>
        <v>38.902837648179244</v>
      </c>
      <c r="AF35" s="101">
        <f t="shared" si="34"/>
        <v>38.761906256670393</v>
      </c>
      <c r="AG35" s="101">
        <f t="shared" si="35"/>
        <v>38.620411026118468</v>
      </c>
      <c r="AH35" s="101">
        <f t="shared" si="36"/>
        <v>38.478348566025844</v>
      </c>
      <c r="AI35" s="1"/>
    </row>
    <row r="36" spans="2:35">
      <c r="B36" s="71" t="s">
        <v>89</v>
      </c>
      <c r="C36" s="101">
        <f t="shared" si="5"/>
        <v>100</v>
      </c>
      <c r="D36" s="101">
        <f t="shared" si="6"/>
        <v>100</v>
      </c>
      <c r="E36" s="101">
        <f t="shared" si="7"/>
        <v>100</v>
      </c>
      <c r="F36" s="101">
        <f>1+((MAX($F$5:$F$17)-F7)/(MAX($F$5:$F$17)-MIN($F$5:$F$17))*99)</f>
        <v>100</v>
      </c>
      <c r="G36" s="101">
        <f t="shared" si="9"/>
        <v>100</v>
      </c>
      <c r="H36" s="101">
        <f t="shared" si="10"/>
        <v>100</v>
      </c>
      <c r="I36" s="101">
        <f t="shared" si="11"/>
        <v>100</v>
      </c>
      <c r="J36" s="101">
        <f t="shared" si="12"/>
        <v>100</v>
      </c>
      <c r="K36" s="101">
        <f t="shared" si="13"/>
        <v>100</v>
      </c>
      <c r="L36" s="101">
        <f t="shared" si="14"/>
        <v>100</v>
      </c>
      <c r="M36" s="101">
        <f t="shared" si="15"/>
        <v>100</v>
      </c>
      <c r="N36" s="101">
        <f t="shared" si="16"/>
        <v>99.628022544088239</v>
      </c>
      <c r="O36" s="101">
        <f t="shared" si="17"/>
        <v>99.575607801228955</v>
      </c>
      <c r="P36" s="101">
        <f t="shared" si="18"/>
        <v>99.522990253933102</v>
      </c>
      <c r="Q36" s="101">
        <f t="shared" si="19"/>
        <v>99.470168722875115</v>
      </c>
      <c r="R36" s="101">
        <f t="shared" si="20"/>
        <v>99.417142019567848</v>
      </c>
      <c r="S36" s="101">
        <f t="shared" si="21"/>
        <v>99.363908946273412</v>
      </c>
      <c r="T36" s="101">
        <f t="shared" si="22"/>
        <v>99.310468295912983</v>
      </c>
      <c r="U36" s="101">
        <f t="shared" si="23"/>
        <v>99.256818851975623</v>
      </c>
      <c r="V36" s="101">
        <f t="shared" si="24"/>
        <v>99.202959388425882</v>
      </c>
      <c r="W36" s="101">
        <f t="shared" si="25"/>
        <v>99.148888669610486</v>
      </c>
      <c r="X36" s="101">
        <f t="shared" si="26"/>
        <v>99.094605450163755</v>
      </c>
      <c r="Y36" s="101">
        <f t="shared" si="27"/>
        <v>99.040108474912074</v>
      </c>
      <c r="Z36" s="101">
        <f t="shared" si="28"/>
        <v>98.985396478777133</v>
      </c>
      <c r="AA36" s="101">
        <f t="shared" si="29"/>
        <v>98.930468186677928</v>
      </c>
      <c r="AB36" s="101">
        <f t="shared" si="30"/>
        <v>98.875322313431909</v>
      </c>
      <c r="AC36" s="101">
        <f t="shared" si="31"/>
        <v>98.819957563654512</v>
      </c>
      <c r="AD36" s="101">
        <f t="shared" si="32"/>
        <v>98.764372631657935</v>
      </c>
      <c r="AE36" s="101">
        <f t="shared" si="33"/>
        <v>98.708566201348333</v>
      </c>
      <c r="AF36" s="101">
        <f t="shared" si="34"/>
        <v>98.652536946122055</v>
      </c>
      <c r="AG36" s="101">
        <f t="shared" si="35"/>
        <v>98.596283528760509</v>
      </c>
      <c r="AH36" s="101">
        <f t="shared" si="36"/>
        <v>98.539804601323667</v>
      </c>
      <c r="AI36" s="1"/>
    </row>
    <row r="37" spans="2:35">
      <c r="B37" s="71" t="s">
        <v>88</v>
      </c>
      <c r="C37" s="101">
        <f t="shared" si="5"/>
        <v>98.229230407154631</v>
      </c>
      <c r="D37" s="101">
        <f t="shared" si="6"/>
        <v>98.22712568200474</v>
      </c>
      <c r="E37" s="101">
        <f t="shared" si="7"/>
        <v>98.225008340418199</v>
      </c>
      <c r="F37" s="101">
        <f t="shared" si="8"/>
        <v>98.222878268613215</v>
      </c>
      <c r="G37" s="101">
        <f t="shared" si="9"/>
        <v>98.220735351435636</v>
      </c>
      <c r="H37" s="101">
        <f t="shared" si="10"/>
        <v>98.218579472338234</v>
      </c>
      <c r="I37" s="101">
        <f t="shared" si="11"/>
        <v>98.216410513359534</v>
      </c>
      <c r="J37" s="101">
        <f t="shared" si="12"/>
        <v>98.214228355102506</v>
      </c>
      <c r="K37" s="101">
        <f t="shared" si="13"/>
        <v>98.212032876712328</v>
      </c>
      <c r="L37" s="101">
        <f t="shared" si="14"/>
        <v>98.209823955854318</v>
      </c>
      <c r="M37" s="101">
        <f t="shared" si="15"/>
        <v>98.207601468691067</v>
      </c>
      <c r="N37" s="101">
        <f t="shared" si="16"/>
        <v>97.840130901157508</v>
      </c>
      <c r="O37" s="101">
        <f t="shared" si="17"/>
        <v>97.789072936147477</v>
      </c>
      <c r="P37" s="101">
        <f t="shared" si="18"/>
        <v>97.737817416379698</v>
      </c>
      <c r="Q37" s="101">
        <f t="shared" si="19"/>
        <v>97.686363193056039</v>
      </c>
      <c r="R37" s="101">
        <f t="shared" si="20"/>
        <v>97.634709108453748</v>
      </c>
      <c r="S37" s="101">
        <f t="shared" si="21"/>
        <v>97.582853995838946</v>
      </c>
      <c r="T37" s="101">
        <f t="shared" si="22"/>
        <v>97.53079667937854</v>
      </c>
      <c r="U37" s="101">
        <f t="shared" si="23"/>
        <v>97.47853597405151</v>
      </c>
      <c r="V37" s="101">
        <f t="shared" si="24"/>
        <v>97.426070685558827</v>
      </c>
      <c r="W37" s="101">
        <f t="shared" si="25"/>
        <v>97.373399610232639</v>
      </c>
      <c r="X37" s="101">
        <f t="shared" si="26"/>
        <v>97.320521534944078</v>
      </c>
      <c r="Y37" s="101">
        <f t="shared" si="27"/>
        <v>97.267435237010247</v>
      </c>
      <c r="Z37" s="101">
        <f t="shared" si="28"/>
        <v>97.214139484099903</v>
      </c>
      <c r="AA37" s="101">
        <f t="shared" si="29"/>
        <v>97.160633034138087</v>
      </c>
      <c r="AB37" s="101">
        <f t="shared" si="30"/>
        <v>97.106914635209719</v>
      </c>
      <c r="AC37" s="101">
        <f t="shared" si="31"/>
        <v>97.052983025461799</v>
      </c>
      <c r="AD37" s="101">
        <f t="shared" si="32"/>
        <v>96.998836933004839</v>
      </c>
      <c r="AE37" s="101">
        <f t="shared" si="33"/>
        <v>96.944475075812633</v>
      </c>
      <c r="AF37" s="101">
        <f t="shared" si="34"/>
        <v>96.889896161621238</v>
      </c>
      <c r="AG37" s="101">
        <f t="shared" si="35"/>
        <v>96.83509888782649</v>
      </c>
      <c r="AH37" s="101">
        <f t="shared" si="36"/>
        <v>96.780081941380402</v>
      </c>
      <c r="AI37" s="1"/>
    </row>
    <row r="38" spans="2:35">
      <c r="B38" s="71" t="s">
        <v>90</v>
      </c>
      <c r="C38" s="101">
        <f t="shared" si="5"/>
        <v>84.866909861143796</v>
      </c>
      <c r="D38" s="101">
        <f t="shared" si="6"/>
        <v>84.991646950895671</v>
      </c>
      <c r="E38" s="101">
        <f t="shared" si="7"/>
        <v>85.117131757083968</v>
      </c>
      <c r="F38" s="101">
        <f t="shared" si="8"/>
        <v>85.243371023018597</v>
      </c>
      <c r="G38" s="101">
        <f t="shared" si="9"/>
        <v>85.370371573340265</v>
      </c>
      <c r="H38" s="101">
        <f t="shared" si="10"/>
        <v>85.498140315250524</v>
      </c>
      <c r="I38" s="101">
        <f t="shared" si="11"/>
        <v>85.626684239763847</v>
      </c>
      <c r="J38" s="101">
        <f t="shared" si="12"/>
        <v>85.75601042298301</v>
      </c>
      <c r="K38" s="101">
        <f t="shared" si="13"/>
        <v>85.886126027397253</v>
      </c>
      <c r="L38" s="101">
        <f t="shared" si="14"/>
        <v>86.017038303204856</v>
      </c>
      <c r="M38" s="101">
        <f t="shared" si="15"/>
        <v>86.148754589659617</v>
      </c>
      <c r="N38" s="101">
        <f t="shared" si="16"/>
        <v>85.960850857523795</v>
      </c>
      <c r="O38" s="101">
        <f t="shared" si="17"/>
        <v>86.01910232433876</v>
      </c>
      <c r="P38" s="101">
        <f t="shared" si="18"/>
        <v>86.077579179188916</v>
      </c>
      <c r="Q38" s="101">
        <f t="shared" si="19"/>
        <v>86.136282732725419</v>
      </c>
      <c r="R38" s="101">
        <f t="shared" si="20"/>
        <v>86.195214305781192</v>
      </c>
      <c r="S38" s="101">
        <f t="shared" si="21"/>
        <v>86.254375229470085</v>
      </c>
      <c r="T38" s="101">
        <f t="shared" si="22"/>
        <v>86.313766845286992</v>
      </c>
      <c r="U38" s="101">
        <f t="shared" si="23"/>
        <v>86.373390505209358</v>
      </c>
      <c r="V38" s="101">
        <f t="shared" si="24"/>
        <v>86.43324757179964</v>
      </c>
      <c r="W38" s="101">
        <f t="shared" si="25"/>
        <v>86.493339418309205</v>
      </c>
      <c r="X38" s="101">
        <f t="shared" si="26"/>
        <v>86.553667428783299</v>
      </c>
      <c r="Y38" s="101">
        <f t="shared" si="27"/>
        <v>86.61423299816731</v>
      </c>
      <c r="Z38" s="101">
        <f t="shared" si="28"/>
        <v>86.67503753241435</v>
      </c>
      <c r="AA38" s="101">
        <f t="shared" si="29"/>
        <v>86.736082448593947</v>
      </c>
      <c r="AB38" s="101">
        <f t="shared" si="30"/>
        <v>86.797369175002189</v>
      </c>
      <c r="AC38" s="101">
        <f t="shared" si="31"/>
        <v>86.858899151273093</v>
      </c>
      <c r="AD38" s="101">
        <f t="shared" si="32"/>
        <v>86.920673828491388</v>
      </c>
      <c r="AE38" s="101">
        <f t="shared" si="33"/>
        <v>86.982694669306525</v>
      </c>
      <c r="AF38" s="101">
        <f t="shared" si="34"/>
        <v>87.044963148048168</v>
      </c>
      <c r="AG38" s="101">
        <f t="shared" si="35"/>
        <v>87.107480750842953</v>
      </c>
      <c r="AH38" s="101">
        <f t="shared" si="36"/>
        <v>87.170248975732747</v>
      </c>
      <c r="AI38" s="1"/>
    </row>
    <row r="39" spans="2:35">
      <c r="B39" s="71" t="s">
        <v>48</v>
      </c>
      <c r="C39" s="101">
        <f t="shared" si="5"/>
        <v>89.794775241233225</v>
      </c>
      <c r="D39" s="101">
        <f t="shared" si="6"/>
        <v>90.727729226015171</v>
      </c>
      <c r="E39" s="101">
        <f t="shared" si="7"/>
        <v>91.666275653512116</v>
      </c>
      <c r="F39" s="101">
        <f t="shared" si="8"/>
        <v>92.610464959386888</v>
      </c>
      <c r="G39" s="101">
        <f t="shared" si="9"/>
        <v>93.560348187605555</v>
      </c>
      <c r="H39" s="101">
        <f t="shared" si="10"/>
        <v>94.515976999636223</v>
      </c>
      <c r="I39" s="101">
        <f t="shared" si="11"/>
        <v>95.477403683814956</v>
      </c>
      <c r="J39" s="101">
        <f t="shared" si="12"/>
        <v>96.444681164883065</v>
      </c>
      <c r="K39" s="101">
        <f t="shared" si="13"/>
        <v>97.417863013698636</v>
      </c>
      <c r="L39" s="101">
        <f t="shared" si="14"/>
        <v>98.397003457126686</v>
      </c>
      <c r="M39" s="101">
        <f t="shared" si="15"/>
        <v>99.382157388111537</v>
      </c>
      <c r="N39" s="101">
        <f t="shared" si="16"/>
        <v>100</v>
      </c>
      <c r="O39" s="101">
        <f t="shared" si="17"/>
        <v>100</v>
      </c>
      <c r="P39" s="101">
        <f t="shared" si="18"/>
        <v>100</v>
      </c>
      <c r="Q39" s="101">
        <f t="shared" si="19"/>
        <v>100</v>
      </c>
      <c r="R39" s="101">
        <f t="shared" si="20"/>
        <v>100</v>
      </c>
      <c r="S39" s="101">
        <f t="shared" si="21"/>
        <v>100</v>
      </c>
      <c r="T39" s="101">
        <f t="shared" si="22"/>
        <v>100</v>
      </c>
      <c r="U39" s="101">
        <f t="shared" si="23"/>
        <v>100</v>
      </c>
      <c r="V39" s="101">
        <f t="shared" si="24"/>
        <v>100</v>
      </c>
      <c r="W39" s="101">
        <f t="shared" si="25"/>
        <v>100</v>
      </c>
      <c r="X39" s="101">
        <f t="shared" si="26"/>
        <v>100</v>
      </c>
      <c r="Y39" s="101">
        <f t="shared" si="27"/>
        <v>100</v>
      </c>
      <c r="Z39" s="101">
        <f t="shared" si="28"/>
        <v>100</v>
      </c>
      <c r="AA39" s="101">
        <f t="shared" si="29"/>
        <v>100</v>
      </c>
      <c r="AB39" s="101">
        <f t="shared" si="30"/>
        <v>100</v>
      </c>
      <c r="AC39" s="101">
        <f t="shared" si="31"/>
        <v>100</v>
      </c>
      <c r="AD39" s="101">
        <f t="shared" si="32"/>
        <v>100</v>
      </c>
      <c r="AE39" s="101">
        <f t="shared" si="33"/>
        <v>100</v>
      </c>
      <c r="AF39" s="101">
        <f t="shared" si="34"/>
        <v>100</v>
      </c>
      <c r="AG39" s="101">
        <f t="shared" si="35"/>
        <v>100</v>
      </c>
      <c r="AH39" s="101">
        <f t="shared" si="36"/>
        <v>100</v>
      </c>
      <c r="AI39" s="1"/>
    </row>
    <row r="40" spans="2:35">
      <c r="B40" s="71" t="s">
        <v>51</v>
      </c>
      <c r="C40" s="101">
        <f t="shared" si="5"/>
        <v>18.800894328077195</v>
      </c>
      <c r="D40" s="101">
        <f t="shared" si="6"/>
        <v>20.699724783931249</v>
      </c>
      <c r="E40" s="101">
        <f t="shared" si="7"/>
        <v>22.609937473768049</v>
      </c>
      <c r="F40" s="101">
        <f t="shared" si="8"/>
        <v>24.531635048708743</v>
      </c>
      <c r="G40" s="101">
        <f t="shared" si="9"/>
        <v>26.464921397947244</v>
      </c>
      <c r="H40" s="101">
        <f t="shared" si="10"/>
        <v>28.409901667472077</v>
      </c>
      <c r="I40" s="101">
        <f t="shared" si="11"/>
        <v>30.366682279129041</v>
      </c>
      <c r="J40" s="101">
        <f t="shared" si="12"/>
        <v>32.335370950031958</v>
      </c>
      <c r="K40" s="101">
        <f t="shared" si="13"/>
        <v>34.316076712328766</v>
      </c>
      <c r="L40" s="101">
        <f t="shared" si="14"/>
        <v>36.30890993333076</v>
      </c>
      <c r="M40" s="101">
        <f t="shared" si="15"/>
        <v>38.313982336012693</v>
      </c>
      <c r="N40" s="101">
        <f t="shared" si="16"/>
        <v>40.183625234834253</v>
      </c>
      <c r="O40" s="101">
        <f t="shared" si="17"/>
        <v>40.674659364146407</v>
      </c>
      <c r="P40" s="101">
        <f t="shared" si="18"/>
        <v>41.167593415016974</v>
      </c>
      <c r="Q40" s="101">
        <f t="shared" si="19"/>
        <v>41.662438435656121</v>
      </c>
      <c r="R40" s="101">
        <f t="shared" si="20"/>
        <v>42.159205560102116</v>
      </c>
      <c r="S40" s="101">
        <f t="shared" si="21"/>
        <v>42.657906009056418</v>
      </c>
      <c r="T40" s="101">
        <f t="shared" si="22"/>
        <v>43.158551090728501</v>
      </c>
      <c r="U40" s="101">
        <f t="shared" si="23"/>
        <v>43.661152201690591</v>
      </c>
      <c r="V40" s="101">
        <f t="shared" si="24"/>
        <v>44.165720827742412</v>
      </c>
      <c r="W40" s="101">
        <f t="shared" si="25"/>
        <v>44.672268544786242</v>
      </c>
      <c r="X40" s="101">
        <f t="shared" si="26"/>
        <v>45.180807019712049</v>
      </c>
      <c r="Y40" s="101">
        <f t="shared" si="27"/>
        <v>45.691348011293279</v>
      </c>
      <c r="Z40" s="101">
        <f t="shared" si="28"/>
        <v>46.203903371093219</v>
      </c>
      <c r="AA40" s="101">
        <f t="shared" si="29"/>
        <v>46.718485044382007</v>
      </c>
      <c r="AB40" s="101">
        <f t="shared" si="30"/>
        <v>47.235105071064666</v>
      </c>
      <c r="AC40" s="101">
        <f t="shared" si="31"/>
        <v>47.753775586620073</v>
      </c>
      <c r="AD40" s="101">
        <f t="shared" si="32"/>
        <v>48.274508823051235</v>
      </c>
      <c r="AE40" s="101">
        <f t="shared" si="33"/>
        <v>48.797317109846873</v>
      </c>
      <c r="AF40" s="101">
        <f t="shared" si="34"/>
        <v>49.322212874954481</v>
      </c>
      <c r="AG40" s="101">
        <f t="shared" si="35"/>
        <v>49.849208645765188</v>
      </c>
      <c r="AH40" s="101">
        <f t="shared" si="36"/>
        <v>50.378317050110304</v>
      </c>
    </row>
    <row r="41" spans="2:35">
      <c r="B41" s="71" t="s">
        <v>56</v>
      </c>
      <c r="C41" s="101">
        <f t="shared" si="5"/>
        <v>91.402447634737584</v>
      </c>
      <c r="D41" s="101">
        <f t="shared" si="6"/>
        <v>91.282217179276728</v>
      </c>
      <c r="E41" s="101">
        <f t="shared" si="7"/>
        <v>91.161266021674322</v>
      </c>
      <c r="F41" s="101">
        <f t="shared" si="8"/>
        <v>91.039587662250042</v>
      </c>
      <c r="G41" s="101">
        <f t="shared" si="9"/>
        <v>90.917175522931018</v>
      </c>
      <c r="H41" s="101">
        <f t="shared" si="10"/>
        <v>90.794022946066434</v>
      </c>
      <c r="I41" s="101">
        <f t="shared" si="11"/>
        <v>90.670123193220547</v>
      </c>
      <c r="J41" s="101">
        <f t="shared" si="12"/>
        <v>90.545469443943688</v>
      </c>
      <c r="K41" s="101">
        <f t="shared" si="13"/>
        <v>90.420054794520553</v>
      </c>
      <c r="L41" s="101">
        <f t="shared" si="14"/>
        <v>90.293872256695792</v>
      </c>
      <c r="M41" s="101">
        <f t="shared" si="15"/>
        <v>90.166914756375903</v>
      </c>
      <c r="N41" s="101">
        <f t="shared" si="16"/>
        <v>89.704623962184115</v>
      </c>
      <c r="O41" s="101">
        <f t="shared" si="17"/>
        <v>89.547989580550365</v>
      </c>
      <c r="P41" s="101">
        <f t="shared" si="18"/>
        <v>89.390749145241941</v>
      </c>
      <c r="Q41" s="101">
        <f t="shared" si="19"/>
        <v>89.232899132003723</v>
      </c>
      <c r="R41" s="101">
        <f t="shared" si="20"/>
        <v>89.074435989202257</v>
      </c>
      <c r="S41" s="101">
        <f t="shared" si="21"/>
        <v>88.915356137559669</v>
      </c>
      <c r="T41" s="101">
        <f t="shared" si="22"/>
        <v>88.755655969883875</v>
      </c>
      <c r="U41" s="101">
        <f t="shared" si="23"/>
        <v>88.595331850796143</v>
      </c>
      <c r="V41" s="101">
        <f t="shared" si="24"/>
        <v>88.434380116455145</v>
      </c>
      <c r="W41" s="101">
        <f t="shared" si="25"/>
        <v>88.272797074277818</v>
      </c>
      <c r="X41" s="101">
        <f t="shared" si="26"/>
        <v>88.110579002657119</v>
      </c>
      <c r="Y41" s="101">
        <f t="shared" si="27"/>
        <v>87.947722150676114</v>
      </c>
      <c r="Z41" s="101">
        <f t="shared" si="28"/>
        <v>87.784222737819022</v>
      </c>
      <c r="AA41" s="101">
        <f t="shared" si="29"/>
        <v>87.62007695367862</v>
      </c>
      <c r="AB41" s="101">
        <f t="shared" si="30"/>
        <v>87.455280957660165</v>
      </c>
      <c r="AC41" s="101">
        <f t="shared" si="31"/>
        <v>87.289830878681983</v>
      </c>
      <c r="AD41" s="101">
        <f t="shared" si="32"/>
        <v>87.123722814872252</v>
      </c>
      <c r="AE41" s="101">
        <f t="shared" si="33"/>
        <v>86.956952833262321</v>
      </c>
      <c r="AF41" s="101">
        <f t="shared" si="34"/>
        <v>86.789516969476296</v>
      </c>
      <c r="AG41" s="101">
        <f t="shared" si="35"/>
        <v>86.621411227416829</v>
      </c>
      <c r="AH41" s="101">
        <f t="shared" si="36"/>
        <v>86.452631578947376</v>
      </c>
    </row>
    <row r="42" spans="2:35">
      <c r="B42" s="71" t="s">
        <v>59</v>
      </c>
      <c r="C42" s="101">
        <f t="shared" si="5"/>
        <v>40.586020240056484</v>
      </c>
      <c r="D42" s="101">
        <f t="shared" si="6"/>
        <v>42.229153589879779</v>
      </c>
      <c r="E42" s="101">
        <f t="shared" si="7"/>
        <v>43.882136438480003</v>
      </c>
      <c r="F42" s="101">
        <f t="shared" si="8"/>
        <v>45.545057613946078</v>
      </c>
      <c r="G42" s="101">
        <f t="shared" si="9"/>
        <v>47.218007015720417</v>
      </c>
      <c r="H42" s="101">
        <f t="shared" si="10"/>
        <v>48.901075630799639</v>
      </c>
      <c r="I42" s="101">
        <f t="shared" si="11"/>
        <v>50.594355550230375</v>
      </c>
      <c r="J42" s="101">
        <f t="shared" si="12"/>
        <v>52.297939985906019</v>
      </c>
      <c r="K42" s="101">
        <f t="shared" si="13"/>
        <v>54.011923287671237</v>
      </c>
      <c r="L42" s="101">
        <f t="shared" si="14"/>
        <v>55.736400960740447</v>
      </c>
      <c r="M42" s="101">
        <f t="shared" si="15"/>
        <v>57.471469683437533</v>
      </c>
      <c r="N42" s="101">
        <f t="shared" si="16"/>
        <v>58.998484940306646</v>
      </c>
      <c r="O42" s="101">
        <f t="shared" si="17"/>
        <v>59.212062516697827</v>
      </c>
      <c r="P42" s="101">
        <f t="shared" si="18"/>
        <v>59.426466472799824</v>
      </c>
      <c r="Q42" s="101">
        <f t="shared" si="19"/>
        <v>59.641701614083011</v>
      </c>
      <c r="R42" s="101">
        <f t="shared" si="20"/>
        <v>59.857772783349013</v>
      </c>
      <c r="S42" s="101">
        <f t="shared" si="21"/>
        <v>60.07468486109412</v>
      </c>
      <c r="T42" s="101">
        <f t="shared" si="22"/>
        <v>60.292442765876558</v>
      </c>
      <c r="U42" s="101">
        <f t="shared" si="23"/>
        <v>60.51105145468842</v>
      </c>
      <c r="V42" s="101">
        <f t="shared" si="24"/>
        <v>60.730515923331652</v>
      </c>
      <c r="W42" s="101">
        <f t="shared" si="25"/>
        <v>60.950841206798728</v>
      </c>
      <c r="X42" s="101">
        <f t="shared" si="26"/>
        <v>61.172032379657665</v>
      </c>
      <c r="Y42" s="101">
        <f t="shared" si="27"/>
        <v>61.394094556441623</v>
      </c>
      <c r="Z42" s="101">
        <f t="shared" si="28"/>
        <v>61.61703289204312</v>
      </c>
      <c r="AA42" s="101">
        <f t="shared" si="29"/>
        <v>61.84085258211293</v>
      </c>
      <c r="AB42" s="101">
        <f t="shared" si="30"/>
        <v>62.065558863463679</v>
      </c>
      <c r="AC42" s="101">
        <f t="shared" si="31"/>
        <v>62.291157014478287</v>
      </c>
      <c r="AD42" s="101">
        <f t="shared" si="32"/>
        <v>62.51765235552331</v>
      </c>
      <c r="AE42" s="101">
        <f t="shared" si="33"/>
        <v>62.745050249367182</v>
      </c>
      <c r="AF42" s="101">
        <f t="shared" si="34"/>
        <v>62.973356101603407</v>
      </c>
      <c r="AG42" s="101">
        <f t="shared" si="35"/>
        <v>63.202575361078956</v>
      </c>
      <c r="AH42" s="101">
        <f t="shared" si="36"/>
        <v>63.432713520327759</v>
      </c>
    </row>
    <row r="43" spans="2:35">
      <c r="B43" s="71" t="s">
        <v>5</v>
      </c>
      <c r="C43" s="101">
        <f t="shared" si="5"/>
        <v>38.768651447399385</v>
      </c>
      <c r="D43" s="101">
        <f t="shared" si="6"/>
        <v>38.820433586017103</v>
      </c>
      <c r="E43" s="101">
        <f t="shared" si="7"/>
        <v>38.87252612434218</v>
      </c>
      <c r="F43" s="101">
        <f t="shared" si="8"/>
        <v>38.92493186172652</v>
      </c>
      <c r="G43" s="101">
        <f t="shared" si="9"/>
        <v>38.977653631284923</v>
      </c>
      <c r="H43" s="101">
        <f t="shared" si="10"/>
        <v>39.0306943004056</v>
      </c>
      <c r="I43" s="101">
        <f t="shared" si="11"/>
        <v>39.084056771270163</v>
      </c>
      <c r="J43" s="101">
        <f t="shared" si="12"/>
        <v>39.137743981382847</v>
      </c>
      <c r="K43" s="101">
        <f t="shared" si="13"/>
        <v>39.191758904109598</v>
      </c>
      <c r="L43" s="101">
        <f t="shared" si="14"/>
        <v>39.246104549226956</v>
      </c>
      <c r="M43" s="101">
        <f t="shared" si="15"/>
        <v>39.300783963481187</v>
      </c>
      <c r="N43" s="101">
        <f t="shared" si="16"/>
        <v>39.211684140355125</v>
      </c>
      <c r="O43" s="101">
        <f t="shared" si="17"/>
        <v>39.409297355062783</v>
      </c>
      <c r="P43" s="101">
        <f t="shared" si="18"/>
        <v>39.607675179772954</v>
      </c>
      <c r="Q43" s="101">
        <f t="shared" si="19"/>
        <v>39.806822060759735</v>
      </c>
      <c r="R43" s="101">
        <f t="shared" si="20"/>
        <v>40.006742478838142</v>
      </c>
      <c r="S43" s="101">
        <f t="shared" si="21"/>
        <v>40.207440949700157</v>
      </c>
      <c r="T43" s="101">
        <f t="shared" si="22"/>
        <v>40.408922024254764</v>
      </c>
      <c r="U43" s="101">
        <f t="shared" si="23"/>
        <v>40.611190288971891</v>
      </c>
      <c r="V43" s="101">
        <f t="shared" si="24"/>
        <v>40.814250366230468</v>
      </c>
      <c r="W43" s="101">
        <f t="shared" si="25"/>
        <v>41.018106914670547</v>
      </c>
      <c r="X43" s="101">
        <f t="shared" si="26"/>
        <v>41.22276462954953</v>
      </c>
      <c r="Y43" s="101">
        <f t="shared" si="27"/>
        <v>41.42822824310268</v>
      </c>
      <c r="Z43" s="101">
        <f t="shared" si="28"/>
        <v>41.63450252490788</v>
      </c>
      <c r="AA43" s="101">
        <f t="shared" si="29"/>
        <v>41.841592282254652</v>
      </c>
      <c r="AB43" s="101">
        <f t="shared" si="30"/>
        <v>42.049502360517693</v>
      </c>
      <c r="AC43" s="101">
        <f t="shared" si="31"/>
        <v>42.258237643534699</v>
      </c>
      <c r="AD43" s="101">
        <f t="shared" si="32"/>
        <v>42.467803053988817</v>
      </c>
      <c r="AE43" s="101">
        <f t="shared" si="33"/>
        <v>42.678203553795655</v>
      </c>
      <c r="AF43" s="101">
        <f t="shared" si="34"/>
        <v>42.889444144494803</v>
      </c>
      <c r="AG43" s="101">
        <f t="shared" si="35"/>
        <v>43.10152986764632</v>
      </c>
      <c r="AH43" s="101">
        <f t="shared" si="36"/>
        <v>43.314465805231642</v>
      </c>
    </row>
    <row r="44" spans="2:35">
      <c r="B44" s="71" t="s">
        <v>6</v>
      </c>
      <c r="C44" s="101">
        <f t="shared" si="5"/>
        <v>1</v>
      </c>
      <c r="D44" s="101">
        <f t="shared" si="6"/>
        <v>1</v>
      </c>
      <c r="E44" s="101">
        <f t="shared" si="7"/>
        <v>1</v>
      </c>
      <c r="F44" s="101">
        <f t="shared" si="8"/>
        <v>1</v>
      </c>
      <c r="G44" s="101">
        <f t="shared" si="9"/>
        <v>1</v>
      </c>
      <c r="H44" s="101">
        <f t="shared" si="10"/>
        <v>1</v>
      </c>
      <c r="I44" s="101">
        <f t="shared" si="11"/>
        <v>1</v>
      </c>
      <c r="J44" s="101">
        <f t="shared" si="12"/>
        <v>1</v>
      </c>
      <c r="K44" s="101">
        <f t="shared" si="13"/>
        <v>1</v>
      </c>
      <c r="L44" s="101">
        <f t="shared" si="14"/>
        <v>1</v>
      </c>
      <c r="M44" s="101">
        <f t="shared" si="15"/>
        <v>1</v>
      </c>
      <c r="N44" s="101">
        <f t="shared" si="16"/>
        <v>1</v>
      </c>
      <c r="O44" s="101">
        <f t="shared" si="17"/>
        <v>1</v>
      </c>
      <c r="P44" s="101">
        <f t="shared" si="18"/>
        <v>1</v>
      </c>
      <c r="Q44" s="101">
        <f t="shared" si="19"/>
        <v>1</v>
      </c>
      <c r="R44" s="101">
        <f t="shared" si="20"/>
        <v>1</v>
      </c>
      <c r="S44" s="101">
        <f t="shared" si="21"/>
        <v>1</v>
      </c>
      <c r="T44" s="101">
        <f t="shared" si="22"/>
        <v>1</v>
      </c>
      <c r="U44" s="101">
        <f t="shared" si="23"/>
        <v>1</v>
      </c>
      <c r="V44" s="101">
        <f t="shared" si="24"/>
        <v>1</v>
      </c>
      <c r="W44" s="101">
        <f t="shared" si="25"/>
        <v>1</v>
      </c>
      <c r="X44" s="101">
        <f t="shared" si="26"/>
        <v>1</v>
      </c>
      <c r="Y44" s="101">
        <f t="shared" si="27"/>
        <v>1</v>
      </c>
      <c r="Z44" s="101">
        <f t="shared" si="28"/>
        <v>1</v>
      </c>
      <c r="AA44" s="101">
        <f t="shared" si="29"/>
        <v>1</v>
      </c>
      <c r="AB44" s="101">
        <f t="shared" si="30"/>
        <v>1</v>
      </c>
      <c r="AC44" s="101">
        <f t="shared" si="31"/>
        <v>1</v>
      </c>
      <c r="AD44" s="101">
        <f t="shared" si="32"/>
        <v>1</v>
      </c>
      <c r="AE44" s="101">
        <f t="shared" si="33"/>
        <v>1</v>
      </c>
      <c r="AF44" s="101">
        <f t="shared" si="34"/>
        <v>1</v>
      </c>
      <c r="AG44" s="101">
        <f t="shared" si="35"/>
        <v>1</v>
      </c>
      <c r="AH44" s="101">
        <f t="shared" si="36"/>
        <v>1</v>
      </c>
    </row>
    <row r="45" spans="2:35">
      <c r="B45" s="71" t="s">
        <v>7</v>
      </c>
      <c r="C45" s="101">
        <f t="shared" si="5"/>
        <v>63.501176747469998</v>
      </c>
      <c r="D45" s="101">
        <f t="shared" si="6"/>
        <v>63.541354835594618</v>
      </c>
      <c r="E45" s="101">
        <f t="shared" si="7"/>
        <v>63.581773764810976</v>
      </c>
      <c r="F45" s="101">
        <f t="shared" si="8"/>
        <v>63.622435707153848</v>
      </c>
      <c r="G45" s="101">
        <f t="shared" si="9"/>
        <v>63.663342860854883</v>
      </c>
      <c r="H45" s="101">
        <f t="shared" si="10"/>
        <v>63.704497450738721</v>
      </c>
      <c r="I45" s="101">
        <f t="shared" si="11"/>
        <v>63.74590172862635</v>
      </c>
      <c r="J45" s="101">
        <f t="shared" si="12"/>
        <v>63.787557973745876</v>
      </c>
      <c r="K45" s="101">
        <f t="shared" si="13"/>
        <v>63.829468493150685</v>
      </c>
      <c r="L45" s="101">
        <f t="shared" si="14"/>
        <v>63.871635622145405</v>
      </c>
      <c r="M45" s="101">
        <f t="shared" si="15"/>
        <v>63.914061724719645</v>
      </c>
      <c r="N45" s="101">
        <f t="shared" si="16"/>
        <v>63.720198775831769</v>
      </c>
      <c r="O45" s="101">
        <f t="shared" si="17"/>
        <v>63.720478226021903</v>
      </c>
      <c r="P45" s="101">
        <f t="shared" si="18"/>
        <v>63.720758757467713</v>
      </c>
      <c r="Q45" s="101">
        <f t="shared" si="19"/>
        <v>63.721040376456827</v>
      </c>
      <c r="R45" s="101">
        <f t="shared" si="20"/>
        <v>63.721323089325629</v>
      </c>
      <c r="S45" s="101">
        <f t="shared" si="21"/>
        <v>63.721606902459918</v>
      </c>
      <c r="T45" s="101">
        <f t="shared" si="22"/>
        <v>63.721891822295241</v>
      </c>
      <c r="U45" s="101">
        <f t="shared" si="23"/>
        <v>63.722177855317469</v>
      </c>
      <c r="V45" s="101">
        <f t="shared" si="24"/>
        <v>63.722465008063224</v>
      </c>
      <c r="W45" s="101">
        <f t="shared" si="25"/>
        <v>63.722753287120419</v>
      </c>
      <c r="X45" s="101">
        <f t="shared" si="26"/>
        <v>63.723042699128719</v>
      </c>
      <c r="Y45" s="101">
        <f t="shared" si="27"/>
        <v>63.723333250780129</v>
      </c>
      <c r="Z45" s="101">
        <f t="shared" si="28"/>
        <v>63.723624948819435</v>
      </c>
      <c r="AA45" s="101">
        <f t="shared" si="29"/>
        <v>63.723917800044752</v>
      </c>
      <c r="AB45" s="101">
        <f t="shared" si="30"/>
        <v>63.724211811308066</v>
      </c>
      <c r="AC45" s="101">
        <f t="shared" si="31"/>
        <v>63.724506989515724</v>
      </c>
      <c r="AD45" s="101">
        <f t="shared" si="32"/>
        <v>63.724803341629041</v>
      </c>
      <c r="AE45" s="101">
        <f t="shared" si="33"/>
        <v>63.72510087466479</v>
      </c>
      <c r="AF45" s="101">
        <f t="shared" si="34"/>
        <v>63.725399595695798</v>
      </c>
      <c r="AG45" s="101">
        <f t="shared" si="35"/>
        <v>63.725699511851452</v>
      </c>
      <c r="AH45" s="101">
        <f t="shared" si="36"/>
        <v>63.72600063031831</v>
      </c>
    </row>
    <row r="46" spans="2:35">
      <c r="B46" s="71" t="s">
        <v>72</v>
      </c>
      <c r="C46" s="101">
        <f t="shared" si="5"/>
        <v>44.203283125441281</v>
      </c>
      <c r="D46" s="101">
        <f t="shared" si="6"/>
        <v>44.132151996523596</v>
      </c>
      <c r="E46" s="101">
        <f t="shared" si="7"/>
        <v>44.060594483485971</v>
      </c>
      <c r="F46" s="101">
        <f t="shared" si="8"/>
        <v>43.98860674096661</v>
      </c>
      <c r="G46" s="101">
        <f t="shared" si="9"/>
        <v>43.916184877224893</v>
      </c>
      <c r="H46" s="101">
        <f t="shared" si="10"/>
        <v>43.843324953440018</v>
      </c>
      <c r="I46" s="101">
        <f t="shared" si="11"/>
        <v>43.770022982996935</v>
      </c>
      <c r="J46" s="101">
        <f t="shared" si="12"/>
        <v>43.696274930759273</v>
      </c>
      <c r="K46" s="101">
        <f t="shared" si="13"/>
        <v>43.622076712328777</v>
      </c>
      <c r="L46" s="101">
        <f t="shared" si="14"/>
        <v>43.547424193291313</v>
      </c>
      <c r="M46" s="101">
        <f t="shared" si="15"/>
        <v>43.472313188448936</v>
      </c>
      <c r="N46" s="101">
        <f t="shared" si="16"/>
        <v>43.23744015514211</v>
      </c>
      <c r="O46" s="101">
        <f t="shared" si="17"/>
        <v>43.143467806572261</v>
      </c>
      <c r="P46" s="101">
        <f t="shared" si="18"/>
        <v>43.049131857836393</v>
      </c>
      <c r="Q46" s="101">
        <f t="shared" si="19"/>
        <v>42.954430194567713</v>
      </c>
      <c r="R46" s="101">
        <f t="shared" si="20"/>
        <v>42.85936068597394</v>
      </c>
      <c r="S46" s="101">
        <f t="shared" si="21"/>
        <v>42.763921184677514</v>
      </c>
      <c r="T46" s="101">
        <f t="shared" si="22"/>
        <v>42.668109526553934</v>
      </c>
      <c r="U46" s="101">
        <f t="shared" si="23"/>
        <v>42.571923530568114</v>
      </c>
      <c r="V46" s="101">
        <f t="shared" si="24"/>
        <v>42.475360998608934</v>
      </c>
      <c r="W46" s="101">
        <f t="shared" si="25"/>
        <v>42.378419715321812</v>
      </c>
      <c r="X46" s="101">
        <f t="shared" si="26"/>
        <v>42.281097447939196</v>
      </c>
      <c r="Y46" s="101">
        <f t="shared" si="27"/>
        <v>42.183391946109261</v>
      </c>
      <c r="Z46" s="101">
        <f t="shared" si="28"/>
        <v>42.085300941722402</v>
      </c>
      <c r="AA46" s="101">
        <f t="shared" si="29"/>
        <v>41.986822148735669</v>
      </c>
      <c r="AB46" s="101">
        <f t="shared" si="30"/>
        <v>41.88795326299531</v>
      </c>
      <c r="AC46" s="101">
        <f t="shared" si="31"/>
        <v>41.788691962056916</v>
      </c>
      <c r="AD46" s="101">
        <f t="shared" si="32"/>
        <v>41.689035905003685</v>
      </c>
      <c r="AE46" s="101">
        <f t="shared" si="33"/>
        <v>41.588982732262352</v>
      </c>
      <c r="AF46" s="101">
        <f t="shared" si="34"/>
        <v>41.488530065416924</v>
      </c>
      <c r="AG46" s="101">
        <f t="shared" si="35"/>
        <v>41.387675507020283</v>
      </c>
      <c r="AH46" s="101">
        <f t="shared" si="36"/>
        <v>41.286416640403402</v>
      </c>
    </row>
  </sheetData>
  <mergeCells count="1">
    <mergeCell ref="B3:E3"/>
  </mergeCells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2D780-972C-4356-85FC-672EFFF83ECA}">
  <dimension ref="A1:AM135"/>
  <sheetViews>
    <sheetView zoomScale="55" zoomScaleNormal="55" workbookViewId="0">
      <selection activeCell="C34" sqref="C34"/>
    </sheetView>
  </sheetViews>
  <sheetFormatPr defaultRowHeight="14.5"/>
  <cols>
    <col min="2" max="2" width="19.81640625" bestFit="1" customWidth="1"/>
    <col min="3" max="3" width="33.81640625" bestFit="1" customWidth="1"/>
  </cols>
  <sheetData>
    <row r="1" spans="1:39">
      <c r="A1" s="1"/>
      <c r="B1" s="1"/>
      <c r="C1" s="59"/>
      <c r="D1" s="59"/>
      <c r="E1" s="59"/>
      <c r="F1" s="59"/>
      <c r="G1" s="59"/>
      <c r="H1" s="4"/>
      <c r="I1" s="4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5" thickBo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15" thickBot="1">
      <c r="A3" s="1"/>
      <c r="B3" s="262" t="s">
        <v>118</v>
      </c>
      <c r="C3" s="263"/>
      <c r="D3" s="263"/>
      <c r="E3" s="264"/>
      <c r="F3" s="1"/>
      <c r="G3" s="59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>
      <c r="A4" s="1"/>
      <c r="B4" s="75" t="s">
        <v>77</v>
      </c>
      <c r="C4" s="75">
        <v>2019</v>
      </c>
      <c r="D4" s="75">
        <v>2020</v>
      </c>
      <c r="E4" s="75">
        <v>2021</v>
      </c>
      <c r="F4" s="71">
        <v>2022</v>
      </c>
      <c r="G4" s="71">
        <v>2023</v>
      </c>
      <c r="H4" s="71">
        <v>2024</v>
      </c>
      <c r="I4" s="71">
        <v>2025</v>
      </c>
      <c r="J4" s="71">
        <v>2026</v>
      </c>
      <c r="K4" s="71">
        <v>2027</v>
      </c>
      <c r="L4" s="71">
        <v>2028</v>
      </c>
      <c r="M4" s="71">
        <v>2029</v>
      </c>
      <c r="N4" s="71">
        <v>2030</v>
      </c>
      <c r="O4" s="71">
        <v>2031</v>
      </c>
      <c r="P4" s="71">
        <v>2032</v>
      </c>
      <c r="Q4" s="71">
        <v>2033</v>
      </c>
      <c r="R4" s="71">
        <v>2034</v>
      </c>
      <c r="S4" s="71">
        <v>2035</v>
      </c>
      <c r="T4" s="71">
        <v>2036</v>
      </c>
      <c r="U4" s="71">
        <v>2037</v>
      </c>
      <c r="V4" s="71">
        <v>2038</v>
      </c>
      <c r="W4" s="71">
        <v>2039</v>
      </c>
      <c r="X4" s="71">
        <v>2040</v>
      </c>
      <c r="Y4" s="71">
        <v>2041</v>
      </c>
      <c r="Z4" s="71">
        <v>2042</v>
      </c>
      <c r="AA4" s="71">
        <v>2043</v>
      </c>
      <c r="AB4" s="71">
        <v>2044</v>
      </c>
      <c r="AC4" s="71">
        <v>2045</v>
      </c>
      <c r="AD4" s="71">
        <v>2046</v>
      </c>
      <c r="AE4" s="71">
        <v>2047</v>
      </c>
      <c r="AF4" s="71">
        <v>2048</v>
      </c>
      <c r="AG4" s="71">
        <v>2049</v>
      </c>
      <c r="AH4" s="71">
        <v>2050</v>
      </c>
      <c r="AI4" s="1"/>
      <c r="AJ4" s="1"/>
      <c r="AK4" s="1"/>
      <c r="AL4" s="1"/>
      <c r="AM4" s="1"/>
    </row>
    <row r="5" spans="1:39">
      <c r="A5" s="1"/>
      <c r="B5" s="71" t="s">
        <v>81</v>
      </c>
      <c r="C5" s="43">
        <f>KPIs!C8</f>
        <v>8.1867962317210052E-2</v>
      </c>
      <c r="D5" s="43">
        <f>KPIs!D8</f>
        <v>8.1597187115131545E-2</v>
      </c>
      <c r="E5" s="43">
        <f>KPIs!E8</f>
        <v>8.132641191305312E-2</v>
      </c>
      <c r="F5" s="43">
        <f>KPIs!F8</f>
        <v>8.1055636710974655E-2</v>
      </c>
      <c r="G5" s="43">
        <f>KPIs!G8</f>
        <v>8.0784861508896189E-2</v>
      </c>
      <c r="H5" s="43">
        <f>KPIs!H8</f>
        <v>8.0514086306817723E-2</v>
      </c>
      <c r="I5" s="43">
        <f>KPIs!I8</f>
        <v>8.0243311104739257E-2</v>
      </c>
      <c r="J5" s="43">
        <f>KPIs!J8</f>
        <v>7.9972535902660763E-2</v>
      </c>
      <c r="K5" s="43">
        <f>KPIs!K8</f>
        <v>7.9701760700582325E-2</v>
      </c>
      <c r="L5" s="43">
        <f>KPIs!L8</f>
        <v>7.9430985498503831E-2</v>
      </c>
      <c r="M5" s="43">
        <f>KPIs!M8</f>
        <v>7.9160210296425365E-2</v>
      </c>
      <c r="N5" s="43">
        <f>KPIs!N8</f>
        <v>7.8889435094346899E-2</v>
      </c>
      <c r="O5" s="43">
        <f>KPIs!O8</f>
        <v>7.8836558395348366E-2</v>
      </c>
      <c r="P5" s="43">
        <f>KPIs!P8</f>
        <v>7.8783681696349805E-2</v>
      </c>
      <c r="Q5" s="43">
        <f>KPIs!Q8</f>
        <v>7.8730804997351245E-2</v>
      </c>
      <c r="R5" s="43">
        <f>KPIs!R8</f>
        <v>7.8677928298352684E-2</v>
      </c>
      <c r="S5" s="43">
        <f>KPIs!S8</f>
        <v>7.8625051599354123E-2</v>
      </c>
      <c r="T5" s="43">
        <f>KPIs!T8</f>
        <v>7.857217490035559E-2</v>
      </c>
      <c r="U5" s="43">
        <f>KPIs!U8</f>
        <v>7.851929820135703E-2</v>
      </c>
      <c r="V5" s="43">
        <f>KPIs!V8</f>
        <v>7.8466421502358469E-2</v>
      </c>
      <c r="W5" s="43">
        <f>KPIs!W8</f>
        <v>7.8413544803359908E-2</v>
      </c>
      <c r="X5" s="43">
        <f>KPIs!X8</f>
        <v>7.8360668104361375E-2</v>
      </c>
      <c r="Y5" s="43">
        <f>KPIs!Y8</f>
        <v>7.8307791405362787E-2</v>
      </c>
      <c r="Z5" s="43">
        <f>KPIs!Z8</f>
        <v>7.8254914706364254E-2</v>
      </c>
      <c r="AA5" s="43">
        <f>KPIs!AA8</f>
        <v>7.8202038007365693E-2</v>
      </c>
      <c r="AB5" s="43">
        <f>KPIs!AB8</f>
        <v>7.8149161308367132E-2</v>
      </c>
      <c r="AC5" s="43">
        <f>KPIs!AC8</f>
        <v>7.8096284609368599E-2</v>
      </c>
      <c r="AD5" s="43">
        <f>KPIs!AD8</f>
        <v>7.8043407910370038E-2</v>
      </c>
      <c r="AE5" s="43">
        <f>KPIs!AE8</f>
        <v>7.7990531211371478E-2</v>
      </c>
      <c r="AF5" s="43">
        <f>KPIs!AF8</f>
        <v>7.7937654512372917E-2</v>
      </c>
      <c r="AG5" s="43">
        <f>KPIs!AG8</f>
        <v>7.7884777813374384E-2</v>
      </c>
      <c r="AH5" s="43">
        <f>KPIs!AH8</f>
        <v>7.7831901114375796E-2</v>
      </c>
      <c r="AI5" s="71" t="s">
        <v>81</v>
      </c>
      <c r="AJ5" s="1"/>
      <c r="AK5" s="1"/>
      <c r="AL5" s="1"/>
      <c r="AM5" s="1"/>
    </row>
    <row r="6" spans="1:39">
      <c r="A6" s="1"/>
      <c r="B6" s="71" t="s">
        <v>36</v>
      </c>
      <c r="C6" s="43">
        <f>KPIs!C9</f>
        <v>7.85917235271789E-2</v>
      </c>
      <c r="D6" s="43">
        <f>KPIs!D9</f>
        <v>7.7865579891980272E-2</v>
      </c>
      <c r="E6" s="43">
        <f>KPIs!E9</f>
        <v>7.7139436256781671E-2</v>
      </c>
      <c r="F6" s="43">
        <f>KPIs!F9</f>
        <v>7.641329262158307E-2</v>
      </c>
      <c r="G6" s="43">
        <f>KPIs!G9</f>
        <v>7.568714898638447E-2</v>
      </c>
      <c r="H6" s="43">
        <f>KPIs!H9</f>
        <v>7.4961005351185897E-2</v>
      </c>
      <c r="I6" s="43">
        <f>KPIs!I9</f>
        <v>7.4234861715987296E-2</v>
      </c>
      <c r="J6" s="43">
        <f>KPIs!J9</f>
        <v>7.3508718080788696E-2</v>
      </c>
      <c r="K6" s="43">
        <f>KPIs!K9</f>
        <v>7.2782574445590095E-2</v>
      </c>
      <c r="L6" s="43">
        <f>KPIs!L9</f>
        <v>7.2056430810391495E-2</v>
      </c>
      <c r="M6" s="43">
        <f>KPIs!M9</f>
        <v>7.1330287175192894E-2</v>
      </c>
      <c r="N6" s="43">
        <f>KPIs!N9</f>
        <v>7.0604143539994321E-2</v>
      </c>
      <c r="O6" s="43">
        <f>KPIs!O9</f>
        <v>7.0730512693726363E-2</v>
      </c>
      <c r="P6" s="43">
        <f>KPIs!P9</f>
        <v>7.0856881847458461E-2</v>
      </c>
      <c r="Q6" s="43">
        <f>KPIs!Q9</f>
        <v>7.0983251001190559E-2</v>
      </c>
      <c r="R6" s="43">
        <f>KPIs!R9</f>
        <v>7.1109620154922629E-2</v>
      </c>
      <c r="S6" s="43">
        <f>KPIs!S9</f>
        <v>7.1235989308654726E-2</v>
      </c>
      <c r="T6" s="43">
        <f>KPIs!T9</f>
        <v>7.1362358462386768E-2</v>
      </c>
      <c r="U6" s="43">
        <f>KPIs!U9</f>
        <v>7.1488727616118866E-2</v>
      </c>
      <c r="V6" s="43">
        <f>KPIs!V9</f>
        <v>7.1615096769850936E-2</v>
      </c>
      <c r="W6" s="43">
        <f>KPIs!W9</f>
        <v>7.1741465923583006E-2</v>
      </c>
      <c r="X6" s="43">
        <f>KPIs!X9</f>
        <v>7.1867835077315076E-2</v>
      </c>
      <c r="Y6" s="43">
        <f>KPIs!Y9</f>
        <v>7.1994204231047174E-2</v>
      </c>
      <c r="Z6" s="43">
        <f>KPIs!Z9</f>
        <v>7.2120573384779244E-2</v>
      </c>
      <c r="AA6" s="43">
        <f>KPIs!AA9</f>
        <v>7.2246942538511313E-2</v>
      </c>
      <c r="AB6" s="43">
        <f>KPIs!AB9</f>
        <v>7.2373311692243383E-2</v>
      </c>
      <c r="AC6" s="43">
        <f>KPIs!AC9</f>
        <v>7.2499680845975481E-2</v>
      </c>
      <c r="AD6" s="43">
        <f>KPIs!AD9</f>
        <v>7.2626049999707551E-2</v>
      </c>
      <c r="AE6" s="43">
        <f>KPIs!AE9</f>
        <v>7.2752419153439649E-2</v>
      </c>
      <c r="AF6" s="43">
        <f>KPIs!AF9</f>
        <v>7.2878788307171691E-2</v>
      </c>
      <c r="AG6" s="43">
        <f>KPIs!AG9</f>
        <v>7.3005157460903788E-2</v>
      </c>
      <c r="AH6" s="43">
        <f>KPIs!AH9</f>
        <v>7.3131526614635886E-2</v>
      </c>
      <c r="AI6" s="71" t="s">
        <v>96</v>
      </c>
      <c r="AJ6" s="1"/>
      <c r="AK6" s="1"/>
      <c r="AL6" s="1"/>
      <c r="AM6" s="1"/>
    </row>
    <row r="7" spans="1:39">
      <c r="A7" s="1"/>
      <c r="B7" s="71" t="s">
        <v>89</v>
      </c>
      <c r="C7" s="43">
        <f>KPIs!C10</f>
        <v>8.5364099644959654E-2</v>
      </c>
      <c r="D7" s="43">
        <f>KPIs!D10</f>
        <v>8.6299020847180677E-2</v>
      </c>
      <c r="E7" s="43">
        <f>KPIs!E10</f>
        <v>8.7233942049401686E-2</v>
      </c>
      <c r="F7" s="43">
        <f>KPIs!F10</f>
        <v>8.8168863251622709E-2</v>
      </c>
      <c r="G7" s="43">
        <f>KPIs!G10</f>
        <v>8.9103784453843732E-2</v>
      </c>
      <c r="H7" s="43">
        <f>KPIs!H10</f>
        <v>9.0038705656064755E-2</v>
      </c>
      <c r="I7" s="43">
        <f>KPIs!I10</f>
        <v>9.097362685828575E-2</v>
      </c>
      <c r="J7" s="43">
        <f>KPIs!J10</f>
        <v>9.1908548060506773E-2</v>
      </c>
      <c r="K7" s="43">
        <f>KPIs!K10</f>
        <v>9.284346926272781E-2</v>
      </c>
      <c r="L7" s="43">
        <f>KPIs!L10</f>
        <v>9.3778390464948819E-2</v>
      </c>
      <c r="M7" s="43">
        <f>KPIs!M10</f>
        <v>9.4713311667169842E-2</v>
      </c>
      <c r="N7" s="43">
        <f>KPIs!N10</f>
        <v>9.5648232869390865E-2</v>
      </c>
      <c r="O7" s="43">
        <f>KPIs!O10</f>
        <v>9.4818985662203328E-2</v>
      </c>
      <c r="P7" s="43">
        <f>KPIs!P10</f>
        <v>9.3989738455015764E-2</v>
      </c>
      <c r="Q7" s="43">
        <f>KPIs!Q10</f>
        <v>9.3160491247828242E-2</v>
      </c>
      <c r="R7" s="43">
        <f>KPIs!R10</f>
        <v>9.2331244040640692E-2</v>
      </c>
      <c r="S7" s="43">
        <f>KPIs!S10</f>
        <v>9.1501996833453156E-2</v>
      </c>
      <c r="T7" s="43">
        <f>KPIs!T10</f>
        <v>9.067274962626562E-2</v>
      </c>
      <c r="U7" s="43">
        <f>KPIs!U10</f>
        <v>8.984350241907807E-2</v>
      </c>
      <c r="V7" s="43">
        <f>KPIs!V10</f>
        <v>8.9014255211890533E-2</v>
      </c>
      <c r="W7" s="43">
        <f>KPIs!W10</f>
        <v>8.8185008004702997E-2</v>
      </c>
      <c r="X7" s="43">
        <f>KPIs!X10</f>
        <v>8.7355760797515447E-2</v>
      </c>
      <c r="Y7" s="43">
        <f>KPIs!Y10</f>
        <v>8.6526513590327925E-2</v>
      </c>
      <c r="Z7" s="43">
        <f>KPIs!Z10</f>
        <v>8.5697266383140375E-2</v>
      </c>
      <c r="AA7" s="43">
        <f>KPIs!AA10</f>
        <v>8.4868019175952825E-2</v>
      </c>
      <c r="AB7" s="43">
        <f>KPIs!AB10</f>
        <v>8.4038771968765288E-2</v>
      </c>
      <c r="AC7" s="43">
        <f>KPIs!AC10</f>
        <v>8.3209524761577752E-2</v>
      </c>
      <c r="AD7" s="43">
        <f>KPIs!AD10</f>
        <v>8.2380277554390216E-2</v>
      </c>
      <c r="AE7" s="43">
        <f>KPIs!AE10</f>
        <v>8.155103034720268E-2</v>
      </c>
      <c r="AF7" s="43">
        <f>KPIs!AF10</f>
        <v>8.072178314001513E-2</v>
      </c>
      <c r="AG7" s="43">
        <f>KPIs!AG10</f>
        <v>7.9892535932827594E-2</v>
      </c>
      <c r="AH7" s="43">
        <f>KPIs!AH10</f>
        <v>7.9063288725640057E-2</v>
      </c>
      <c r="AI7" s="71" t="s">
        <v>89</v>
      </c>
      <c r="AJ7" s="1"/>
      <c r="AK7" s="1"/>
      <c r="AL7" s="1"/>
      <c r="AM7" s="1"/>
    </row>
    <row r="8" spans="1:39">
      <c r="A8" s="1"/>
      <c r="B8" s="71" t="s">
        <v>88</v>
      </c>
      <c r="C8" s="43">
        <f>KPIs!C11</f>
        <v>3.8354964552685639E-2</v>
      </c>
      <c r="D8" s="43">
        <f>KPIs!D11</f>
        <v>3.910360084402708E-2</v>
      </c>
      <c r="E8" s="43">
        <f>KPIs!E11</f>
        <v>3.9852237135368521E-2</v>
      </c>
      <c r="F8" s="43">
        <f>KPIs!F11</f>
        <v>4.0600873426709962E-2</v>
      </c>
      <c r="G8" s="43">
        <f>KPIs!G11</f>
        <v>4.134950971805141E-2</v>
      </c>
      <c r="H8" s="43">
        <f>KPIs!H11</f>
        <v>4.2098146009392851E-2</v>
      </c>
      <c r="I8" s="43">
        <f>KPIs!I11</f>
        <v>4.2846782300734285E-2</v>
      </c>
      <c r="J8" s="43">
        <f>KPIs!J11</f>
        <v>4.3595418592075733E-2</v>
      </c>
      <c r="K8" s="43">
        <f>KPIs!K11</f>
        <v>4.4344054883417174E-2</v>
      </c>
      <c r="L8" s="43">
        <f>KPIs!L11</f>
        <v>4.5092691174758615E-2</v>
      </c>
      <c r="M8" s="43">
        <f>KPIs!M11</f>
        <v>4.5841327466100062E-2</v>
      </c>
      <c r="N8" s="43">
        <f>KPIs!N11</f>
        <v>4.6589963757441503E-2</v>
      </c>
      <c r="O8" s="43">
        <f>KPIs!O11</f>
        <v>4.6086558041547106E-2</v>
      </c>
      <c r="P8" s="43">
        <f>KPIs!P11</f>
        <v>4.5583152325652701E-2</v>
      </c>
      <c r="Q8" s="43">
        <f>KPIs!Q11</f>
        <v>4.5079746609758296E-2</v>
      </c>
      <c r="R8" s="43">
        <f>KPIs!R11</f>
        <v>4.4576340893863899E-2</v>
      </c>
      <c r="S8" s="43">
        <f>KPIs!S11</f>
        <v>4.4072935177969501E-2</v>
      </c>
      <c r="T8" s="43">
        <f>KPIs!T11</f>
        <v>4.3569529462075096E-2</v>
      </c>
      <c r="U8" s="43">
        <f>KPIs!U11</f>
        <v>4.3066123746180691E-2</v>
      </c>
      <c r="V8" s="43">
        <f>KPIs!V11</f>
        <v>4.2562718030286294E-2</v>
      </c>
      <c r="W8" s="43">
        <f>KPIs!W11</f>
        <v>4.2059312314391889E-2</v>
      </c>
      <c r="X8" s="43">
        <f>KPIs!X11</f>
        <v>4.1555906598497484E-2</v>
      </c>
      <c r="Y8" s="43">
        <f>KPIs!Y11</f>
        <v>4.1052500882603087E-2</v>
      </c>
      <c r="Z8" s="43">
        <f>KPIs!Z11</f>
        <v>4.0549095166708682E-2</v>
      </c>
      <c r="AA8" s="43">
        <f>KPIs!AA11</f>
        <v>4.0045689450814284E-2</v>
      </c>
      <c r="AB8" s="43">
        <f>KPIs!AB11</f>
        <v>3.9542283734919879E-2</v>
      </c>
      <c r="AC8" s="43">
        <f>KPIs!AC11</f>
        <v>3.9038878019025475E-2</v>
      </c>
      <c r="AD8" s="43">
        <f>KPIs!AD11</f>
        <v>3.8535472303131077E-2</v>
      </c>
      <c r="AE8" s="43">
        <f>KPIs!AE11</f>
        <v>3.8032066587236679E-2</v>
      </c>
      <c r="AF8" s="43">
        <f>KPIs!AF11</f>
        <v>3.7528660871342268E-2</v>
      </c>
      <c r="AG8" s="43">
        <f>KPIs!AG11</f>
        <v>3.7025255155447877E-2</v>
      </c>
      <c r="AH8" s="43">
        <f>KPIs!AH11</f>
        <v>3.6521849439553472E-2</v>
      </c>
      <c r="AI8" s="71" t="s">
        <v>88</v>
      </c>
      <c r="AJ8" s="1"/>
      <c r="AK8" s="1"/>
      <c r="AL8" s="1"/>
      <c r="AM8" s="1"/>
    </row>
    <row r="9" spans="1:39">
      <c r="A9" s="1"/>
      <c r="B9" s="71" t="s">
        <v>90</v>
      </c>
      <c r="C9" s="43">
        <f>KPIs!C12</f>
        <v>4.7403457256205872E-2</v>
      </c>
      <c r="D9" s="43">
        <f>KPIs!D12</f>
        <v>4.8218808599256868E-2</v>
      </c>
      <c r="E9" s="43">
        <f>KPIs!E12</f>
        <v>4.9034159942307864E-2</v>
      </c>
      <c r="F9" s="43">
        <f>KPIs!F12</f>
        <v>4.9849511285358861E-2</v>
      </c>
      <c r="G9" s="43">
        <f>KPIs!G12</f>
        <v>5.0664862628409857E-2</v>
      </c>
      <c r="H9" s="43">
        <f>KPIs!H12</f>
        <v>5.1480213971460867E-2</v>
      </c>
      <c r="I9" s="43">
        <f>KPIs!I12</f>
        <v>5.2295565314511863E-2</v>
      </c>
      <c r="J9" s="43">
        <f>KPIs!J12</f>
        <v>5.3110916657562859E-2</v>
      </c>
      <c r="K9" s="43">
        <f>KPIs!K12</f>
        <v>5.3926268000613856E-2</v>
      </c>
      <c r="L9" s="43">
        <f>KPIs!L12</f>
        <v>5.4741619343664852E-2</v>
      </c>
      <c r="M9" s="43">
        <f>KPIs!M12</f>
        <v>5.5556970686715848E-2</v>
      </c>
      <c r="N9" s="43">
        <f>KPIs!N12</f>
        <v>5.6372322029766858E-2</v>
      </c>
      <c r="O9" s="43">
        <f>KPIs!O12</f>
        <v>5.5560142563916129E-2</v>
      </c>
      <c r="P9" s="43">
        <f>KPIs!P12</f>
        <v>5.4747963098065386E-2</v>
      </c>
      <c r="Q9" s="43">
        <f>KPIs!Q12</f>
        <v>5.3935783632214657E-2</v>
      </c>
      <c r="R9" s="43">
        <f>KPIs!R12</f>
        <v>5.3123604166363941E-2</v>
      </c>
      <c r="S9" s="43">
        <f>KPIs!S12</f>
        <v>5.2311424700513198E-2</v>
      </c>
      <c r="T9" s="43">
        <f>KPIs!T12</f>
        <v>5.1499245234662469E-2</v>
      </c>
      <c r="U9" s="43">
        <f>KPIs!U12</f>
        <v>5.068706576881174E-2</v>
      </c>
      <c r="V9" s="43">
        <f>KPIs!V12</f>
        <v>4.9874886302960997E-2</v>
      </c>
      <c r="W9" s="43">
        <f>KPIs!W12</f>
        <v>4.9062706837110268E-2</v>
      </c>
      <c r="X9" s="43">
        <f>KPIs!X12</f>
        <v>4.8250527371259552E-2</v>
      </c>
      <c r="Y9" s="43">
        <f>KPIs!Y12</f>
        <v>4.7438347905408809E-2</v>
      </c>
      <c r="Z9" s="43">
        <f>KPIs!Z12</f>
        <v>4.662616843955808E-2</v>
      </c>
      <c r="AA9" s="43">
        <f>KPIs!AA12</f>
        <v>4.5813988973707351E-2</v>
      </c>
      <c r="AB9" s="43">
        <f>KPIs!AB12</f>
        <v>4.5001809507856622E-2</v>
      </c>
      <c r="AC9" s="43">
        <f>KPIs!AC12</f>
        <v>4.4189630042005892E-2</v>
      </c>
      <c r="AD9" s="43">
        <f>KPIs!AD12</f>
        <v>4.3377450576155149E-2</v>
      </c>
      <c r="AE9" s="43">
        <f>KPIs!AE12</f>
        <v>4.2565271110304434E-2</v>
      </c>
      <c r="AF9" s="43">
        <f>KPIs!AF12</f>
        <v>4.1753091644453691E-2</v>
      </c>
      <c r="AG9" s="43">
        <f>KPIs!AG12</f>
        <v>4.0940912178602962E-2</v>
      </c>
      <c r="AH9" s="43">
        <f>KPIs!AH12</f>
        <v>4.0128732712752233E-2</v>
      </c>
      <c r="AI9" s="71" t="s">
        <v>97</v>
      </c>
      <c r="AJ9" s="1"/>
      <c r="AK9" s="1"/>
      <c r="AL9" s="1"/>
      <c r="AM9" s="1"/>
    </row>
    <row r="10" spans="1:39">
      <c r="A10" s="1"/>
      <c r="B10" s="71" t="s">
        <v>48</v>
      </c>
      <c r="C10" s="43">
        <f>KPIs!C13</f>
        <v>3.9486097761880674E-2</v>
      </c>
      <c r="D10" s="43">
        <f>KPIs!D13</f>
        <v>3.5602289613857717E-2</v>
      </c>
      <c r="E10" s="43">
        <f>KPIs!E13</f>
        <v>3.1718481465834759E-2</v>
      </c>
      <c r="F10" s="43">
        <f>KPIs!F13</f>
        <v>2.7834673317811816E-2</v>
      </c>
      <c r="G10" s="43">
        <f>KPIs!G13</f>
        <v>2.3950865169788831E-2</v>
      </c>
      <c r="H10" s="43">
        <f>KPIs!H13</f>
        <v>2.0067057021765887E-2</v>
      </c>
      <c r="I10" s="43">
        <f>KPIs!I13</f>
        <v>1.6183248873742923E-2</v>
      </c>
      <c r="J10" s="43">
        <f>KPIs!J13</f>
        <v>1.2299440725719958E-2</v>
      </c>
      <c r="K10" s="43">
        <f>KPIs!K13</f>
        <v>8.4156325776970076E-3</v>
      </c>
      <c r="L10" s="43">
        <f>KPIs!L13</f>
        <v>4.5318244296740431E-3</v>
      </c>
      <c r="M10" s="43">
        <f>KPIs!M13</f>
        <v>6.4801628165107872E-4</v>
      </c>
      <c r="N10" s="43">
        <f>KPIs!N13</f>
        <v>3.6764208133628115E-2</v>
      </c>
      <c r="O10" s="43">
        <f>KPIs!O13</f>
        <v>3.6425571111077325E-2</v>
      </c>
      <c r="P10" s="43">
        <f>KPIs!P13</f>
        <v>3.6086934088526527E-2</v>
      </c>
      <c r="Q10" s="43">
        <f>KPIs!Q13</f>
        <v>3.574829706597573E-2</v>
      </c>
      <c r="R10" s="43">
        <f>KPIs!R13</f>
        <v>3.540966004342494E-2</v>
      </c>
      <c r="S10" s="43">
        <f>KPIs!S13</f>
        <v>3.5071023020874136E-2</v>
      </c>
      <c r="T10" s="43">
        <f>KPIs!T13</f>
        <v>3.4732385998323345E-2</v>
      </c>
      <c r="U10" s="43">
        <f>KPIs!U13</f>
        <v>3.4393748975772548E-2</v>
      </c>
      <c r="V10" s="43">
        <f>KPIs!V13</f>
        <v>3.4055111953221744E-2</v>
      </c>
      <c r="W10" s="43">
        <f>KPIs!W13</f>
        <v>3.371647493067096E-2</v>
      </c>
      <c r="X10" s="43">
        <f>KPIs!X13</f>
        <v>3.3377837908120156E-2</v>
      </c>
      <c r="Y10" s="43">
        <f>KPIs!Y13</f>
        <v>3.3039200885569359E-2</v>
      </c>
      <c r="Z10" s="43">
        <f>KPIs!Z13</f>
        <v>3.2700563863018561E-2</v>
      </c>
      <c r="AA10" s="43">
        <f>KPIs!AA13</f>
        <v>3.2361926840467764E-2</v>
      </c>
      <c r="AB10" s="43">
        <f>KPIs!AB13</f>
        <v>3.2023289817916974E-2</v>
      </c>
      <c r="AC10" s="43">
        <f>KPIs!AC13</f>
        <v>3.1684652795366169E-2</v>
      </c>
      <c r="AD10" s="43">
        <f>KPIs!AD13</f>
        <v>3.1346015772815379E-2</v>
      </c>
      <c r="AE10" s="43">
        <f>KPIs!AE13</f>
        <v>3.1007378750264578E-2</v>
      </c>
      <c r="AF10" s="43">
        <f>KPIs!AF13</f>
        <v>3.0668741727713784E-2</v>
      </c>
      <c r="AG10" s="43">
        <f>KPIs!AG13</f>
        <v>3.0330104705162994E-2</v>
      </c>
      <c r="AH10" s="43">
        <f>KPIs!AH13</f>
        <v>2.9991467682612193E-2</v>
      </c>
      <c r="AI10" s="71" t="s">
        <v>98</v>
      </c>
      <c r="AJ10" s="1"/>
      <c r="AK10" s="1"/>
      <c r="AL10" s="1"/>
      <c r="AM10" s="1"/>
    </row>
    <row r="11" spans="1:39">
      <c r="A11" s="1"/>
      <c r="B11" s="71" t="s">
        <v>51</v>
      </c>
      <c r="C11" s="43">
        <f>KPIs!C14</f>
        <v>0.1509125764926825</v>
      </c>
      <c r="D11" s="43">
        <f>KPIs!D14</f>
        <v>0.1474134484301694</v>
      </c>
      <c r="E11" s="43">
        <f>KPIs!E14</f>
        <v>0.14391432036765631</v>
      </c>
      <c r="F11" s="43">
        <f>KPIs!F14</f>
        <v>0.14041519230514324</v>
      </c>
      <c r="G11" s="43">
        <f>KPIs!G14</f>
        <v>0.13691606424263014</v>
      </c>
      <c r="H11" s="43">
        <f>KPIs!H14</f>
        <v>0.13341693618011705</v>
      </c>
      <c r="I11" s="43">
        <f>KPIs!I14</f>
        <v>0.12991780811760398</v>
      </c>
      <c r="J11" s="43">
        <f>KPIs!J14</f>
        <v>0.12641868005509088</v>
      </c>
      <c r="K11" s="43">
        <f>KPIs!K14</f>
        <v>0.1229195519925778</v>
      </c>
      <c r="L11" s="43">
        <f>KPIs!L14</f>
        <v>0.11942042393006473</v>
      </c>
      <c r="M11" s="43">
        <f>KPIs!M14</f>
        <v>0.11592129586755164</v>
      </c>
      <c r="N11" s="43">
        <f>KPIs!N14</f>
        <v>0.11242216780503854</v>
      </c>
      <c r="O11" s="43">
        <f>KPIs!O14</f>
        <v>0.11139520066334992</v>
      </c>
      <c r="P11" s="43">
        <f>KPIs!P14</f>
        <v>0.11036823352166128</v>
      </c>
      <c r="Q11" s="43">
        <f>KPIs!Q14</f>
        <v>0.10934126637997268</v>
      </c>
      <c r="R11" s="43">
        <f>KPIs!R14</f>
        <v>0.10831429923828408</v>
      </c>
      <c r="S11" s="43">
        <f>KPIs!S14</f>
        <v>0.10728733209659544</v>
      </c>
      <c r="T11" s="43">
        <f>KPIs!T14</f>
        <v>0.10626036495490683</v>
      </c>
      <c r="U11" s="43">
        <f>KPIs!U14</f>
        <v>0.10523339781321819</v>
      </c>
      <c r="V11" s="43">
        <f>KPIs!V14</f>
        <v>0.10420643067152957</v>
      </c>
      <c r="W11" s="43">
        <f>KPIs!W14</f>
        <v>0.10317946352984096</v>
      </c>
      <c r="X11" s="43">
        <f>KPIs!X14</f>
        <v>0.10215249638815234</v>
      </c>
      <c r="Y11" s="43">
        <f>KPIs!Y14</f>
        <v>0.10112552924646373</v>
      </c>
      <c r="Z11" s="43">
        <f>KPIs!Z14</f>
        <v>0.10009856210477509</v>
      </c>
      <c r="AA11" s="43">
        <f>KPIs!AA14</f>
        <v>9.9071594963086484E-2</v>
      </c>
      <c r="AB11" s="43">
        <f>KPIs!AB14</f>
        <v>9.8044627821397848E-2</v>
      </c>
      <c r="AC11" s="43">
        <f>KPIs!AC14</f>
        <v>9.7017660679709239E-2</v>
      </c>
      <c r="AD11" s="43">
        <f>KPIs!AD14</f>
        <v>9.5990693538020602E-2</v>
      </c>
      <c r="AE11" s="43">
        <f>KPIs!AE14</f>
        <v>9.4963726396331993E-2</v>
      </c>
      <c r="AF11" s="43">
        <f>KPIs!AF14</f>
        <v>9.3936759254643384E-2</v>
      </c>
      <c r="AG11" s="43">
        <f>KPIs!AG14</f>
        <v>9.2909792112954762E-2</v>
      </c>
      <c r="AH11" s="43">
        <f>KPIs!AH14</f>
        <v>9.1882824971266125E-2</v>
      </c>
      <c r="AI11" s="71" t="s">
        <v>99</v>
      </c>
      <c r="AJ11" s="1"/>
      <c r="AK11" s="1"/>
      <c r="AL11" s="1"/>
      <c r="AM11" s="1"/>
    </row>
    <row r="12" spans="1:39">
      <c r="A12" s="1"/>
      <c r="B12" s="71" t="s">
        <v>56</v>
      </c>
      <c r="C12" s="43">
        <f>KPIs!C15</f>
        <v>6.0279486201490443E-2</v>
      </c>
      <c r="D12" s="43">
        <f>KPIs!D15</f>
        <v>5.9691165578208277E-2</v>
      </c>
      <c r="E12" s="43">
        <f>KPIs!E15</f>
        <v>5.9116001276679292E-2</v>
      </c>
      <c r="F12" s="43">
        <f>KPIs!F15</f>
        <v>5.8553524126439799E-2</v>
      </c>
      <c r="G12" s="43">
        <f>KPIs!G15</f>
        <v>5.8003287003215269E-2</v>
      </c>
      <c r="H12" s="43">
        <f>KPIs!H15</f>
        <v>5.746486354902549E-2</v>
      </c>
      <c r="I12" s="43">
        <f>KPIs!I15</f>
        <v>5.6937846980431708E-2</v>
      </c>
      <c r="J12" s="43">
        <f>KPIs!J15</f>
        <v>5.6421848977924224E-2</v>
      </c>
      <c r="K12" s="43">
        <f>KPIs!K15</f>
        <v>5.5916498650078021E-2</v>
      </c>
      <c r="L12" s="43">
        <f>KPIs!L15</f>
        <v>5.5421441566668547E-2</v>
      </c>
      <c r="M12" s="43">
        <f>KPIs!M15</f>
        <v>5.493633885545101E-2</v>
      </c>
      <c r="N12" s="43">
        <f>KPIs!N15</f>
        <v>5.4460866357765141E-2</v>
      </c>
      <c r="O12" s="43">
        <f>KPIs!O15</f>
        <v>5.4233565409267097E-2</v>
      </c>
      <c r="P12" s="43">
        <f>KPIs!P15</f>
        <v>5.4008407692014392E-2</v>
      </c>
      <c r="Q12" s="43">
        <f>KPIs!Q15</f>
        <v>5.3785355495193289E-2</v>
      </c>
      <c r="R12" s="43">
        <f>KPIs!R15</f>
        <v>5.3564371987542644E-2</v>
      </c>
      <c r="S12" s="43">
        <f>KPIs!S15</f>
        <v>5.3345421191859463E-2</v>
      </c>
      <c r="T12" s="43">
        <f>KPIs!T15</f>
        <v>5.312846796038638E-2</v>
      </c>
      <c r="U12" s="43">
        <f>KPIs!U15</f>
        <v>5.2913477951045271E-2</v>
      </c>
      <c r="V12" s="43">
        <f>KPIs!V15</f>
        <v>5.2700417604483497E-2</v>
      </c>
      <c r="W12" s="43">
        <f>KPIs!W15</f>
        <v>5.2489254121900246E-2</v>
      </c>
      <c r="X12" s="43">
        <f>KPIs!X15</f>
        <v>5.2279955443622655E-2</v>
      </c>
      <c r="Y12" s="43">
        <f>KPIs!Y15</f>
        <v>5.2072490228401866E-2</v>
      </c>
      <c r="Z12" s="43">
        <f>KPIs!Z15</f>
        <v>5.1866827833401304E-2</v>
      </c>
      <c r="AA12" s="43">
        <f>KPIs!AA15</f>
        <v>5.1662938294849969E-2</v>
      </c>
      <c r="AB12" s="43">
        <f>KPIs!AB15</f>
        <v>5.1460792309335493E-2</v>
      </c>
      <c r="AC12" s="43">
        <f>KPIs!AC15</f>
        <v>5.1260361215712064E-2</v>
      </c>
      <c r="AD12" s="43">
        <f>KPIs!AD15</f>
        <v>5.1061616977599998E-2</v>
      </c>
      <c r="AE12" s="43">
        <f>KPIs!AE15</f>
        <v>5.0864532166454375E-2</v>
      </c>
      <c r="AF12" s="43">
        <f>KPIs!AF15</f>
        <v>5.0669079945181425E-2</v>
      </c>
      <c r="AG12" s="43">
        <f>KPIs!AG15</f>
        <v>5.0475234052281825E-2</v>
      </c>
      <c r="AH12" s="43">
        <f>KPIs!AH15</f>
        <v>5.0282968786501625E-2</v>
      </c>
      <c r="AI12" s="71" t="s">
        <v>100</v>
      </c>
      <c r="AJ12" s="1"/>
      <c r="AK12" s="1"/>
      <c r="AL12" s="1"/>
      <c r="AM12" s="1"/>
    </row>
    <row r="13" spans="1:39">
      <c r="A13" s="1"/>
      <c r="B13" s="71" t="s">
        <v>59</v>
      </c>
      <c r="C13" s="43">
        <f>KPIs!C16</f>
        <v>0.17269638609840202</v>
      </c>
      <c r="D13" s="43">
        <f>KPIs!D16</f>
        <v>0.16793133449039258</v>
      </c>
      <c r="E13" s="43">
        <f>KPIs!E16</f>
        <v>0.16319749570578129</v>
      </c>
      <c r="F13" s="43">
        <f>KPIs!F16</f>
        <v>0.15849456138517126</v>
      </c>
      <c r="G13" s="43">
        <f>KPIs!G16</f>
        <v>0.15382222721764793</v>
      </c>
      <c r="H13" s="43">
        <f>KPIs!H16</f>
        <v>0.14918019287455495</v>
      </c>
      <c r="I13" s="43">
        <f>KPIs!I16</f>
        <v>0.14456816194456634</v>
      </c>
      <c r="J13" s="43">
        <f>KPIs!J16</f>
        <v>0.13998584187002464</v>
      </c>
      <c r="K13" s="43">
        <f>KPIs!K16</f>
        <v>0.1354329438845161</v>
      </c>
      <c r="L13" s="43">
        <f>KPIs!L16</f>
        <v>0.13090918295165627</v>
      </c>
      <c r="M13" s="43">
        <f>KPIs!M16</f>
        <v>0.12641427770505667</v>
      </c>
      <c r="N13" s="43">
        <f>KPIs!N16</f>
        <v>0.12194795038944874</v>
      </c>
      <c r="O13" s="43">
        <f>KPIs!O16</f>
        <v>0.12092149438740138</v>
      </c>
      <c r="P13" s="43">
        <f>KPIs!P16</f>
        <v>0.11989854805893881</v>
      </c>
      <c r="Q13" s="43">
        <f>KPIs!Q16</f>
        <v>0.11887909292128604</v>
      </c>
      <c r="R13" s="43">
        <f>KPIs!R16</f>
        <v>0.11786311062122047</v>
      </c>
      <c r="S13" s="43">
        <f>KPIs!S16</f>
        <v>0.11685058293393838</v>
      </c>
      <c r="T13" s="43">
        <f>KPIs!T16</f>
        <v>0.11584149176193392</v>
      </c>
      <c r="U13" s="43">
        <f>KPIs!U16</f>
        <v>0.1148358191338896</v>
      </c>
      <c r="V13" s="43">
        <f>KPIs!V16</f>
        <v>0.11383354720357813</v>
      </c>
      <c r="W13" s="43">
        <f>KPIs!W16</f>
        <v>0.11283465824877634</v>
      </c>
      <c r="X13" s="43">
        <f>KPIs!X16</f>
        <v>0.11183913467018965</v>
      </c>
      <c r="Y13" s="43">
        <f>KPIs!Y16</f>
        <v>0.11084695899038817</v>
      </c>
      <c r="Z13" s="43">
        <f>KPIs!Z16</f>
        <v>0.10985811385275381</v>
      </c>
      <c r="AA13" s="43">
        <f>KPIs!AA16</f>
        <v>0.10887258202043804</v>
      </c>
      <c r="AB13" s="43">
        <f>KPIs!AB16</f>
        <v>0.10789034637533075</v>
      </c>
      <c r="AC13" s="43">
        <f>KPIs!AC16</f>
        <v>0.10691138991703951</v>
      </c>
      <c r="AD13" s="43">
        <f>KPIs!AD16</f>
        <v>0.10593569576187928</v>
      </c>
      <c r="AE13" s="43">
        <f>KPIs!AE16</f>
        <v>0.10496324714187283</v>
      </c>
      <c r="AF13" s="43">
        <f>KPIs!AF16</f>
        <v>0.10399402740376107</v>
      </c>
      <c r="AG13" s="43">
        <f>KPIs!AG16</f>
        <v>0.1030280200080238</v>
      </c>
      <c r="AH13" s="43">
        <f>KPIs!AH16</f>
        <v>0.10206520852791025</v>
      </c>
      <c r="AI13" s="71" t="s">
        <v>101</v>
      </c>
      <c r="AJ13" s="1"/>
      <c r="AK13" s="1"/>
      <c r="AL13" s="1"/>
      <c r="AM13" s="1"/>
    </row>
    <row r="14" spans="1:39">
      <c r="A14" s="1"/>
      <c r="B14" s="71" t="s">
        <v>5</v>
      </c>
      <c r="C14" s="43">
        <f>KPIs!C17</f>
        <v>5.6727314203533816E-2</v>
      </c>
      <c r="D14" s="43">
        <f>KPIs!D17</f>
        <v>5.6509571859262031E-2</v>
      </c>
      <c r="E14" s="43">
        <f>KPIs!E17</f>
        <v>5.6291829514990274E-2</v>
      </c>
      <c r="F14" s="43">
        <f>KPIs!F17</f>
        <v>5.6074087170718517E-2</v>
      </c>
      <c r="G14" s="43">
        <f>KPIs!G17</f>
        <v>5.5856344826446747E-2</v>
      </c>
      <c r="H14" s="43">
        <f>KPIs!H17</f>
        <v>5.5638602482174976E-2</v>
      </c>
      <c r="I14" s="43">
        <f>KPIs!I17</f>
        <v>5.5420860137903205E-2</v>
      </c>
      <c r="J14" s="43">
        <f>KPIs!J17</f>
        <v>5.5203117793631448E-2</v>
      </c>
      <c r="K14" s="43">
        <f>KPIs!K17</f>
        <v>5.4985375449359677E-2</v>
      </c>
      <c r="L14" s="43">
        <f>KPIs!L17</f>
        <v>5.4767633105087907E-2</v>
      </c>
      <c r="M14" s="43">
        <f>KPIs!M17</f>
        <v>5.4549890760816136E-2</v>
      </c>
      <c r="N14" s="43">
        <f>KPIs!N17</f>
        <v>5.4332148416544379E-2</v>
      </c>
      <c r="O14" s="43">
        <f>KPIs!O17</f>
        <v>5.4033415561930934E-2</v>
      </c>
      <c r="P14" s="43">
        <f>KPIs!P17</f>
        <v>5.3734682707317474E-2</v>
      </c>
      <c r="Q14" s="43">
        <f>KPIs!Q17</f>
        <v>5.3435949852704057E-2</v>
      </c>
      <c r="R14" s="43">
        <f>KPIs!R17</f>
        <v>5.3137216998090611E-2</v>
      </c>
      <c r="S14" s="43">
        <f>KPIs!S17</f>
        <v>5.2838484143477166E-2</v>
      </c>
      <c r="T14" s="43">
        <f>KPIs!T17</f>
        <v>5.2539751288863706E-2</v>
      </c>
      <c r="U14" s="43">
        <f>KPIs!U17</f>
        <v>5.2241018434250261E-2</v>
      </c>
      <c r="V14" s="43">
        <f>KPIs!V17</f>
        <v>5.1942285579636843E-2</v>
      </c>
      <c r="W14" s="43">
        <f>KPIs!W17</f>
        <v>5.1643552725023398E-2</v>
      </c>
      <c r="X14" s="43">
        <f>KPIs!X17</f>
        <v>5.1344819870409952E-2</v>
      </c>
      <c r="Y14" s="43">
        <f>KPIs!Y17</f>
        <v>5.1046087015796507E-2</v>
      </c>
      <c r="Z14" s="43">
        <f>KPIs!Z17</f>
        <v>5.0747354161183061E-2</v>
      </c>
      <c r="AA14" s="43">
        <f>KPIs!AA17</f>
        <v>5.0448621306569616E-2</v>
      </c>
      <c r="AB14" s="43">
        <f>KPIs!AB17</f>
        <v>5.0149888451956184E-2</v>
      </c>
      <c r="AC14" s="43">
        <f>KPIs!AC17</f>
        <v>4.9851155597342739E-2</v>
      </c>
      <c r="AD14" s="43">
        <f>KPIs!AD17</f>
        <v>4.9552422742729293E-2</v>
      </c>
      <c r="AE14" s="43">
        <f>KPIs!AE17</f>
        <v>4.9253689888115848E-2</v>
      </c>
      <c r="AF14" s="43">
        <f>KPIs!AF17</f>
        <v>4.8954957033502416E-2</v>
      </c>
      <c r="AG14" s="43">
        <f>KPIs!AG17</f>
        <v>4.8656224178888957E-2</v>
      </c>
      <c r="AH14" s="43">
        <f>KPIs!AH17</f>
        <v>4.8357491324275526E-2</v>
      </c>
      <c r="AI14" s="71" t="s">
        <v>5</v>
      </c>
      <c r="AJ14" s="1"/>
      <c r="AK14" s="1"/>
      <c r="AL14" s="1"/>
      <c r="AM14" s="1"/>
    </row>
    <row r="15" spans="1:39">
      <c r="A15" s="1"/>
      <c r="B15" s="71" t="s">
        <v>6</v>
      </c>
      <c r="C15" s="43">
        <f>KPIs!C18</f>
        <v>0.44188166288937103</v>
      </c>
      <c r="D15" s="43">
        <f>KPIs!D18</f>
        <v>0.44153750306094591</v>
      </c>
      <c r="E15" s="43">
        <f>KPIs!E18</f>
        <v>0.4411933432325208</v>
      </c>
      <c r="F15" s="43">
        <f>KPIs!F18</f>
        <v>0.44084918340409562</v>
      </c>
      <c r="G15" s="43">
        <f>KPIs!G18</f>
        <v>0.44050502357567056</v>
      </c>
      <c r="H15" s="43">
        <f>KPIs!H18</f>
        <v>0.44016086374724539</v>
      </c>
      <c r="I15" s="43">
        <f>KPIs!I18</f>
        <v>0.43981670391882027</v>
      </c>
      <c r="J15" s="43">
        <f>KPIs!J18</f>
        <v>0.43947254409039516</v>
      </c>
      <c r="K15" s="43">
        <f>KPIs!K18</f>
        <v>0.43912838426196998</v>
      </c>
      <c r="L15" s="43">
        <f>KPIs!L18</f>
        <v>0.43878422443354487</v>
      </c>
      <c r="M15" s="43">
        <f>KPIs!M18</f>
        <v>0.43844006460511975</v>
      </c>
      <c r="N15" s="43">
        <f>KPIs!N18</f>
        <v>0.43809590477669463</v>
      </c>
      <c r="O15" s="43">
        <f>KPIs!O18</f>
        <v>0.43782508189801</v>
      </c>
      <c r="P15" s="43">
        <f>KPIs!P18</f>
        <v>0.43755425901932538</v>
      </c>
      <c r="Q15" s="43">
        <f>KPIs!Q18</f>
        <v>0.4372834361406408</v>
      </c>
      <c r="R15" s="43">
        <f>KPIs!R18</f>
        <v>0.43701261326195617</v>
      </c>
      <c r="S15" s="43">
        <f>KPIs!S18</f>
        <v>0.43674179038327154</v>
      </c>
      <c r="T15" s="43">
        <f>KPIs!T18</f>
        <v>0.43647096750458692</v>
      </c>
      <c r="U15" s="43">
        <f>KPIs!U18</f>
        <v>0.43620014462590229</v>
      </c>
      <c r="V15" s="43">
        <f>KPIs!V18</f>
        <v>0.43592932174721771</v>
      </c>
      <c r="W15" s="43">
        <f>KPIs!W18</f>
        <v>0.43565849886853308</v>
      </c>
      <c r="X15" s="43">
        <f>KPIs!X18</f>
        <v>0.43538767598984851</v>
      </c>
      <c r="Y15" s="43">
        <f>KPIs!Y18</f>
        <v>0.43511685311116388</v>
      </c>
      <c r="Z15" s="43">
        <f>KPIs!Z18</f>
        <v>0.43484603023247925</v>
      </c>
      <c r="AA15" s="43">
        <f>KPIs!AA18</f>
        <v>0.43457520735379462</v>
      </c>
      <c r="AB15" s="43">
        <f>KPIs!AB18</f>
        <v>0.43430438447510999</v>
      </c>
      <c r="AC15" s="43">
        <f>KPIs!AC18</f>
        <v>0.43403356159642542</v>
      </c>
      <c r="AD15" s="43">
        <f>KPIs!AD18</f>
        <v>0.43376273871774079</v>
      </c>
      <c r="AE15" s="43">
        <f>KPIs!AE18</f>
        <v>0.43349191583905616</v>
      </c>
      <c r="AF15" s="43">
        <f>KPIs!AF18</f>
        <v>0.43322109296037159</v>
      </c>
      <c r="AG15" s="43">
        <f>KPIs!AG18</f>
        <v>0.43295027008168696</v>
      </c>
      <c r="AH15" s="43">
        <f>KPIs!AH18</f>
        <v>0.43267944720300233</v>
      </c>
      <c r="AI15" s="71" t="s">
        <v>102</v>
      </c>
      <c r="AJ15" s="1"/>
      <c r="AK15" s="1"/>
      <c r="AL15" s="1"/>
      <c r="AM15" s="1"/>
    </row>
    <row r="16" spans="1:39">
      <c r="A16" s="1"/>
      <c r="B16" s="71" t="s">
        <v>7</v>
      </c>
      <c r="C16" s="43">
        <f>KPIs!C19</f>
        <v>9.5631897624222501E-2</v>
      </c>
      <c r="D16" s="43">
        <f>KPIs!D19</f>
        <v>9.530820626721051E-2</v>
      </c>
      <c r="E16" s="43">
        <f>KPIs!E19</f>
        <v>9.4984514910198548E-2</v>
      </c>
      <c r="F16" s="43">
        <f>KPIs!F19</f>
        <v>9.4660823553186557E-2</v>
      </c>
      <c r="G16" s="43">
        <f>KPIs!G19</f>
        <v>9.4337132196174595E-2</v>
      </c>
      <c r="H16" s="43">
        <f>KPIs!H19</f>
        <v>9.401344083916266E-2</v>
      </c>
      <c r="I16" s="43">
        <f>KPIs!I19</f>
        <v>9.3689749482150697E-2</v>
      </c>
      <c r="J16" s="43">
        <f>KPIs!J19</f>
        <v>9.3366058125138734E-2</v>
      </c>
      <c r="K16" s="43">
        <f>KPIs!K19</f>
        <v>9.3042366768126772E-2</v>
      </c>
      <c r="L16" s="43">
        <f>KPIs!L19</f>
        <v>9.2718675411114782E-2</v>
      </c>
      <c r="M16" s="43">
        <f>KPIs!M19</f>
        <v>9.2394984054102847E-2</v>
      </c>
      <c r="N16" s="43">
        <f>KPIs!N19</f>
        <v>9.2071292697090856E-2</v>
      </c>
      <c r="O16" s="43">
        <f>KPIs!O19</f>
        <v>9.1836020466045137E-2</v>
      </c>
      <c r="P16" s="43">
        <f>KPIs!P19</f>
        <v>9.1600748234999391E-2</v>
      </c>
      <c r="Q16" s="43">
        <f>KPIs!Q19</f>
        <v>9.1365476003953672E-2</v>
      </c>
      <c r="R16" s="43">
        <f>KPIs!R19</f>
        <v>9.1130203772907925E-2</v>
      </c>
      <c r="S16" s="43">
        <f>KPIs!S19</f>
        <v>9.0894931541862206E-2</v>
      </c>
      <c r="T16" s="43">
        <f>KPIs!T19</f>
        <v>9.0659659310816487E-2</v>
      </c>
      <c r="U16" s="43">
        <f>KPIs!U19</f>
        <v>9.0424387079770741E-2</v>
      </c>
      <c r="V16" s="43">
        <f>KPIs!V19</f>
        <v>9.0189114848724994E-2</v>
      </c>
      <c r="W16" s="43">
        <f>KPIs!W19</f>
        <v>8.9953842617679247E-2</v>
      </c>
      <c r="X16" s="43">
        <f>KPIs!X19</f>
        <v>8.9718570386633556E-2</v>
      </c>
      <c r="Y16" s="43">
        <f>KPIs!Y19</f>
        <v>8.9483298155587809E-2</v>
      </c>
      <c r="Z16" s="43">
        <f>KPIs!Z19</f>
        <v>8.9248025924542063E-2</v>
      </c>
      <c r="AA16" s="43">
        <f>KPIs!AA19</f>
        <v>8.9012753693496344E-2</v>
      </c>
      <c r="AB16" s="43">
        <f>KPIs!AB19</f>
        <v>8.8777481462450597E-2</v>
      </c>
      <c r="AC16" s="43">
        <f>KPIs!AC19</f>
        <v>8.8542209231404878E-2</v>
      </c>
      <c r="AD16" s="43">
        <f>KPIs!AD19</f>
        <v>8.8306937000359131E-2</v>
      </c>
      <c r="AE16" s="43">
        <f>KPIs!AE19</f>
        <v>8.8071664769313385E-2</v>
      </c>
      <c r="AF16" s="43">
        <f>KPIs!AF19</f>
        <v>8.7836392538267666E-2</v>
      </c>
      <c r="AG16" s="43">
        <f>KPIs!AG19</f>
        <v>8.7601120307221919E-2</v>
      </c>
      <c r="AH16" s="43">
        <f>KPIs!AH19</f>
        <v>8.7365848076176172E-2</v>
      </c>
      <c r="AI16" s="71" t="s">
        <v>7</v>
      </c>
      <c r="AJ16" s="1"/>
      <c r="AK16" s="1"/>
      <c r="AL16" s="1"/>
      <c r="AM16" s="1"/>
    </row>
    <row r="17" spans="1:39">
      <c r="A17" s="1"/>
      <c r="B17" s="71" t="s">
        <v>72</v>
      </c>
      <c r="C17" s="43">
        <f>KPIs!C20</f>
        <v>6.4907703423693036E-2</v>
      </c>
      <c r="D17" s="43">
        <f>KPIs!D20</f>
        <v>6.4740598932342075E-2</v>
      </c>
      <c r="E17" s="43">
        <f>KPIs!E20</f>
        <v>6.4573494440991086E-2</v>
      </c>
      <c r="F17" s="43">
        <f>KPIs!F20</f>
        <v>6.4406389949640125E-2</v>
      </c>
      <c r="G17" s="43">
        <f>KPIs!G20</f>
        <v>6.423928545828915E-2</v>
      </c>
      <c r="H17" s="43">
        <f>KPIs!H20</f>
        <v>6.4072180966938175E-2</v>
      </c>
      <c r="I17" s="43">
        <f>KPIs!I20</f>
        <v>6.3905076475587214E-2</v>
      </c>
      <c r="J17" s="43">
        <f>KPIs!J20</f>
        <v>6.3737971984236252E-2</v>
      </c>
      <c r="K17" s="43">
        <f>KPIs!K20</f>
        <v>6.3570867492885277E-2</v>
      </c>
      <c r="L17" s="43">
        <f>KPIs!L20</f>
        <v>6.3403763001534288E-2</v>
      </c>
      <c r="M17" s="43">
        <f>KPIs!M20</f>
        <v>6.3236658510183341E-2</v>
      </c>
      <c r="N17" s="43">
        <f>KPIs!N20</f>
        <v>6.3069554018832352E-2</v>
      </c>
      <c r="O17" s="43">
        <f>KPIs!O20</f>
        <v>6.2952700235237649E-2</v>
      </c>
      <c r="P17" s="43">
        <f>KPIs!P20</f>
        <v>6.2835846451642932E-2</v>
      </c>
      <c r="Q17" s="43">
        <f>KPIs!Q20</f>
        <v>6.2718992668048229E-2</v>
      </c>
      <c r="R17" s="43">
        <f>KPIs!R20</f>
        <v>6.2602138884453498E-2</v>
      </c>
      <c r="S17" s="43">
        <f>KPIs!S20</f>
        <v>6.2485285100858781E-2</v>
      </c>
      <c r="T17" s="43">
        <f>KPIs!T20</f>
        <v>6.2368431317264092E-2</v>
      </c>
      <c r="U17" s="43">
        <f>KPIs!U20</f>
        <v>6.2251577533669361E-2</v>
      </c>
      <c r="V17" s="43">
        <f>KPIs!V20</f>
        <v>6.2134723750074658E-2</v>
      </c>
      <c r="W17" s="43">
        <f>KPIs!W20</f>
        <v>6.2017869966479927E-2</v>
      </c>
      <c r="X17" s="43">
        <f>KPIs!X20</f>
        <v>6.1901016182885224E-2</v>
      </c>
      <c r="Y17" s="43">
        <f>KPIs!Y20</f>
        <v>6.1784162399290507E-2</v>
      </c>
      <c r="Z17" s="43">
        <f>KPIs!Z20</f>
        <v>6.166730861569579E-2</v>
      </c>
      <c r="AA17" s="43">
        <f>KPIs!AA20</f>
        <v>6.1550454832101073E-2</v>
      </c>
      <c r="AB17" s="43">
        <f>KPIs!AB20</f>
        <v>6.143360104850637E-2</v>
      </c>
      <c r="AC17" s="43">
        <f>KPIs!AC20</f>
        <v>6.1316747264911653E-2</v>
      </c>
      <c r="AD17" s="43">
        <f>KPIs!AD20</f>
        <v>6.1199893481316936E-2</v>
      </c>
      <c r="AE17" s="43">
        <f>KPIs!AE20</f>
        <v>6.1083039697722219E-2</v>
      </c>
      <c r="AF17" s="43">
        <f>KPIs!AF20</f>
        <v>6.0966185914127516E-2</v>
      </c>
      <c r="AG17" s="43">
        <f>KPIs!AG20</f>
        <v>6.0849332130532799E-2</v>
      </c>
      <c r="AH17" s="43">
        <f>KPIs!AH20</f>
        <v>6.0732478346938068E-2</v>
      </c>
      <c r="AI17" s="71" t="s">
        <v>103</v>
      </c>
      <c r="AJ17" s="1"/>
      <c r="AK17" s="1"/>
      <c r="AL17" s="1"/>
      <c r="AM17" s="1"/>
    </row>
    <row r="18" spans="1:39">
      <c r="A18" s="1"/>
      <c r="B18" s="1"/>
      <c r="AI18" s="1"/>
      <c r="AJ18" s="1"/>
      <c r="AK18" s="1"/>
      <c r="AL18" s="1"/>
      <c r="AM18" s="1"/>
    </row>
    <row r="19" spans="1:39">
      <c r="A19" s="1"/>
      <c r="B19" s="71" t="s">
        <v>115</v>
      </c>
      <c r="C19" s="71">
        <v>2019</v>
      </c>
      <c r="D19" s="71">
        <v>2020</v>
      </c>
      <c r="E19" s="71">
        <v>2021</v>
      </c>
      <c r="F19" s="71">
        <v>2022</v>
      </c>
      <c r="G19" s="71">
        <v>2023</v>
      </c>
      <c r="H19" s="71">
        <v>2024</v>
      </c>
      <c r="I19" s="71">
        <v>2025</v>
      </c>
      <c r="J19" s="71">
        <v>2026</v>
      </c>
      <c r="K19" s="71">
        <v>2027</v>
      </c>
      <c r="L19" s="71">
        <v>2028</v>
      </c>
      <c r="M19" s="71">
        <v>2029</v>
      </c>
      <c r="N19" s="71">
        <v>2030</v>
      </c>
      <c r="O19" s="71">
        <v>2031</v>
      </c>
      <c r="P19" s="71">
        <v>2032</v>
      </c>
      <c r="Q19" s="71">
        <v>2033</v>
      </c>
      <c r="R19" s="71">
        <v>2034</v>
      </c>
      <c r="S19" s="71">
        <v>2035</v>
      </c>
      <c r="T19" s="71">
        <v>2036</v>
      </c>
      <c r="U19" s="71">
        <v>2037</v>
      </c>
      <c r="V19" s="71">
        <v>2038</v>
      </c>
      <c r="W19" s="71">
        <v>2039</v>
      </c>
      <c r="X19" s="71">
        <v>2040</v>
      </c>
      <c r="Y19" s="71">
        <v>2041</v>
      </c>
      <c r="Z19" s="71">
        <v>2042</v>
      </c>
      <c r="AA19" s="71">
        <v>2043</v>
      </c>
      <c r="AB19" s="71">
        <v>2044</v>
      </c>
      <c r="AC19" s="71">
        <v>2045</v>
      </c>
      <c r="AD19" s="71">
        <v>2046</v>
      </c>
      <c r="AE19" s="71">
        <v>2047</v>
      </c>
      <c r="AF19" s="71">
        <v>2048</v>
      </c>
      <c r="AG19" s="71">
        <v>2049</v>
      </c>
      <c r="AH19" s="71">
        <v>2050</v>
      </c>
      <c r="AI19" s="1"/>
      <c r="AJ19" s="1"/>
      <c r="AK19" s="1"/>
      <c r="AL19" s="1"/>
      <c r="AM19" s="1"/>
    </row>
    <row r="20" spans="1:39">
      <c r="A20" s="1"/>
      <c r="B20" s="71">
        <v>1</v>
      </c>
      <c r="C20" s="45" t="str">
        <f>VLOOKUP(SMALL($C$5:$C$17,1),$C$5:$AI$17,33,FALSE)</f>
        <v>Gas - CC</v>
      </c>
      <c r="D20" s="45" t="str">
        <f>VLOOKUP(SMALL($D$5:$D$17,1),$D$5:$AI$17,32,FALSE)</f>
        <v>Solar PV</v>
      </c>
      <c r="E20" s="45" t="str">
        <f>VLOOKUP(SMALL($E$5:$E$17,1),$E$5:$AI$17,31,FALSE)</f>
        <v>Solar PV</v>
      </c>
      <c r="F20" s="45" t="str">
        <f>VLOOKUP(SMALL($F$5:$F$17,1),$F$5:$AI$17,30,FALSE)</f>
        <v>Solar PV</v>
      </c>
      <c r="G20" s="45" t="str">
        <f>VLOOKUP(SMALL($G$5:$G$17,1),$G$5:$AI$17,29,FALSE)</f>
        <v>Solar PV</v>
      </c>
      <c r="H20" s="45" t="str">
        <f>VLOOKUP(SMALL($H$5:$H$17,1),$H$5:$AI$17,28,FALSE)</f>
        <v>Solar PV</v>
      </c>
      <c r="I20" s="45" t="str">
        <f>VLOOKUP(SMALL($I$5:$I$17,1),$I$5:$AI$17,27,FALSE)</f>
        <v>Solar PV</v>
      </c>
      <c r="J20" s="45" t="str">
        <f>VLOOKUP(SMALL($J$5:$J$17,1),$J$5:$AI$17,26,FALSE)</f>
        <v>Solar PV</v>
      </c>
      <c r="K20" s="45" t="str">
        <f>VLOOKUP(SMALL($K$5:$K$17,1),$K$5:$AI$17,25,FALSE)</f>
        <v>Solar PV</v>
      </c>
      <c r="L20" s="45" t="str">
        <f>VLOOKUP(SMALL($L$5:$L$17,1),$L$5:$AI$17,24,FALSE)</f>
        <v>Solar PV</v>
      </c>
      <c r="M20" s="45" t="str">
        <f>VLOOKUP(SMALL($M$5:$M$17,1),$M$5:$AI$17,23,FALSE)</f>
        <v>Solar PV</v>
      </c>
      <c r="N20" s="45" t="str">
        <f>VLOOKUP(SMALL($N$5:$N$17,1),$N$5:$AI$17,22,FALSE)</f>
        <v>Solar PV</v>
      </c>
      <c r="O20" s="45" t="str">
        <f>VLOOKUP(SMALL($O$5:$O$17,1),$O$5:$AI$17,21,FALSE)</f>
        <v>Solar PV</v>
      </c>
      <c r="P20" s="45" t="str">
        <f>VLOOKUP(SMALL($P$5:$P$17,1),$P$5:$AI$17,20,FALSE)</f>
        <v>Solar PV</v>
      </c>
      <c r="Q20" s="45" t="str">
        <f>VLOOKUP(SMALL($Q$5:$Q$17,1),$Q$5:$AI$17,19,FALSE)</f>
        <v>Solar PV</v>
      </c>
      <c r="R20" s="45" t="str">
        <f>VLOOKUP(SMALL($R$5:$R$17,1),$R$5:$AI$17,18,FALSE)</f>
        <v>Solar PV</v>
      </c>
      <c r="S20" s="45" t="str">
        <f>VLOOKUP(SMALL($S$5:$S$17,1),$S$5:$AI$17,17,FALSE)</f>
        <v>Solar PV</v>
      </c>
      <c r="T20" s="45" t="str">
        <f>VLOOKUP(SMALL($T$5:$T$17,1),$T$5:$AI$17,16,FALSE)</f>
        <v>Solar PV</v>
      </c>
      <c r="U20" s="45" t="str">
        <f>VLOOKUP(SMALL($U$5:$U$17,1),$U$5:$AI$17,15,FALSE)</f>
        <v>Solar PV</v>
      </c>
      <c r="V20" s="45" t="str">
        <f>VLOOKUP(SMALL($V$5:$V$17,1),$V$5:$AI$17,14,FALSE)</f>
        <v>Solar PV</v>
      </c>
      <c r="W20" s="45" t="str">
        <f>VLOOKUP(SMALL($W$5:$W$17,1),$W$5:$AI$17,13,FALSE)</f>
        <v>Solar PV</v>
      </c>
      <c r="X20" s="45" t="str">
        <f>VLOOKUP(SMALL($X$5:$X$17,1),$X$5:$AI$17,12,FALSE)</f>
        <v>Solar PV</v>
      </c>
      <c r="Y20" s="45" t="str">
        <f>VLOOKUP(SMALL($Y$5:$Y$17,1),$Y$5:$AI$17,11,FALSE)</f>
        <v>Solar PV</v>
      </c>
      <c r="Z20" s="45" t="str">
        <f>VLOOKUP(SMALL($Z$5:$Z$17,1),$Z$5:$AI$17,10,FALSE)</f>
        <v>Solar PV</v>
      </c>
      <c r="AA20" s="45" t="str">
        <f>VLOOKUP(SMALL($AA$5:$AA$17,1),$AA$5:$AI$17,9,FALSE)</f>
        <v>Solar PV</v>
      </c>
      <c r="AB20" s="45" t="str">
        <f>VLOOKUP(SMALL($AB$5:$AB$17,1),$AB$5:$AI$17,8,FALSE)</f>
        <v>Solar PV</v>
      </c>
      <c r="AC20" s="45" t="str">
        <f>VLOOKUP(SMALL($AC$5:$AC$17,1),$AC$5:$AI$17,7,FALSE)</f>
        <v>Solar PV</v>
      </c>
      <c r="AD20" s="45" t="str">
        <f>VLOOKUP(SMALL($AD$5:$AD$17,1),$AD$5:$AI$17,6,FALSE)</f>
        <v>Solar PV</v>
      </c>
      <c r="AE20" s="45" t="str">
        <f>VLOOKUP(SMALL($AE$5:$AE$17,1),$AE$5:$AI$17,5,FALSE)</f>
        <v>Solar PV</v>
      </c>
      <c r="AF20" s="45" t="str">
        <f>VLOOKUP(SMALL($AF$5:$AF$17,1),$AF$5:$AI$17,4,FALSE)</f>
        <v>Solar PV</v>
      </c>
      <c r="AG20" s="45" t="str">
        <f>VLOOKUP(SMALL($AG$5:$AG$17,1),$AG$5:$AI$17,3,FALSE)</f>
        <v>Solar PV</v>
      </c>
      <c r="AH20" s="45" t="str">
        <f>VLOOKUP(SMALL($AH$5:$AH$17,1),$AH$5:$AI$17,2,FALSE)</f>
        <v>Solar PV</v>
      </c>
      <c r="AI20" s="1"/>
      <c r="AJ20" s="1"/>
      <c r="AK20" s="1"/>
      <c r="AL20" s="1"/>
      <c r="AM20" s="1"/>
    </row>
    <row r="21" spans="1:39">
      <c r="A21" s="1"/>
      <c r="B21" s="71">
        <v>2</v>
      </c>
      <c r="C21" s="45" t="str">
        <f>VLOOKUP(SMALL($C$5:$C$17,2),$C$5:$AI$17,33,FALSE)</f>
        <v>Solar PV</v>
      </c>
      <c r="D21" s="45" t="str">
        <f>VLOOKUP(SMALL($D$5:$D$17,2),$D$5:$AI$17,32,FALSE)</f>
        <v>Gas - CC</v>
      </c>
      <c r="E21" s="45" t="str">
        <f>VLOOKUP(SMALL($E$5:$E$17,2),$E$5:$AI$17,31,FALSE)</f>
        <v>Gas - CC</v>
      </c>
      <c r="F21" s="45" t="str">
        <f>VLOOKUP(SMALL($F$5:$F$17,2),$F$5:$AI$17,30,FALSE)</f>
        <v>Gas - CC</v>
      </c>
      <c r="G21" s="45" t="str">
        <f>VLOOKUP(SMALL($G$5:$G$17,2),$G$5:$AI$17,29,FALSE)</f>
        <v>Gas - CC</v>
      </c>
      <c r="H21" s="45" t="str">
        <f>VLOOKUP(SMALL($H$5:$H$17,2),$H$5:$AI$17,28,FALSE)</f>
        <v>Gas - CC</v>
      </c>
      <c r="I21" s="45" t="str">
        <f>VLOOKUP(SMALL($I$5:$I$17,2),$I$5:$AI$17,27,FALSE)</f>
        <v>Gas - CC</v>
      </c>
      <c r="J21" s="45" t="str">
        <f>VLOOKUP(SMALL($J$5:$J$17,2),$J$5:$AI$17,26,FALSE)</f>
        <v>Gas - CC</v>
      </c>
      <c r="K21" s="45" t="str">
        <f>VLOOKUP(SMALL($K$5:$K$17,2),$K$5:$AI$17,25,FALSE)</f>
        <v>Gas - CC</v>
      </c>
      <c r="L21" s="45" t="str">
        <f>VLOOKUP(SMALL($L$5:$L$17,2),$L$5:$AI$17,24,FALSE)</f>
        <v>Gas - CC</v>
      </c>
      <c r="M21" s="45" t="str">
        <f>VLOOKUP(SMALL($M$5:$M$17,2),$M$5:$AI$17,23,FALSE)</f>
        <v>Gas - CC</v>
      </c>
      <c r="N21" s="45" t="str">
        <f>VLOOKUP(SMALL($N$5:$N$17,2),$N$5:$AI$17,22,FALSE)</f>
        <v>Gas - CC</v>
      </c>
      <c r="O21" s="45" t="str">
        <f>VLOOKUP(SMALL($O$5:$O$17,2),$O$5:$AI$17,21,FALSE)</f>
        <v>Gas - CC</v>
      </c>
      <c r="P21" s="45" t="str">
        <f>VLOOKUP(SMALL($P$5:$P$17,2),$P$5:$AI$17,20,FALSE)</f>
        <v>Gas - CC</v>
      </c>
      <c r="Q21" s="45" t="str">
        <f>VLOOKUP(SMALL($Q$5:$Q$17,2),$Q$5:$AI$17,19,FALSE)</f>
        <v>Gas - CC</v>
      </c>
      <c r="R21" s="45" t="str">
        <f>VLOOKUP(SMALL($R$5:$R$17,2),$R$5:$AI$17,18,FALSE)</f>
        <v>Gas - CC</v>
      </c>
      <c r="S21" s="45" t="str">
        <f>VLOOKUP(SMALL($S$5:$S$17,2),$S$5:$AI$17,17,FALSE)</f>
        <v>Gas - CC</v>
      </c>
      <c r="T21" s="45" t="str">
        <f>VLOOKUP(SMALL($T$5:$T$17,2),$T$5:$AI$17,16,FALSE)</f>
        <v>Gas - CC</v>
      </c>
      <c r="U21" s="45" t="str">
        <f>VLOOKUP(SMALL($U$5:$U$17,2),$U$5:$AI$17,15,FALSE)</f>
        <v>Gas - CC</v>
      </c>
      <c r="V21" s="45" t="str">
        <f>VLOOKUP(SMALL($V$5:$V$17,2),$V$5:$AI$17,14,FALSE)</f>
        <v>Gas - CC</v>
      </c>
      <c r="W21" s="45" t="str">
        <f>VLOOKUP(SMALL($W$5:$W$17,2),$W$5:$AI$17,13,FALSE)</f>
        <v>Gas - CC</v>
      </c>
      <c r="X21" s="45" t="str">
        <f>VLOOKUP(SMALL($X$5:$X$17,2),$X$5:$AI$17,12,FALSE)</f>
        <v>Gas - CC</v>
      </c>
      <c r="Y21" s="45" t="str">
        <f>VLOOKUP(SMALL($Y$5:$Y$17,2),$Y$5:$AI$17,11,FALSE)</f>
        <v>Gas - CC</v>
      </c>
      <c r="Z21" s="45" t="str">
        <f>VLOOKUP(SMALL($Z$5:$Z$17,2),$Z$5:$AI$17,10,FALSE)</f>
        <v>Gas - CC</v>
      </c>
      <c r="AA21" s="45" t="str">
        <f>VLOOKUP(SMALL($AA$5:$AA$17,2),$AA$5:$AI$17,9,FALSE)</f>
        <v>Gas - CC</v>
      </c>
      <c r="AB21" s="45" t="str">
        <f>VLOOKUP(SMALL($AB$5:$AB$17,2),$AB$5:$AI$17,8,FALSE)</f>
        <v>Gas - CC</v>
      </c>
      <c r="AC21" s="45" t="str">
        <f>VLOOKUP(SMALL($AC$5:$AC$17,2),$AC$5:$AI$17,7,FALSE)</f>
        <v>Gas - CC</v>
      </c>
      <c r="AD21" s="45" t="str">
        <f>VLOOKUP(SMALL($AD$5:$AD$17,2),$AD$5:$AI$17,6,FALSE)</f>
        <v>Gas - CC</v>
      </c>
      <c r="AE21" s="45" t="str">
        <f>VLOOKUP(SMALL($AE$5:$AE$17,2),$AE$5:$AI$17,5,FALSE)</f>
        <v>Gas - CC</v>
      </c>
      <c r="AF21" s="45" t="str">
        <f>VLOOKUP(SMALL($AF$5:$AF$17,2),$AF$5:$AI$17,4,FALSE)</f>
        <v>Gas - CC</v>
      </c>
      <c r="AG21" s="45" t="str">
        <f>VLOOKUP(SMALL($AG$5:$AG$17,2),$AG$5:$AI$17,3,FALSE)</f>
        <v>Gas - CC</v>
      </c>
      <c r="AH21" s="45" t="str">
        <f>VLOOKUP(SMALL($AH$5:$AH$17,2),$AH$5:$AI$17,2,FALSE)</f>
        <v>Gas - CC</v>
      </c>
      <c r="AI21" s="1"/>
      <c r="AJ21" s="1"/>
      <c r="AK21" s="1"/>
      <c r="AL21" s="1"/>
      <c r="AM21" s="1"/>
    </row>
    <row r="22" spans="1:39">
      <c r="A22" s="1"/>
      <c r="B22" s="71">
        <v>3</v>
      </c>
      <c r="C22" s="45" t="str">
        <f>VLOOKUP(SMALL($C$5:$C$17,3),$C$5:$AI$17,33,FALSE)</f>
        <v>Gas CCS</v>
      </c>
      <c r="D22" s="45" t="str">
        <f>VLOOKUP(SMALL($D$5:$D$17,3),$D$5:$AI$17,32,FALSE)</f>
        <v>Gas CCS</v>
      </c>
      <c r="E22" s="45" t="str">
        <f>VLOOKUP(SMALL($E$5:$E$17,3),$E$5:$AI$17,31,FALSE)</f>
        <v>Gas CCS</v>
      </c>
      <c r="F22" s="45" t="str">
        <f>VLOOKUP(SMALL($F$5:$F$17,3),$F$5:$AI$17,30,FALSE)</f>
        <v>Gas CCS</v>
      </c>
      <c r="G22" s="45" t="str">
        <f>VLOOKUP(SMALL($G$5:$G$17,3),$G$5:$AI$17,29,FALSE)</f>
        <v>Gas CCS</v>
      </c>
      <c r="H22" s="45" t="str">
        <f>VLOOKUP(SMALL($H$5:$H$17,3),$H$5:$AI$17,28,FALSE)</f>
        <v>Gas CCS</v>
      </c>
      <c r="I22" s="45" t="str">
        <f>VLOOKUP(SMALL($I$5:$I$17,3),$I$5:$AI$17,27,FALSE)</f>
        <v>Gas CCS</v>
      </c>
      <c r="J22" s="45" t="str">
        <f>VLOOKUP(SMALL($J$5:$J$17,3),$J$5:$AI$17,26,FALSE)</f>
        <v>Gas CCS</v>
      </c>
      <c r="K22" s="45" t="str">
        <f>VLOOKUP(SMALL($K$5:$K$17,3),$K$5:$AI$17,25,FALSE)</f>
        <v>Gas CCS</v>
      </c>
      <c r="L22" s="45" t="str">
        <f>VLOOKUP(SMALL($L$5:$L$17,3),$L$5:$AI$17,24,FALSE)</f>
        <v>Gas CCS</v>
      </c>
      <c r="M22" s="45" t="str">
        <f>VLOOKUP(SMALL($M$5:$M$17,3),$M$5:$AI$17,23,FALSE)</f>
        <v>Nuclear</v>
      </c>
      <c r="N22" s="45" t="str">
        <f>VLOOKUP(SMALL($N$5:$N$17,3),$N$5:$AI$17,22,FALSE)</f>
        <v>Nuclear</v>
      </c>
      <c r="O22" s="45" t="str">
        <f>VLOOKUP(SMALL($O$5:$O$17,3),$O$5:$AI$17,21,FALSE)</f>
        <v>Nuclear</v>
      </c>
      <c r="P22" s="45" t="str">
        <f>VLOOKUP(SMALL($P$5:$P$17,3),$P$5:$AI$17,20,FALSE)</f>
        <v>Nuclear</v>
      </c>
      <c r="Q22" s="45" t="str">
        <f>VLOOKUP(SMALL($Q$5:$Q$17,3),$Q$5:$AI$17,19,FALSE)</f>
        <v>Nuclear</v>
      </c>
      <c r="R22" s="45" t="str">
        <f>VLOOKUP(SMALL($R$5:$R$17,3),$R$5:$AI$17,18,FALSE)</f>
        <v>Gas CCS</v>
      </c>
      <c r="S22" s="45" t="str">
        <f>VLOOKUP(SMALL($S$5:$S$17,3),$S$5:$AI$17,17,FALSE)</f>
        <v>Gas CCS</v>
      </c>
      <c r="T22" s="45" t="str">
        <f>VLOOKUP(SMALL($T$5:$T$17,3),$T$5:$AI$17,16,FALSE)</f>
        <v>Gas CCS</v>
      </c>
      <c r="U22" s="45" t="str">
        <f>VLOOKUP(SMALL($U$5:$U$17,3),$U$5:$AI$17,15,FALSE)</f>
        <v>Gas CCS</v>
      </c>
      <c r="V22" s="45" t="str">
        <f>VLOOKUP(SMALL($V$5:$V$17,3),$V$5:$AI$17,14,FALSE)</f>
        <v>Gas CCS</v>
      </c>
      <c r="W22" s="45" t="str">
        <f>VLOOKUP(SMALL($W$5:$W$17,3),$W$5:$AI$17,13,FALSE)</f>
        <v>Gas CCS</v>
      </c>
      <c r="X22" s="45" t="str">
        <f>VLOOKUP(SMALL($X$5:$X$17,3),$X$5:$AI$17,12,FALSE)</f>
        <v>Gas CCS</v>
      </c>
      <c r="Y22" s="45" t="str">
        <f>VLOOKUP(SMALL($Y$5:$Y$17,3),$Y$5:$AI$17,11,FALSE)</f>
        <v>Gas CCS</v>
      </c>
      <c r="Z22" s="45" t="str">
        <f>VLOOKUP(SMALL($Z$5:$Z$17,3),$Z$5:$AI$17,10,FALSE)</f>
        <v>Gas CCS</v>
      </c>
      <c r="AA22" s="45" t="str">
        <f>VLOOKUP(SMALL($AA$5:$AA$17,3),$AA$5:$AI$17,9,FALSE)</f>
        <v>Gas CCS</v>
      </c>
      <c r="AB22" s="45" t="str">
        <f>VLOOKUP(SMALL($AB$5:$AB$17,3),$AB$5:$AI$17,8,FALSE)</f>
        <v>Gas CCS</v>
      </c>
      <c r="AC22" s="45" t="str">
        <f>VLOOKUP(SMALL($AC$5:$AC$17,3),$AC$5:$AI$17,7,FALSE)</f>
        <v>Gas CCS</v>
      </c>
      <c r="AD22" s="45" t="str">
        <f>VLOOKUP(SMALL($AD$5:$AD$17,3),$AD$5:$AI$17,6,FALSE)</f>
        <v>Gas CCS</v>
      </c>
      <c r="AE22" s="45" t="str">
        <f>VLOOKUP(SMALL($AE$5:$AE$17,3),$AE$5:$AI$17,5,FALSE)</f>
        <v>Gas CCS</v>
      </c>
      <c r="AF22" s="45" t="str">
        <f>VLOOKUP(SMALL($AF$5:$AF$17,3),$AF$5:$AI$17,4,FALSE)</f>
        <v>Gas CCS</v>
      </c>
      <c r="AG22" s="45" t="str">
        <f>VLOOKUP(SMALL($AG$5:$AG$17,3),$AG$5:$AI$17,3,FALSE)</f>
        <v>Gas CCS</v>
      </c>
      <c r="AH22" s="45" t="str">
        <f>VLOOKUP(SMALL($AH$5:$AH$17,3),$AH$5:$AI$17,2,FALSE)</f>
        <v>Gas CCS</v>
      </c>
      <c r="AI22" s="1"/>
      <c r="AJ22" s="1"/>
      <c r="AK22" s="1"/>
      <c r="AL22" s="1"/>
      <c r="AM22" s="1"/>
    </row>
    <row r="23" spans="1:39">
      <c r="A23" s="1"/>
      <c r="B23" s="71">
        <v>4</v>
      </c>
      <c r="C23" s="45" t="str">
        <f>VLOOKUP(SMALL($C$5:$C$17,4),$C$5:$AI$17,33,FALSE)</f>
        <v>Nuclear</v>
      </c>
      <c r="D23" s="45" t="str">
        <f>VLOOKUP(SMALL($D$5:$D$17,4),$D$5:$AI$17,32,FALSE)</f>
        <v>Nuclear</v>
      </c>
      <c r="E23" s="45" t="str">
        <f>VLOOKUP(SMALL($E$5:$E$17,4),$E$5:$AI$17,31,FALSE)</f>
        <v>Nuclear</v>
      </c>
      <c r="F23" s="45" t="str">
        <f>VLOOKUP(SMALL($F$5:$F$17,4),$F$5:$AI$17,30,FALSE)</f>
        <v>Nuclear</v>
      </c>
      <c r="G23" s="45" t="str">
        <f>VLOOKUP(SMALL($G$5:$G$17,4),$G$5:$AI$17,29,FALSE)</f>
        <v>Nuclear</v>
      </c>
      <c r="H23" s="45" t="str">
        <f>VLOOKUP(SMALL($H$5:$H$17,4),$H$5:$AI$17,28,FALSE)</f>
        <v>Nuclear</v>
      </c>
      <c r="I23" s="45" t="str">
        <f>VLOOKUP(SMALL($I$5:$I$17,4),$I$5:$AI$17,27,FALSE)</f>
        <v>Nuclear</v>
      </c>
      <c r="J23" s="45" t="str">
        <f>VLOOKUP(SMALL($J$5:$J$17,4),$J$5:$AI$17,26,FALSE)</f>
        <v>Nuclear</v>
      </c>
      <c r="K23" s="45" t="str">
        <f>VLOOKUP(SMALL($K$5:$K$17,4),$K$5:$AI$17,25,FALSE)</f>
        <v>Nuclear</v>
      </c>
      <c r="L23" s="45" t="str">
        <f>VLOOKUP(SMALL($L$5:$L$17,4),$L$5:$AI$17,24,FALSE)</f>
        <v>Nuclear</v>
      </c>
      <c r="M23" s="45" t="str">
        <f>VLOOKUP(SMALL($M$5:$M$17,4),$M$5:$AI$17,23,FALSE)</f>
        <v>Wind On</v>
      </c>
      <c r="N23" s="45" t="str">
        <f>VLOOKUP(SMALL($N$5:$N$17,4),$N$5:$AI$17,22,FALSE)</f>
        <v>Wind On</v>
      </c>
      <c r="O23" s="45" t="str">
        <f>VLOOKUP(SMALL($O$5:$O$17,4),$O$5:$AI$17,21,FALSE)</f>
        <v>Wind On</v>
      </c>
      <c r="P23" s="45" t="str">
        <f>VLOOKUP(SMALL($P$5:$P$17,4),$P$5:$AI$17,20,FALSE)</f>
        <v>Wind On</v>
      </c>
      <c r="Q23" s="45" t="str">
        <f>VLOOKUP(SMALL($Q$5:$Q$17,4),$Q$5:$AI$17,19,FALSE)</f>
        <v>Wind On</v>
      </c>
      <c r="R23" s="45" t="str">
        <f>VLOOKUP(SMALL($R$5:$R$17,4),$R$5:$AI$17,18,FALSE)</f>
        <v>Nuclear</v>
      </c>
      <c r="S23" s="45" t="str">
        <f>VLOOKUP(SMALL($S$5:$S$17,4),$S$5:$AI$17,17,FALSE)</f>
        <v>Nuclear</v>
      </c>
      <c r="T23" s="45" t="str">
        <f>VLOOKUP(SMALL($T$5:$T$17,4),$T$5:$AI$17,16,FALSE)</f>
        <v>Nuclear</v>
      </c>
      <c r="U23" s="45" t="str">
        <f>VLOOKUP(SMALL($U$5:$U$17,4),$U$5:$AI$17,15,FALSE)</f>
        <v>Nuclear</v>
      </c>
      <c r="V23" s="45" t="str">
        <f>VLOOKUP(SMALL($V$5:$V$17,4),$V$5:$AI$17,14,FALSE)</f>
        <v>Nuclear</v>
      </c>
      <c r="W23" s="45" t="str">
        <f>VLOOKUP(SMALL($W$5:$W$17,4),$W$5:$AI$17,13,FALSE)</f>
        <v>Nuclear</v>
      </c>
      <c r="X23" s="45" t="str">
        <f>VLOOKUP(SMALL($X$5:$X$17,4),$X$5:$AI$17,12,FALSE)</f>
        <v>Nuclear</v>
      </c>
      <c r="Y23" s="45" t="str">
        <f>VLOOKUP(SMALL($Y$5:$Y$17,4),$Y$5:$AI$17,11,FALSE)</f>
        <v>Nuclear</v>
      </c>
      <c r="Z23" s="45" t="str">
        <f>VLOOKUP(SMALL($Z$5:$Z$17,4),$Z$5:$AI$17,10,FALSE)</f>
        <v>Nuclear</v>
      </c>
      <c r="AA23" s="45" t="str">
        <f>VLOOKUP(SMALL($AA$5:$AA$17,4),$AA$5:$AI$17,9,FALSE)</f>
        <v>Nuclear</v>
      </c>
      <c r="AB23" s="45" t="str">
        <f>VLOOKUP(SMALL($AB$5:$AB$17,4),$AB$5:$AI$17,8,FALSE)</f>
        <v>Nuclear</v>
      </c>
      <c r="AC23" s="45" t="str">
        <f>VLOOKUP(SMALL($AC$5:$AC$17,4),$AC$5:$AI$17,7,FALSE)</f>
        <v>Nuclear</v>
      </c>
      <c r="AD23" s="45" t="str">
        <f>VLOOKUP(SMALL($AD$5:$AD$17,4),$AD$5:$AI$17,6,FALSE)</f>
        <v>Nuclear</v>
      </c>
      <c r="AE23" s="45" t="str">
        <f>VLOOKUP(SMALL($AE$5:$AE$17,4),$AE$5:$AI$17,5,FALSE)</f>
        <v>Nuclear</v>
      </c>
      <c r="AF23" s="45" t="str">
        <f>VLOOKUP(SMALL($AF$5:$AF$17,4),$AF$5:$AI$17,4,FALSE)</f>
        <v>Nuclear</v>
      </c>
      <c r="AG23" s="45" t="str">
        <f>VLOOKUP(SMALL($AG$5:$AG$17,4),$AG$5:$AI$17,3,FALSE)</f>
        <v>Nuclear</v>
      </c>
      <c r="AH23" s="45" t="str">
        <f>VLOOKUP(SMALL($AH$5:$AH$17,4),$AH$5:$AI$17,2,FALSE)</f>
        <v>Nuclear</v>
      </c>
      <c r="AI23" s="1"/>
      <c r="AJ23" s="1"/>
      <c r="AK23" s="1"/>
      <c r="AL23" s="1"/>
      <c r="AM23" s="1"/>
    </row>
    <row r="24" spans="1:39">
      <c r="A24" s="1"/>
      <c r="B24" s="71">
        <v>5</v>
      </c>
      <c r="C24" s="45" t="str">
        <f>VLOOKUP(SMALL($C$5:$C$17,5),$C$5:$AI$17,33,FALSE)</f>
        <v>Wind On</v>
      </c>
      <c r="D24" s="45" t="str">
        <f>VLOOKUP(SMALL($D$5:$D$17,5),$D$5:$AI$17,32,FALSE)</f>
        <v>Wind On</v>
      </c>
      <c r="E24" s="45" t="str">
        <f>VLOOKUP(SMALL($E$5:$E$17,5),$E$5:$AI$17,31,FALSE)</f>
        <v>Wind On</v>
      </c>
      <c r="F24" s="45" t="str">
        <f>VLOOKUP(SMALL($F$5:$F$17,5),$F$5:$AI$17,30,FALSE)</f>
        <v>Wind On</v>
      </c>
      <c r="G24" s="45" t="str">
        <f>VLOOKUP(SMALL($G$5:$G$17,5),$G$5:$AI$17,29,FALSE)</f>
        <v>Wind On</v>
      </c>
      <c r="H24" s="45" t="str">
        <f>VLOOKUP(SMALL($H$5:$H$17,5),$H$5:$AI$17,28,FALSE)</f>
        <v>Wind On</v>
      </c>
      <c r="I24" s="45" t="str">
        <f>VLOOKUP(SMALL($I$5:$I$17,5),$I$5:$AI$17,27,FALSE)</f>
        <v>Wind On</v>
      </c>
      <c r="J24" s="45" t="str">
        <f>VLOOKUP(SMALL($J$5:$J$17,5),$J$5:$AI$17,26,FALSE)</f>
        <v>Wind On</v>
      </c>
      <c r="K24" s="45" t="str">
        <f>VLOOKUP(SMALL($K$5:$K$17,5),$K$5:$AI$17,25,FALSE)</f>
        <v>Wind On</v>
      </c>
      <c r="L24" s="45" t="str">
        <f>VLOOKUP(SMALL($L$5:$L$17,5),$L$5:$AI$17,24,FALSE)</f>
        <v>Wind On</v>
      </c>
      <c r="M24" s="45" t="str">
        <f>VLOOKUP(SMALL($M$5:$M$17,5),$M$5:$AI$17,23,FALSE)</f>
        <v>Gas CCS</v>
      </c>
      <c r="N24" s="45" t="str">
        <f>VLOOKUP(SMALL($N$5:$N$17,5),$N$5:$AI$17,22,FALSE)</f>
        <v>Gas CCS</v>
      </c>
      <c r="O24" s="45" t="str">
        <f>VLOOKUP(SMALL($O$5:$O$17,5),$O$5:$AI$17,21,FALSE)</f>
        <v>Gas CCS</v>
      </c>
      <c r="P24" s="45" t="str">
        <f>VLOOKUP(SMALL($P$5:$P$17,5),$P$5:$AI$17,20,FALSE)</f>
        <v>Gas CCS</v>
      </c>
      <c r="Q24" s="45" t="str">
        <f>VLOOKUP(SMALL($Q$5:$Q$17,5),$Q$5:$AI$17,19,FALSE)</f>
        <v>Gas CCS</v>
      </c>
      <c r="R24" s="45" t="str">
        <f>VLOOKUP(SMALL($R$5:$R$17,5),$R$5:$AI$17,18,FALSE)</f>
        <v>Wind On</v>
      </c>
      <c r="S24" s="45" t="str">
        <f>VLOOKUP(SMALL($S$5:$S$17,5),$S$5:$AI$17,17,FALSE)</f>
        <v>Wind On</v>
      </c>
      <c r="T24" s="45" t="str">
        <f>VLOOKUP(SMALL($T$5:$T$17,5),$T$5:$AI$17,16,FALSE)</f>
        <v>Wind On</v>
      </c>
      <c r="U24" s="45" t="str">
        <f>VLOOKUP(SMALL($U$5:$U$17,5),$U$5:$AI$17,15,FALSE)</f>
        <v>Wind On</v>
      </c>
      <c r="V24" s="45" t="str">
        <f>VLOOKUP(SMALL($V$5:$V$17,5),$V$5:$AI$17,14,FALSE)</f>
        <v>Wind On</v>
      </c>
      <c r="W24" s="45" t="str">
        <f>VLOOKUP(SMALL($W$5:$W$17,5),$W$5:$AI$17,13,FALSE)</f>
        <v>Wind On</v>
      </c>
      <c r="X24" s="45" t="str">
        <f>VLOOKUP(SMALL($X$5:$X$17,5),$X$5:$AI$17,12,FALSE)</f>
        <v>Wind On</v>
      </c>
      <c r="Y24" s="45" t="str">
        <f>VLOOKUP(SMALL($Y$5:$Y$17,5),$Y$5:$AI$17,11,FALSE)</f>
        <v>Wind On</v>
      </c>
      <c r="Z24" s="45" t="str">
        <f>VLOOKUP(SMALL($Z$5:$Z$17,5),$Z$5:$AI$17,10,FALSE)</f>
        <v>Wind On</v>
      </c>
      <c r="AA24" s="45" t="str">
        <f>VLOOKUP(SMALL($AA$5:$AA$17,5),$AA$5:$AI$17,9,FALSE)</f>
        <v>Wind On</v>
      </c>
      <c r="AB24" s="45" t="str">
        <f>VLOOKUP(SMALL($AB$5:$AB$17,5),$AB$5:$AI$17,8,FALSE)</f>
        <v>Wind On</v>
      </c>
      <c r="AC24" s="45" t="str">
        <f>VLOOKUP(SMALL($AC$5:$AC$17,5),$AC$5:$AI$17,7,FALSE)</f>
        <v>Wind On</v>
      </c>
      <c r="AD24" s="45" t="str">
        <f>VLOOKUP(SMALL($AD$5:$AD$17,5),$AD$5:$AI$17,6,FALSE)</f>
        <v>Wind On</v>
      </c>
      <c r="AE24" s="45" t="str">
        <f>VLOOKUP(SMALL($AE$5:$AE$17,5),$AE$5:$AI$17,5,FALSE)</f>
        <v>Wind On</v>
      </c>
      <c r="AF24" s="45" t="str">
        <f>VLOOKUP(SMALL($AF$5:$AF$17,5),$AF$5:$AI$17,4,FALSE)</f>
        <v>Wind On</v>
      </c>
      <c r="AG24" s="45" t="str">
        <f>VLOOKUP(SMALL($AG$5:$AG$17,5),$AG$5:$AI$17,3,FALSE)</f>
        <v>Wind On</v>
      </c>
      <c r="AH24" s="45" t="str">
        <f>VLOOKUP(SMALL($AH$5:$AH$17,5),$AH$5:$AI$17,2,FALSE)</f>
        <v>Wind On</v>
      </c>
      <c r="AI24" s="1"/>
      <c r="AJ24" s="1"/>
      <c r="AK24" s="1"/>
      <c r="AL24" s="1"/>
      <c r="AM24" s="1"/>
    </row>
    <row r="25" spans="1:39">
      <c r="A25" s="1"/>
      <c r="B25" s="51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1"/>
      <c r="AJ25" s="1"/>
      <c r="AK25" s="1"/>
      <c r="AL25" s="1"/>
      <c r="AM25" s="1"/>
    </row>
    <row r="26" spans="1:39">
      <c r="A26" s="1"/>
      <c r="B26" s="71" t="s">
        <v>122</v>
      </c>
      <c r="C26" s="71">
        <v>2019</v>
      </c>
      <c r="D26" s="71">
        <v>2020</v>
      </c>
      <c r="E26" s="71">
        <v>2021</v>
      </c>
      <c r="F26" s="71">
        <v>2022</v>
      </c>
      <c r="G26" s="71">
        <v>2023</v>
      </c>
      <c r="H26" s="71">
        <v>2024</v>
      </c>
      <c r="I26" s="71">
        <v>2025</v>
      </c>
      <c r="J26" s="71">
        <v>2026</v>
      </c>
      <c r="K26" s="71">
        <v>2027</v>
      </c>
      <c r="L26" s="71">
        <v>2028</v>
      </c>
      <c r="M26" s="71">
        <v>2029</v>
      </c>
      <c r="N26" s="71">
        <v>2030</v>
      </c>
      <c r="O26" s="71">
        <v>2031</v>
      </c>
      <c r="P26" s="71">
        <v>2032</v>
      </c>
      <c r="Q26" s="71">
        <v>2033</v>
      </c>
      <c r="R26" s="71">
        <v>2034</v>
      </c>
      <c r="S26" s="71">
        <v>2035</v>
      </c>
      <c r="T26" s="71">
        <v>2036</v>
      </c>
      <c r="U26" s="71">
        <v>2037</v>
      </c>
      <c r="V26" s="71">
        <v>2038</v>
      </c>
      <c r="W26" s="71">
        <v>2039</v>
      </c>
      <c r="X26" s="71">
        <v>2040</v>
      </c>
      <c r="Y26" s="71">
        <v>2041</v>
      </c>
      <c r="Z26" s="71">
        <v>2042</v>
      </c>
      <c r="AA26" s="71">
        <v>2043</v>
      </c>
      <c r="AB26" s="71">
        <v>2044</v>
      </c>
      <c r="AC26" s="71">
        <v>2045</v>
      </c>
      <c r="AD26" s="71">
        <v>2046</v>
      </c>
      <c r="AE26" s="71">
        <v>2047</v>
      </c>
      <c r="AF26" s="71">
        <v>2048</v>
      </c>
      <c r="AG26" s="71">
        <v>2049</v>
      </c>
      <c r="AH26" s="71">
        <v>2050</v>
      </c>
      <c r="AI26" s="1"/>
      <c r="AJ26" s="1"/>
      <c r="AK26" s="1"/>
      <c r="AL26" s="1"/>
      <c r="AM26" s="1"/>
    </row>
    <row r="27" spans="1:39">
      <c r="A27" s="1"/>
      <c r="B27" s="71">
        <v>1</v>
      </c>
      <c r="C27" s="77">
        <f>SMALL($C$5:$C$17,1)</f>
        <v>3.8354964552685639E-2</v>
      </c>
      <c r="D27" s="77">
        <f>(SMALL($D$5:$D$17,1))</f>
        <v>3.5602289613857717E-2</v>
      </c>
      <c r="E27" s="77">
        <f>SMALL($E$5:$E$17,1)</f>
        <v>3.1718481465834759E-2</v>
      </c>
      <c r="F27" s="77">
        <f>SMALL($F$5:$F$17,1)</f>
        <v>2.7834673317811816E-2</v>
      </c>
      <c r="G27" s="77">
        <f t="shared" ref="G27:AH27" si="0">SMALL(G5:G17,1)</f>
        <v>2.3950865169788831E-2</v>
      </c>
      <c r="H27" s="77">
        <f t="shared" si="0"/>
        <v>2.0067057021765887E-2</v>
      </c>
      <c r="I27" s="77">
        <f t="shared" si="0"/>
        <v>1.6183248873742923E-2</v>
      </c>
      <c r="J27" s="77">
        <f t="shared" si="0"/>
        <v>1.2299440725719958E-2</v>
      </c>
      <c r="K27" s="77">
        <f t="shared" si="0"/>
        <v>8.4156325776970076E-3</v>
      </c>
      <c r="L27" s="77">
        <f t="shared" si="0"/>
        <v>4.5318244296740431E-3</v>
      </c>
      <c r="M27" s="77">
        <f t="shared" si="0"/>
        <v>6.4801628165107872E-4</v>
      </c>
      <c r="N27" s="77">
        <f t="shared" si="0"/>
        <v>3.6764208133628115E-2</v>
      </c>
      <c r="O27" s="77">
        <f t="shared" si="0"/>
        <v>3.6425571111077325E-2</v>
      </c>
      <c r="P27" s="77">
        <f t="shared" si="0"/>
        <v>3.6086934088526527E-2</v>
      </c>
      <c r="Q27" s="77">
        <f t="shared" si="0"/>
        <v>3.574829706597573E-2</v>
      </c>
      <c r="R27" s="77">
        <f t="shared" si="0"/>
        <v>3.540966004342494E-2</v>
      </c>
      <c r="S27" s="77">
        <f t="shared" si="0"/>
        <v>3.5071023020874136E-2</v>
      </c>
      <c r="T27" s="77">
        <f t="shared" si="0"/>
        <v>3.4732385998323345E-2</v>
      </c>
      <c r="U27" s="77">
        <f t="shared" si="0"/>
        <v>3.4393748975772548E-2</v>
      </c>
      <c r="V27" s="77">
        <f t="shared" si="0"/>
        <v>3.4055111953221744E-2</v>
      </c>
      <c r="W27" s="77">
        <f t="shared" si="0"/>
        <v>3.371647493067096E-2</v>
      </c>
      <c r="X27" s="77">
        <f t="shared" si="0"/>
        <v>3.3377837908120156E-2</v>
      </c>
      <c r="Y27" s="77">
        <f t="shared" si="0"/>
        <v>3.3039200885569359E-2</v>
      </c>
      <c r="Z27" s="77">
        <f t="shared" si="0"/>
        <v>3.2700563863018561E-2</v>
      </c>
      <c r="AA27" s="77">
        <f t="shared" si="0"/>
        <v>3.2361926840467764E-2</v>
      </c>
      <c r="AB27" s="77">
        <f t="shared" si="0"/>
        <v>3.2023289817916974E-2</v>
      </c>
      <c r="AC27" s="77">
        <f t="shared" si="0"/>
        <v>3.1684652795366169E-2</v>
      </c>
      <c r="AD27" s="77">
        <f t="shared" si="0"/>
        <v>3.1346015772815379E-2</v>
      </c>
      <c r="AE27" s="77">
        <f t="shared" si="0"/>
        <v>3.1007378750264578E-2</v>
      </c>
      <c r="AF27" s="77">
        <f t="shared" si="0"/>
        <v>3.0668741727713784E-2</v>
      </c>
      <c r="AG27" s="77">
        <f t="shared" si="0"/>
        <v>3.0330104705162994E-2</v>
      </c>
      <c r="AH27" s="77">
        <f t="shared" si="0"/>
        <v>2.9991467682612193E-2</v>
      </c>
      <c r="AI27" s="1"/>
      <c r="AJ27" s="1"/>
      <c r="AK27" s="1"/>
      <c r="AL27" s="1"/>
      <c r="AM27" s="1"/>
    </row>
    <row r="28" spans="1:39">
      <c r="A28" s="1"/>
      <c r="B28" s="71">
        <v>2</v>
      </c>
      <c r="C28" s="77">
        <f>SMALL($C$5:$C$17,2)</f>
        <v>3.9486097761880674E-2</v>
      </c>
      <c r="D28" s="77">
        <f>(SMALL($D$5:$D$17,2))</f>
        <v>3.910360084402708E-2</v>
      </c>
      <c r="E28" s="77">
        <f>SMALL($E$5:$E$17,2)</f>
        <v>3.9852237135368521E-2</v>
      </c>
      <c r="F28" s="77">
        <f>SMALL($F$5:$F$17,2)</f>
        <v>4.0600873426709962E-2</v>
      </c>
      <c r="G28" s="77">
        <f t="shared" ref="G28:AH28" si="1">SMALL(G5:G17,2)</f>
        <v>4.134950971805141E-2</v>
      </c>
      <c r="H28" s="77">
        <f t="shared" si="1"/>
        <v>4.2098146009392851E-2</v>
      </c>
      <c r="I28" s="77">
        <f t="shared" si="1"/>
        <v>4.2846782300734285E-2</v>
      </c>
      <c r="J28" s="77">
        <f t="shared" si="1"/>
        <v>4.3595418592075733E-2</v>
      </c>
      <c r="K28" s="77">
        <f t="shared" si="1"/>
        <v>4.4344054883417174E-2</v>
      </c>
      <c r="L28" s="77">
        <f t="shared" si="1"/>
        <v>4.5092691174758615E-2</v>
      </c>
      <c r="M28" s="77">
        <f t="shared" si="1"/>
        <v>4.5841327466100062E-2</v>
      </c>
      <c r="N28" s="77">
        <f t="shared" si="1"/>
        <v>4.6589963757441503E-2</v>
      </c>
      <c r="O28" s="77">
        <f t="shared" si="1"/>
        <v>4.6086558041547106E-2</v>
      </c>
      <c r="P28" s="77">
        <f t="shared" si="1"/>
        <v>4.5583152325652701E-2</v>
      </c>
      <c r="Q28" s="77">
        <f t="shared" si="1"/>
        <v>4.5079746609758296E-2</v>
      </c>
      <c r="R28" s="77">
        <f t="shared" si="1"/>
        <v>4.4576340893863899E-2</v>
      </c>
      <c r="S28" s="77">
        <f t="shared" si="1"/>
        <v>4.4072935177969501E-2</v>
      </c>
      <c r="T28" s="77">
        <f t="shared" si="1"/>
        <v>4.3569529462075096E-2</v>
      </c>
      <c r="U28" s="77">
        <f t="shared" si="1"/>
        <v>4.3066123746180691E-2</v>
      </c>
      <c r="V28" s="77">
        <f t="shared" si="1"/>
        <v>4.2562718030286294E-2</v>
      </c>
      <c r="W28" s="77">
        <f t="shared" si="1"/>
        <v>4.2059312314391889E-2</v>
      </c>
      <c r="X28" s="77">
        <f t="shared" si="1"/>
        <v>4.1555906598497484E-2</v>
      </c>
      <c r="Y28" s="77">
        <f t="shared" si="1"/>
        <v>4.1052500882603087E-2</v>
      </c>
      <c r="Z28" s="77">
        <f t="shared" si="1"/>
        <v>4.0549095166708682E-2</v>
      </c>
      <c r="AA28" s="77">
        <f t="shared" si="1"/>
        <v>4.0045689450814284E-2</v>
      </c>
      <c r="AB28" s="77">
        <f t="shared" si="1"/>
        <v>3.9542283734919879E-2</v>
      </c>
      <c r="AC28" s="77">
        <f t="shared" si="1"/>
        <v>3.9038878019025475E-2</v>
      </c>
      <c r="AD28" s="77">
        <f t="shared" si="1"/>
        <v>3.8535472303131077E-2</v>
      </c>
      <c r="AE28" s="77">
        <f t="shared" si="1"/>
        <v>3.8032066587236679E-2</v>
      </c>
      <c r="AF28" s="77">
        <f t="shared" si="1"/>
        <v>3.7528660871342268E-2</v>
      </c>
      <c r="AG28" s="77">
        <f t="shared" si="1"/>
        <v>3.7025255155447877E-2</v>
      </c>
      <c r="AH28" s="77">
        <f t="shared" si="1"/>
        <v>3.6521849439553472E-2</v>
      </c>
      <c r="AI28" s="1"/>
      <c r="AJ28" s="1"/>
      <c r="AK28" s="1"/>
      <c r="AL28" s="1"/>
      <c r="AM28" s="1"/>
    </row>
    <row r="29" spans="1:39">
      <c r="A29" s="1"/>
      <c r="B29" s="71">
        <v>3</v>
      </c>
      <c r="C29" s="77">
        <f>SMALL($C$5:$C$17,3)</f>
        <v>4.7403457256205872E-2</v>
      </c>
      <c r="D29" s="77">
        <f>(SMALL($D$5:$D$17,3))</f>
        <v>4.8218808599256868E-2</v>
      </c>
      <c r="E29" s="77">
        <f>SMALL($E$5:$E$17,3)</f>
        <v>4.9034159942307864E-2</v>
      </c>
      <c r="F29" s="77">
        <f>SMALL($F$5:$F$17,3)</f>
        <v>4.9849511285358861E-2</v>
      </c>
      <c r="G29" s="77">
        <f t="shared" ref="G29:AH29" si="2">SMALL(G5:G17,3)</f>
        <v>5.0664862628409857E-2</v>
      </c>
      <c r="H29" s="77">
        <f t="shared" si="2"/>
        <v>5.1480213971460867E-2</v>
      </c>
      <c r="I29" s="77">
        <f t="shared" si="2"/>
        <v>5.2295565314511863E-2</v>
      </c>
      <c r="J29" s="77">
        <f t="shared" si="2"/>
        <v>5.3110916657562859E-2</v>
      </c>
      <c r="K29" s="77">
        <f t="shared" si="2"/>
        <v>5.3926268000613856E-2</v>
      </c>
      <c r="L29" s="77">
        <f t="shared" si="2"/>
        <v>5.4741619343664852E-2</v>
      </c>
      <c r="M29" s="77">
        <f t="shared" si="2"/>
        <v>5.4549890760816136E-2</v>
      </c>
      <c r="N29" s="77">
        <f t="shared" si="2"/>
        <v>5.4332148416544379E-2</v>
      </c>
      <c r="O29" s="77">
        <f t="shared" si="2"/>
        <v>5.4033415561930934E-2</v>
      </c>
      <c r="P29" s="77">
        <f t="shared" si="2"/>
        <v>5.3734682707317474E-2</v>
      </c>
      <c r="Q29" s="77">
        <f t="shared" si="2"/>
        <v>5.3435949852704057E-2</v>
      </c>
      <c r="R29" s="77">
        <f t="shared" si="2"/>
        <v>5.3123604166363941E-2</v>
      </c>
      <c r="S29" s="77">
        <f t="shared" si="2"/>
        <v>5.2311424700513198E-2</v>
      </c>
      <c r="T29" s="77">
        <f t="shared" si="2"/>
        <v>5.1499245234662469E-2</v>
      </c>
      <c r="U29" s="77">
        <f t="shared" si="2"/>
        <v>5.068706576881174E-2</v>
      </c>
      <c r="V29" s="77">
        <f t="shared" si="2"/>
        <v>4.9874886302960997E-2</v>
      </c>
      <c r="W29" s="77">
        <f t="shared" si="2"/>
        <v>4.9062706837110268E-2</v>
      </c>
      <c r="X29" s="77">
        <f t="shared" si="2"/>
        <v>4.8250527371259552E-2</v>
      </c>
      <c r="Y29" s="77">
        <f t="shared" si="2"/>
        <v>4.7438347905408809E-2</v>
      </c>
      <c r="Z29" s="77">
        <f t="shared" si="2"/>
        <v>4.662616843955808E-2</v>
      </c>
      <c r="AA29" s="77">
        <f t="shared" si="2"/>
        <v>4.5813988973707351E-2</v>
      </c>
      <c r="AB29" s="77">
        <f t="shared" si="2"/>
        <v>4.5001809507856622E-2</v>
      </c>
      <c r="AC29" s="77">
        <f t="shared" si="2"/>
        <v>4.4189630042005892E-2</v>
      </c>
      <c r="AD29" s="77">
        <f t="shared" si="2"/>
        <v>4.3377450576155149E-2</v>
      </c>
      <c r="AE29" s="77">
        <f t="shared" si="2"/>
        <v>4.2565271110304434E-2</v>
      </c>
      <c r="AF29" s="77">
        <f t="shared" si="2"/>
        <v>4.1753091644453691E-2</v>
      </c>
      <c r="AG29" s="77">
        <f t="shared" si="2"/>
        <v>4.0940912178602962E-2</v>
      </c>
      <c r="AH29" s="77">
        <f t="shared" si="2"/>
        <v>4.0128732712752233E-2</v>
      </c>
      <c r="AI29" s="1"/>
      <c r="AJ29" s="1"/>
      <c r="AK29" s="1"/>
      <c r="AL29" s="1"/>
      <c r="AM29" s="1"/>
    </row>
    <row r="30" spans="1:39">
      <c r="A30" s="1"/>
      <c r="B30" s="71">
        <v>4</v>
      </c>
      <c r="C30" s="77">
        <f>SMALL($C$5:$C$17,4)</f>
        <v>5.6727314203533816E-2</v>
      </c>
      <c r="D30" s="77">
        <f>(SMALL($D$5:$D$17,4))</f>
        <v>5.6509571859262031E-2</v>
      </c>
      <c r="E30" s="77">
        <f>SMALL($E$5:$E$17,4)</f>
        <v>5.6291829514990274E-2</v>
      </c>
      <c r="F30" s="77">
        <f>SMALL($F$5:$F$17,4)</f>
        <v>5.6074087170718517E-2</v>
      </c>
      <c r="G30" s="77">
        <f t="shared" ref="G30:AH30" si="3">SMALL(G5:G17,4)</f>
        <v>5.5856344826446747E-2</v>
      </c>
      <c r="H30" s="77">
        <f t="shared" si="3"/>
        <v>5.5638602482174976E-2</v>
      </c>
      <c r="I30" s="77">
        <f t="shared" si="3"/>
        <v>5.5420860137903205E-2</v>
      </c>
      <c r="J30" s="77">
        <f t="shared" si="3"/>
        <v>5.5203117793631448E-2</v>
      </c>
      <c r="K30" s="77">
        <f t="shared" si="3"/>
        <v>5.4985375449359677E-2</v>
      </c>
      <c r="L30" s="77">
        <f t="shared" si="3"/>
        <v>5.4767633105087907E-2</v>
      </c>
      <c r="M30" s="77">
        <f t="shared" si="3"/>
        <v>5.493633885545101E-2</v>
      </c>
      <c r="N30" s="77">
        <f t="shared" si="3"/>
        <v>5.4460866357765141E-2</v>
      </c>
      <c r="O30" s="77">
        <f t="shared" si="3"/>
        <v>5.4233565409267097E-2</v>
      </c>
      <c r="P30" s="77">
        <f t="shared" si="3"/>
        <v>5.4008407692014392E-2</v>
      </c>
      <c r="Q30" s="77">
        <f t="shared" si="3"/>
        <v>5.3785355495193289E-2</v>
      </c>
      <c r="R30" s="77">
        <f t="shared" si="3"/>
        <v>5.3137216998090611E-2</v>
      </c>
      <c r="S30" s="77">
        <f t="shared" si="3"/>
        <v>5.2838484143477166E-2</v>
      </c>
      <c r="T30" s="77">
        <f t="shared" si="3"/>
        <v>5.2539751288863706E-2</v>
      </c>
      <c r="U30" s="77">
        <f t="shared" si="3"/>
        <v>5.2241018434250261E-2</v>
      </c>
      <c r="V30" s="77">
        <f t="shared" si="3"/>
        <v>5.1942285579636843E-2</v>
      </c>
      <c r="W30" s="77">
        <f t="shared" si="3"/>
        <v>5.1643552725023398E-2</v>
      </c>
      <c r="X30" s="77">
        <f t="shared" si="3"/>
        <v>5.1344819870409952E-2</v>
      </c>
      <c r="Y30" s="77">
        <f t="shared" si="3"/>
        <v>5.1046087015796507E-2</v>
      </c>
      <c r="Z30" s="77">
        <f t="shared" si="3"/>
        <v>5.0747354161183061E-2</v>
      </c>
      <c r="AA30" s="77">
        <f t="shared" si="3"/>
        <v>5.0448621306569616E-2</v>
      </c>
      <c r="AB30" s="77">
        <f t="shared" si="3"/>
        <v>5.0149888451956184E-2</v>
      </c>
      <c r="AC30" s="77">
        <f t="shared" si="3"/>
        <v>4.9851155597342739E-2</v>
      </c>
      <c r="AD30" s="77">
        <f t="shared" si="3"/>
        <v>4.9552422742729293E-2</v>
      </c>
      <c r="AE30" s="77">
        <f t="shared" si="3"/>
        <v>4.9253689888115848E-2</v>
      </c>
      <c r="AF30" s="77">
        <f t="shared" si="3"/>
        <v>4.8954957033502416E-2</v>
      </c>
      <c r="AG30" s="77">
        <f t="shared" si="3"/>
        <v>4.8656224178888957E-2</v>
      </c>
      <c r="AH30" s="77">
        <f t="shared" si="3"/>
        <v>4.8357491324275526E-2</v>
      </c>
      <c r="AI30" s="1"/>
      <c r="AJ30" s="1"/>
      <c r="AK30" s="1"/>
      <c r="AL30" s="1"/>
      <c r="AM30" s="1"/>
    </row>
    <row r="31" spans="1:39">
      <c r="A31" s="1"/>
      <c r="B31" s="71">
        <v>5</v>
      </c>
      <c r="C31" s="77">
        <f>SMALL($C$5:$C$17,5)</f>
        <v>6.0279486201490443E-2</v>
      </c>
      <c r="D31" s="77">
        <f>(SMALL($D$5:$D$17,5))</f>
        <v>5.9691165578208277E-2</v>
      </c>
      <c r="E31" s="77">
        <f>SMALL($E$5:$E$17,5)</f>
        <v>5.9116001276679292E-2</v>
      </c>
      <c r="F31" s="77">
        <f>SMALL($F$5:$F$17,5)</f>
        <v>5.8553524126439799E-2</v>
      </c>
      <c r="G31" s="77">
        <f t="shared" ref="G31:AH31" si="4">SMALL(G5:G17,5)</f>
        <v>5.8003287003215269E-2</v>
      </c>
      <c r="H31" s="77">
        <f t="shared" si="4"/>
        <v>5.746486354902549E-2</v>
      </c>
      <c r="I31" s="77">
        <f t="shared" si="4"/>
        <v>5.6937846980431708E-2</v>
      </c>
      <c r="J31" s="77">
        <f t="shared" si="4"/>
        <v>5.6421848977924224E-2</v>
      </c>
      <c r="K31" s="77">
        <f t="shared" si="4"/>
        <v>5.5916498650078021E-2</v>
      </c>
      <c r="L31" s="77">
        <f t="shared" si="4"/>
        <v>5.5421441566668547E-2</v>
      </c>
      <c r="M31" s="77">
        <f t="shared" si="4"/>
        <v>5.5556970686715848E-2</v>
      </c>
      <c r="N31" s="77">
        <f t="shared" si="4"/>
        <v>5.6372322029766858E-2</v>
      </c>
      <c r="O31" s="77">
        <f t="shared" si="4"/>
        <v>5.5560142563916129E-2</v>
      </c>
      <c r="P31" s="77">
        <f t="shared" si="4"/>
        <v>5.4747963098065386E-2</v>
      </c>
      <c r="Q31" s="77">
        <f t="shared" si="4"/>
        <v>5.3935783632214657E-2</v>
      </c>
      <c r="R31" s="77">
        <f t="shared" si="4"/>
        <v>5.3564371987542644E-2</v>
      </c>
      <c r="S31" s="77">
        <f t="shared" si="4"/>
        <v>5.3345421191859463E-2</v>
      </c>
      <c r="T31" s="77">
        <f t="shared" si="4"/>
        <v>5.312846796038638E-2</v>
      </c>
      <c r="U31" s="77">
        <f t="shared" si="4"/>
        <v>5.2913477951045271E-2</v>
      </c>
      <c r="V31" s="77">
        <f t="shared" si="4"/>
        <v>5.2700417604483497E-2</v>
      </c>
      <c r="W31" s="77">
        <f t="shared" si="4"/>
        <v>5.2489254121900246E-2</v>
      </c>
      <c r="X31" s="77">
        <f t="shared" si="4"/>
        <v>5.2279955443622655E-2</v>
      </c>
      <c r="Y31" s="77">
        <f t="shared" si="4"/>
        <v>5.2072490228401866E-2</v>
      </c>
      <c r="Z31" s="77">
        <f t="shared" si="4"/>
        <v>5.1866827833401304E-2</v>
      </c>
      <c r="AA31" s="77">
        <f t="shared" si="4"/>
        <v>5.1662938294849969E-2</v>
      </c>
      <c r="AB31" s="77">
        <f t="shared" si="4"/>
        <v>5.1460792309335493E-2</v>
      </c>
      <c r="AC31" s="77">
        <f t="shared" si="4"/>
        <v>5.1260361215712064E-2</v>
      </c>
      <c r="AD31" s="77">
        <f t="shared" si="4"/>
        <v>5.1061616977599998E-2</v>
      </c>
      <c r="AE31" s="77">
        <f t="shared" si="4"/>
        <v>5.0864532166454375E-2</v>
      </c>
      <c r="AF31" s="77">
        <f t="shared" si="4"/>
        <v>5.0669079945181425E-2</v>
      </c>
      <c r="AG31" s="77">
        <f t="shared" si="4"/>
        <v>5.0475234052281825E-2</v>
      </c>
      <c r="AH31" s="77">
        <f t="shared" si="4"/>
        <v>5.0282968786501625E-2</v>
      </c>
      <c r="AI31" s="1"/>
      <c r="AJ31" s="1"/>
      <c r="AK31" s="1"/>
      <c r="AL31" s="1"/>
      <c r="AM31" s="1"/>
    </row>
    <row r="32" spans="1:39">
      <c r="A32" s="1"/>
      <c r="B32" s="61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1"/>
      <c r="AJ32" s="1"/>
      <c r="AK32" s="1"/>
      <c r="AL32" s="1"/>
      <c r="AM32" s="1"/>
    </row>
    <row r="33" spans="1:39">
      <c r="A33" s="1"/>
      <c r="B33" s="71" t="s">
        <v>123</v>
      </c>
      <c r="C33" s="71">
        <v>2019</v>
      </c>
      <c r="D33" s="71">
        <v>2020</v>
      </c>
      <c r="E33" s="71">
        <v>2021</v>
      </c>
      <c r="F33" s="71">
        <v>2022</v>
      </c>
      <c r="G33" s="71">
        <v>2023</v>
      </c>
      <c r="H33" s="71">
        <v>2024</v>
      </c>
      <c r="I33" s="71">
        <v>2025</v>
      </c>
      <c r="J33" s="71">
        <v>2026</v>
      </c>
      <c r="K33" s="71">
        <v>2027</v>
      </c>
      <c r="L33" s="71">
        <v>2028</v>
      </c>
      <c r="M33" s="71">
        <v>2029</v>
      </c>
      <c r="N33" s="71">
        <v>2030</v>
      </c>
      <c r="O33" s="71">
        <v>2031</v>
      </c>
      <c r="P33" s="71">
        <v>2032</v>
      </c>
      <c r="Q33" s="71">
        <v>2033</v>
      </c>
      <c r="R33" s="71">
        <v>2034</v>
      </c>
      <c r="S33" s="71">
        <v>2035</v>
      </c>
      <c r="T33" s="71">
        <v>2036</v>
      </c>
      <c r="U33" s="71">
        <v>2037</v>
      </c>
      <c r="V33" s="71">
        <v>2038</v>
      </c>
      <c r="W33" s="71">
        <v>2039</v>
      </c>
      <c r="X33" s="71">
        <v>2040</v>
      </c>
      <c r="Y33" s="71">
        <v>2041</v>
      </c>
      <c r="Z33" s="71">
        <v>2042</v>
      </c>
      <c r="AA33" s="71">
        <v>2043</v>
      </c>
      <c r="AB33" s="71">
        <v>2044</v>
      </c>
      <c r="AC33" s="71">
        <v>2045</v>
      </c>
      <c r="AD33" s="71">
        <v>2046</v>
      </c>
      <c r="AE33" s="71">
        <v>2047</v>
      </c>
      <c r="AF33" s="71">
        <v>2048</v>
      </c>
      <c r="AG33" s="71">
        <v>2049</v>
      </c>
      <c r="AH33" s="71">
        <v>2050</v>
      </c>
      <c r="AI33" s="1"/>
      <c r="AJ33" s="1"/>
      <c r="AK33" s="1"/>
      <c r="AL33" s="1"/>
      <c r="AM33" s="1"/>
    </row>
    <row r="34" spans="1:39">
      <c r="A34" s="1"/>
      <c r="B34" s="71" t="s">
        <v>81</v>
      </c>
      <c r="C34" s="60">
        <f>1+((MAX($C$5:$C$17)-C5)/(MAX($C$5:$C$17)-MIN($C$5:$C$17))*99)</f>
        <v>89.324654858168302</v>
      </c>
      <c r="D34" s="60">
        <f t="shared" ref="D34:D46" si="5">1+((MAX($D$5:$D$17)-D5)/(MAX($D$5:$D$17)-MIN($D$5:$D$17))*99)</f>
        <v>88.782705461891055</v>
      </c>
      <c r="E34" s="60">
        <f t="shared" ref="E34:E46" si="6">1+((MAX($E$5:$E$17)-E5)/(MAX($E$5:$E$17)-MIN($E$5:$E$17))*99)</f>
        <v>88.006137683067465</v>
      </c>
      <c r="F34" s="60">
        <f t="shared" ref="F34:F46" si="7">1+((MAX($F$5:$F$17)-F5)/(MAX($F$5:$F$17)-MIN($F$5:$F$17))*99)</f>
        <v>87.242880704548639</v>
      </c>
      <c r="G34" s="60">
        <f t="shared" ref="G34:G46" si="8">1+((MAX($G$5:$G$17)-G5)/(MAX($G$5:$G$17)-MIN($G$5:$G$17))*99)</f>
        <v>86.492595202736595</v>
      </c>
      <c r="H34" s="60">
        <f t="shared" ref="H34:H46" si="9">1+((MAX($H$5:$H$17)-H5)/(MAX($H$5:$H$17)-MIN($H$5:$H$17))*99)</f>
        <v>85.754953290395235</v>
      </c>
      <c r="I34" s="60">
        <f t="shared" ref="I34:I46" si="10">1+((MAX($I$5:$I$17)-I5)/(MAX($I$5:$I$17)-MIN($I$5:$I$17))*99)</f>
        <v>85.02963803887063</v>
      </c>
      <c r="J34" s="60">
        <f t="shared" ref="J34:J46" si="11">1+((MAX($J$5:$J$17)-J5)/(MAX($J$5:$J$17)-MIN($J$5:$J$17))*99)</f>
        <v>84.316343024065134</v>
      </c>
      <c r="K34" s="60">
        <f t="shared" ref="K34:K46" si="12">1+((MAX($K$5:$K$17)-K5)/(MAX($K$5:$K$17)-MIN($K$5:$K$17))*99)</f>
        <v>83.614771894798906</v>
      </c>
      <c r="L34" s="60">
        <f t="shared" ref="L34:L46" si="13">1+((MAX($L$5:$L$17)-L5)/(MAX($L$5:$L$17)-MIN($L$5:$L$17))*99)</f>
        <v>82.924637962281707</v>
      </c>
      <c r="M34" s="60">
        <f t="shared" ref="M34:M46" si="14">1+((MAX($M$5:$M$17)-M5)/(MAX($M$5:$M$17)-MIN($M$5:$M$17))*99)</f>
        <v>82.245663809499604</v>
      </c>
      <c r="N34" s="60">
        <f t="shared" ref="N34:N46" si="15">1+((MAX($N$5:$N$17)-N5)/(MAX($N$5:$N$17)-MIN($N$5:$N$17))*99)</f>
        <v>89.608601802463156</v>
      </c>
      <c r="O34" s="60">
        <f t="shared" ref="O34:O46" si="16">1+((MAX($O$5:$O$17)-O5)/(MAX($O$5:$O$17)-MIN($O$5:$O$17))*99)</f>
        <v>89.539878280092012</v>
      </c>
      <c r="P34" s="60">
        <f t="shared" ref="P34:P46" si="17">1+((MAX($P$5:$P$17)-P5)/(MAX($P$5:$P$17)-MIN($P$5:$P$17))*99)</f>
        <v>89.471177974687947</v>
      </c>
      <c r="Q34" s="60">
        <f t="shared" ref="Q34:Q46" si="18">1+((MAX($Q$5:$Q$17)-Q5)/(MAX($Q$5:$Q$17)-MIN($Q$5:$Q$17))*99)</f>
        <v>89.402500874487814</v>
      </c>
      <c r="R34" s="60">
        <f t="shared" ref="R34:R46" si="19">1+((MAX($R$5:$R$17)-R5)/(MAX($R$5:$R$17)-MIN($R$5:$R$17))*99)</f>
        <v>89.33384696773642</v>
      </c>
      <c r="S34" s="60">
        <f t="shared" ref="S34:S46" si="20">1+((MAX($S$5:$S$17)-S5)/(MAX($S$5:$S$17)-MIN($S$5:$S$17))*99)</f>
        <v>89.265216242686478</v>
      </c>
      <c r="T34" s="60">
        <f t="shared" ref="T34:T46" si="21">1+((MAX($T$5:$T$17)-T5)/(MAX($T$5:$T$17)-MIN($T$5:$T$17))*99)</f>
        <v>89.196608687598697</v>
      </c>
      <c r="U34" s="60">
        <f t="shared" ref="U34:U46" si="22">1+((MAX($U$5:$U$17)-U5)/(MAX($U$5:$U$17)-MIN($U$5:$U$17))*99)</f>
        <v>89.128024290741635</v>
      </c>
      <c r="V34" s="60">
        <f t="shared" ref="V34:V46" si="23">1+((MAX($V$5:$V$17)-V5)/(MAX($V$5:$V$17)-MIN($V$5:$V$17))*99)</f>
        <v>89.059463040391847</v>
      </c>
      <c r="W34" s="60">
        <f t="shared" ref="W34:W46" si="24">1+((MAX($W$5:$W$17)-W5)/(MAX($W$5:$W$17)-MIN($W$5:$W$17))*99)</f>
        <v>88.990924924833735</v>
      </c>
      <c r="X34" s="60">
        <f t="shared" ref="X34:X46" si="25">1+((MAX($X$5:$X$17)-X5)/(MAX($X$5:$X$17)-MIN($X$5:$X$17))*99)</f>
        <v>88.922409932359599</v>
      </c>
      <c r="Y34" s="60">
        <f t="shared" ref="Y34:Y46" si="26">1+((MAX($Y$5:$Y$17)-Y5)/(MAX($Y$5:$Y$17)-MIN($Y$5:$Y$17))*99)</f>
        <v>88.853918051269702</v>
      </c>
      <c r="Z34" s="60">
        <f t="shared" ref="Z34:Z46" si="27">1+((MAX($Z$5:$Z$17)-Z5)/(MAX($Z$5:$Z$17)-MIN($Z$5:$Z$17))*99)</f>
        <v>88.785449269872203</v>
      </c>
      <c r="AA34" s="60">
        <f t="shared" ref="AA34:AA46" si="28">1+((MAX($AA$5:$AA$17)-AA5)/(MAX($AA$5:$AA$17)-MIN($AA$5:$AA$17))*99)</f>
        <v>88.717003576483037</v>
      </c>
      <c r="AB34" s="60">
        <f t="shared" ref="AB34:AB46" si="29">1+((MAX($AB$5:$AB$17)-AB5)/(MAX($AB$5:$AB$17)-MIN($AB$5:$AB$17))*99)</f>
        <v>88.648580959426113</v>
      </c>
      <c r="AC34" s="60">
        <f t="shared" ref="AC34:AC46" si="30">1+((MAX($AC$5:$AC$17)-AC5)/(MAX($AC$5:$AC$17)-MIN($AC$5:$AC$17))*99)</f>
        <v>88.580181407033194</v>
      </c>
      <c r="AD34" s="60">
        <f t="shared" ref="AD34:AD46" si="31">1+((MAX($AD$5:$AD$17)-AD5)/(MAX($AD$5:$AD$17)-MIN($AD$5:$AD$17))*99)</f>
        <v>88.511804907643906</v>
      </c>
      <c r="AE34" s="60">
        <f t="shared" ref="AE34:AE46" si="32">1+((MAX($AE$5:$AE$17)-AE5)/(MAX($AE$5:$AE$17)-MIN($AE$5:$AE$17))*99)</f>
        <v>88.443451449605732</v>
      </c>
      <c r="AF34" s="60">
        <f t="shared" ref="AF34:AF46" si="33">1+((MAX($AF$5:$AF$17)-AF5)/(MAX($AF$5:$AF$17)-MIN($AF$5:$AF$17))*99)</f>
        <v>88.375121021273998</v>
      </c>
      <c r="AG34" s="60">
        <f t="shared" ref="AG34:AG46" si="34">1+((MAX($AG$5:$AG$17)-AG5)/(MAX($AG$5:$AG$17)-MIN($AG$5:$AG$17))*99)</f>
        <v>88.306813611011847</v>
      </c>
      <c r="AH34" s="60">
        <f t="shared" ref="AH34:AH46" si="35">1+((MAX($AH$5:$AH$17)-AH5)/(MAX($AH$5:$AH$17)-MIN($AH$5:$AH$17))*99)</f>
        <v>88.238529207190354</v>
      </c>
      <c r="AI34" s="1"/>
      <c r="AJ34" s="1"/>
      <c r="AK34" s="1"/>
      <c r="AL34" s="1"/>
      <c r="AM34" s="1"/>
    </row>
    <row r="35" spans="1:39">
      <c r="A35" s="1"/>
      <c r="B35" s="71" t="s">
        <v>36</v>
      </c>
      <c r="C35" s="60">
        <f t="shared" ref="C35:C46" si="36">1+((MAX($C$5:$C$17)-C6)/(MAX($C$5:$C$17)-MIN($C$5:$C$17))*99)</f>
        <v>90.128437213957966</v>
      </c>
      <c r="D35" s="60">
        <f t="shared" si="5"/>
        <v>89.69277461296295</v>
      </c>
      <c r="E35" s="60">
        <f t="shared" si="6"/>
        <v>89.018435698585336</v>
      </c>
      <c r="F35" s="60">
        <f t="shared" si="7"/>
        <v>88.355655325357361</v>
      </c>
      <c r="G35" s="60">
        <f t="shared" si="8"/>
        <v>87.704138838887062</v>
      </c>
      <c r="H35" s="60">
        <f t="shared" si="9"/>
        <v>87.063601515639846</v>
      </c>
      <c r="I35" s="60">
        <f t="shared" si="10"/>
        <v>86.433768148054639</v>
      </c>
      <c r="J35" s="60">
        <f t="shared" si="11"/>
        <v>85.814372650286799</v>
      </c>
      <c r="K35" s="60">
        <f t="shared" si="12"/>
        <v>85.205157683391391</v>
      </c>
      <c r="L35" s="60">
        <f t="shared" si="13"/>
        <v>84.605874298837648</v>
      </c>
      <c r="M35" s="60">
        <f t="shared" si="14"/>
        <v>84.016281599316741</v>
      </c>
      <c r="N35" s="60">
        <f t="shared" si="15"/>
        <v>91.652407140396406</v>
      </c>
      <c r="O35" s="60">
        <f t="shared" si="16"/>
        <v>91.539129656575511</v>
      </c>
      <c r="P35" s="60">
        <f t="shared" si="17"/>
        <v>91.425890441451003</v>
      </c>
      <c r="Q35" s="60">
        <f t="shared" si="18"/>
        <v>91.31268947563359</v>
      </c>
      <c r="R35" s="60">
        <f t="shared" si="19"/>
        <v>91.199526739747128</v>
      </c>
      <c r="S35" s="60">
        <f t="shared" si="20"/>
        <v>91.086402214428475</v>
      </c>
      <c r="T35" s="60">
        <f t="shared" si="21"/>
        <v>90.973315880327675</v>
      </c>
      <c r="U35" s="60">
        <f t="shared" si="22"/>
        <v>90.860267718107679</v>
      </c>
      <c r="V35" s="60">
        <f t="shared" si="23"/>
        <v>90.747257708444664</v>
      </c>
      <c r="W35" s="60">
        <f t="shared" si="24"/>
        <v>90.634285832027714</v>
      </c>
      <c r="X35" s="60">
        <f t="shared" si="25"/>
        <v>90.521352069559001</v>
      </c>
      <c r="Y35" s="60">
        <f t="shared" si="26"/>
        <v>90.408456401753696</v>
      </c>
      <c r="Z35" s="60">
        <f t="shared" si="27"/>
        <v>90.295598809340021</v>
      </c>
      <c r="AA35" s="60">
        <f t="shared" si="28"/>
        <v>90.18277927305914</v>
      </c>
      <c r="AB35" s="60">
        <f t="shared" si="29"/>
        <v>90.069997773665236</v>
      </c>
      <c r="AC35" s="60">
        <f t="shared" si="30"/>
        <v>89.957254291925452</v>
      </c>
      <c r="AD35" s="60">
        <f t="shared" si="31"/>
        <v>89.844548808619876</v>
      </c>
      <c r="AE35" s="60">
        <f t="shared" si="32"/>
        <v>89.731881304541631</v>
      </c>
      <c r="AF35" s="60">
        <f t="shared" si="33"/>
        <v>89.619251760496681</v>
      </c>
      <c r="AG35" s="60">
        <f t="shared" si="34"/>
        <v>89.506660157303983</v>
      </c>
      <c r="AH35" s="60">
        <f t="shared" si="35"/>
        <v>89.394106475795382</v>
      </c>
      <c r="AI35" s="1"/>
      <c r="AJ35" s="1"/>
      <c r="AK35" s="1"/>
      <c r="AL35" s="1"/>
      <c r="AM35" s="1"/>
    </row>
    <row r="36" spans="1:39">
      <c r="A36" s="1"/>
      <c r="B36" s="71" t="s">
        <v>89</v>
      </c>
      <c r="C36" s="60">
        <f t="shared" si="36"/>
        <v>88.466923270955135</v>
      </c>
      <c r="D36" s="60">
        <f t="shared" si="5"/>
        <v>87.636016226630773</v>
      </c>
      <c r="E36" s="60">
        <f t="shared" si="6"/>
        <v>86.577855905340769</v>
      </c>
      <c r="F36" s="60">
        <f t="shared" si="7"/>
        <v>85.537833035940011</v>
      </c>
      <c r="G36" s="60">
        <f t="shared" si="8"/>
        <v>84.51548525213245</v>
      </c>
      <c r="H36" s="60">
        <f t="shared" si="9"/>
        <v>83.510365770942357</v>
      </c>
      <c r="I36" s="60">
        <f t="shared" si="10"/>
        <v>82.522042741686022</v>
      </c>
      <c r="J36" s="60">
        <f t="shared" si="11"/>
        <v>81.550098627310646</v>
      </c>
      <c r="K36" s="60">
        <f t="shared" si="12"/>
        <v>80.594129616238973</v>
      </c>
      <c r="L36" s="60">
        <f t="shared" si="13"/>
        <v>79.653745062978487</v>
      </c>
      <c r="M36" s="60">
        <f t="shared" si="14"/>
        <v>78.728566955867336</v>
      </c>
      <c r="N36" s="60">
        <f t="shared" si="15"/>
        <v>85.474562568565005</v>
      </c>
      <c r="O36" s="60">
        <f t="shared" si="16"/>
        <v>85.598019217242978</v>
      </c>
      <c r="P36" s="60">
        <f t="shared" si="17"/>
        <v>85.721434158382564</v>
      </c>
      <c r="Q36" s="60">
        <f t="shared" si="18"/>
        <v>85.844807413115348</v>
      </c>
      <c r="R36" s="60">
        <f t="shared" si="19"/>
        <v>85.968139002558672</v>
      </c>
      <c r="S36" s="60">
        <f t="shared" si="20"/>
        <v>86.091428947815629</v>
      </c>
      <c r="T36" s="60">
        <f t="shared" si="21"/>
        <v>86.214677269975041</v>
      </c>
      <c r="U36" s="60">
        <f t="shared" si="22"/>
        <v>86.33788399011145</v>
      </c>
      <c r="V36" s="60">
        <f t="shared" si="23"/>
        <v>86.461049129285286</v>
      </c>
      <c r="W36" s="60">
        <f t="shared" si="24"/>
        <v>86.584172708542653</v>
      </c>
      <c r="X36" s="60">
        <f t="shared" si="25"/>
        <v>86.707254748915531</v>
      </c>
      <c r="Y36" s="60">
        <f t="shared" si="26"/>
        <v>86.830295271421633</v>
      </c>
      <c r="Z36" s="60">
        <f t="shared" si="27"/>
        <v>86.953294297064602</v>
      </c>
      <c r="AA36" s="60">
        <f t="shared" si="28"/>
        <v>87.076251846833813</v>
      </c>
      <c r="AB36" s="60">
        <f t="shared" si="29"/>
        <v>87.199167941704545</v>
      </c>
      <c r="AC36" s="60">
        <f t="shared" si="30"/>
        <v>87.322042602637936</v>
      </c>
      <c r="AD36" s="60">
        <f t="shared" si="31"/>
        <v>87.444875850580942</v>
      </c>
      <c r="AE36" s="60">
        <f t="shared" si="32"/>
        <v>87.56766770646648</v>
      </c>
      <c r="AF36" s="60">
        <f t="shared" si="33"/>
        <v>87.690418191213325</v>
      </c>
      <c r="AG36" s="60">
        <f t="shared" si="34"/>
        <v>87.813127325726114</v>
      </c>
      <c r="AH36" s="60">
        <f t="shared" si="35"/>
        <v>87.935795130895457</v>
      </c>
      <c r="AI36" s="1"/>
      <c r="AJ36" s="1"/>
      <c r="AK36" s="1"/>
      <c r="AL36" s="1"/>
      <c r="AM36" s="1"/>
    </row>
    <row r="37" spans="1:39">
      <c r="A37" s="1"/>
      <c r="B37" s="71" t="s">
        <v>88</v>
      </c>
      <c r="C37" s="60">
        <f t="shared" si="36"/>
        <v>100</v>
      </c>
      <c r="D37" s="60">
        <f t="shared" si="5"/>
        <v>99.146095730785987</v>
      </c>
      <c r="E37" s="60">
        <f t="shared" si="6"/>
        <v>98.03347681025005</v>
      </c>
      <c r="F37" s="60">
        <f t="shared" si="7"/>
        <v>96.939928792049258</v>
      </c>
      <c r="G37" s="60">
        <f t="shared" si="8"/>
        <v>95.86496551404089</v>
      </c>
      <c r="H37" s="60">
        <f t="shared" si="9"/>
        <v>94.808117199403625</v>
      </c>
      <c r="I37" s="60">
        <f t="shared" si="10"/>
        <v>93.768929772103888</v>
      </c>
      <c r="J37" s="60">
        <f t="shared" si="11"/>
        <v>92.746964206395234</v>
      </c>
      <c r="K37" s="60">
        <f t="shared" si="12"/>
        <v>91.741795908393172</v>
      </c>
      <c r="L37" s="60">
        <f t="shared" si="13"/>
        <v>90.753014127895256</v>
      </c>
      <c r="M37" s="60">
        <f t="shared" si="14"/>
        <v>89.780221398734341</v>
      </c>
      <c r="N37" s="60">
        <f t="shared" si="15"/>
        <v>97.576194915841242</v>
      </c>
      <c r="O37" s="60">
        <f t="shared" si="16"/>
        <v>97.617242471866888</v>
      </c>
      <c r="P37" s="60">
        <f t="shared" si="17"/>
        <v>97.658276160737273</v>
      </c>
      <c r="Q37" s="60">
        <f t="shared" si="18"/>
        <v>97.699295989478287</v>
      </c>
      <c r="R37" s="60">
        <f t="shared" si="19"/>
        <v>97.740301965111186</v>
      </c>
      <c r="S37" s="60">
        <f t="shared" si="20"/>
        <v>97.781294094652424</v>
      </c>
      <c r="T37" s="60">
        <f t="shared" si="21"/>
        <v>97.822272385113749</v>
      </c>
      <c r="U37" s="60">
        <f t="shared" si="22"/>
        <v>97.863236843502108</v>
      </c>
      <c r="V37" s="60">
        <f t="shared" si="23"/>
        <v>97.904187476819843</v>
      </c>
      <c r="W37" s="60">
        <f t="shared" si="24"/>
        <v>97.945124292064421</v>
      </c>
      <c r="X37" s="60">
        <f t="shared" si="25"/>
        <v>97.986047296228705</v>
      </c>
      <c r="Y37" s="60">
        <f t="shared" si="26"/>
        <v>98.026956496300784</v>
      </c>
      <c r="Z37" s="60">
        <f t="shared" si="27"/>
        <v>98.067851899264056</v>
      </c>
      <c r="AA37" s="60">
        <f t="shared" si="28"/>
        <v>98.108733512097203</v>
      </c>
      <c r="AB37" s="60">
        <f t="shared" si="29"/>
        <v>98.149601341774172</v>
      </c>
      <c r="AC37" s="60">
        <f t="shared" si="30"/>
        <v>98.190455395264266</v>
      </c>
      <c r="AD37" s="60">
        <f t="shared" si="31"/>
        <v>98.231295679532025</v>
      </c>
      <c r="AE37" s="60">
        <f t="shared" si="32"/>
        <v>98.272122201537357</v>
      </c>
      <c r="AF37" s="60">
        <f t="shared" si="33"/>
        <v>98.312934968235439</v>
      </c>
      <c r="AG37" s="60">
        <f t="shared" si="34"/>
        <v>98.353733986576799</v>
      </c>
      <c r="AH37" s="60">
        <f t="shared" si="35"/>
        <v>98.394519263507206</v>
      </c>
      <c r="AI37" s="1"/>
      <c r="AJ37" s="1"/>
      <c r="AK37" s="1"/>
      <c r="AL37" s="1"/>
      <c r="AM37" s="1"/>
    </row>
    <row r="38" spans="1:39">
      <c r="A38" s="1"/>
      <c r="B38" s="71" t="s">
        <v>90</v>
      </c>
      <c r="C38" s="60">
        <f t="shared" si="36"/>
        <v>97.780070609104797</v>
      </c>
      <c r="D38" s="60">
        <f t="shared" si="5"/>
        <v>96.923067183681695</v>
      </c>
      <c r="E38" s="60">
        <f t="shared" si="6"/>
        <v>95.813535019525574</v>
      </c>
      <c r="F38" s="60">
        <f t="shared" si="7"/>
        <v>94.723020848996711</v>
      </c>
      <c r="G38" s="60">
        <f t="shared" si="8"/>
        <v>93.651039858719756</v>
      </c>
      <c r="H38" s="60">
        <f t="shared" si="9"/>
        <v>92.597123575182707</v>
      </c>
      <c r="I38" s="60">
        <f t="shared" si="10"/>
        <v>91.56081918210235</v>
      </c>
      <c r="J38" s="60">
        <f t="shared" si="11"/>
        <v>90.541688871728354</v>
      </c>
      <c r="K38" s="60">
        <f t="shared" si="12"/>
        <v>89.539309228133817</v>
      </c>
      <c r="L38" s="60">
        <f t="shared" si="13"/>
        <v>88.55327064066708</v>
      </c>
      <c r="M38" s="60">
        <f t="shared" si="14"/>
        <v>87.583176745857756</v>
      </c>
      <c r="N38" s="60">
        <f t="shared" si="15"/>
        <v>95.163095035964261</v>
      </c>
      <c r="O38" s="60">
        <f t="shared" si="16"/>
        <v>95.280705324933564</v>
      </c>
      <c r="P38" s="60">
        <f t="shared" si="17"/>
        <v>95.398275881448654</v>
      </c>
      <c r="Q38" s="60">
        <f t="shared" si="18"/>
        <v>95.515806725640417</v>
      </c>
      <c r="R38" s="60">
        <f t="shared" si="19"/>
        <v>95.633297877626163</v>
      </c>
      <c r="S38" s="60">
        <f t="shared" si="20"/>
        <v>95.750749357509633</v>
      </c>
      <c r="T38" s="60">
        <f t="shared" si="21"/>
        <v>95.86816118538097</v>
      </c>
      <c r="U38" s="60">
        <f t="shared" si="22"/>
        <v>95.985533381316742</v>
      </c>
      <c r="V38" s="60">
        <f t="shared" si="23"/>
        <v>96.102865965380033</v>
      </c>
      <c r="W38" s="60">
        <f t="shared" si="24"/>
        <v>96.220158957620313</v>
      </c>
      <c r="X38" s="60">
        <f t="shared" si="25"/>
        <v>96.337412378073523</v>
      </c>
      <c r="Y38" s="60">
        <f t="shared" si="26"/>
        <v>96.454626246762189</v>
      </c>
      <c r="Z38" s="60">
        <f t="shared" si="27"/>
        <v>96.571800583695193</v>
      </c>
      <c r="AA38" s="60">
        <f t="shared" si="28"/>
        <v>96.688935408868005</v>
      </c>
      <c r="AB38" s="60">
        <f t="shared" si="29"/>
        <v>96.806030742262607</v>
      </c>
      <c r="AC38" s="60">
        <f t="shared" si="30"/>
        <v>96.92308660384748</v>
      </c>
      <c r="AD38" s="60">
        <f t="shared" si="31"/>
        <v>97.040103013577664</v>
      </c>
      <c r="AE38" s="60">
        <f t="shared" si="32"/>
        <v>97.157079991394767</v>
      </c>
      <c r="AF38" s="60">
        <f t="shared" si="33"/>
        <v>97.274017557226912</v>
      </c>
      <c r="AG38" s="60">
        <f t="shared" si="34"/>
        <v>97.390915730988851</v>
      </c>
      <c r="AH38" s="60">
        <f t="shared" si="35"/>
        <v>97.507774532581863</v>
      </c>
      <c r="AI38" s="1"/>
      <c r="AJ38" s="1"/>
      <c r="AK38" s="1"/>
      <c r="AL38" s="1"/>
      <c r="AM38" s="1"/>
    </row>
    <row r="39" spans="1:39">
      <c r="A39" s="1"/>
      <c r="B39" s="71" t="s">
        <v>48</v>
      </c>
      <c r="C39" s="60">
        <f t="shared" si="36"/>
        <v>99.722491254799507</v>
      </c>
      <c r="D39" s="60">
        <f t="shared" si="5"/>
        <v>100</v>
      </c>
      <c r="E39" s="60">
        <f t="shared" si="6"/>
        <v>100</v>
      </c>
      <c r="F39" s="60">
        <f t="shared" si="7"/>
        <v>100</v>
      </c>
      <c r="G39" s="60">
        <f t="shared" si="8"/>
        <v>100</v>
      </c>
      <c r="H39" s="60">
        <f t="shared" si="9"/>
        <v>100</v>
      </c>
      <c r="I39" s="60">
        <f t="shared" si="10"/>
        <v>100</v>
      </c>
      <c r="J39" s="60">
        <f t="shared" si="11"/>
        <v>100</v>
      </c>
      <c r="K39" s="60">
        <f t="shared" si="12"/>
        <v>100</v>
      </c>
      <c r="L39" s="60">
        <f t="shared" si="13"/>
        <v>100</v>
      </c>
      <c r="M39" s="60">
        <f t="shared" si="14"/>
        <v>100</v>
      </c>
      <c r="N39" s="60">
        <f t="shared" si="15"/>
        <v>100</v>
      </c>
      <c r="O39" s="60">
        <f t="shared" si="16"/>
        <v>100</v>
      </c>
      <c r="P39" s="60">
        <f t="shared" si="17"/>
        <v>100</v>
      </c>
      <c r="Q39" s="60">
        <f t="shared" si="18"/>
        <v>100</v>
      </c>
      <c r="R39" s="60">
        <f t="shared" si="19"/>
        <v>100</v>
      </c>
      <c r="S39" s="60">
        <f t="shared" si="20"/>
        <v>100</v>
      </c>
      <c r="T39" s="60">
        <f t="shared" si="21"/>
        <v>100</v>
      </c>
      <c r="U39" s="60">
        <f t="shared" si="22"/>
        <v>100</v>
      </c>
      <c r="V39" s="60">
        <f t="shared" si="23"/>
        <v>100</v>
      </c>
      <c r="W39" s="60">
        <f t="shared" si="24"/>
        <v>100</v>
      </c>
      <c r="X39" s="60">
        <f t="shared" si="25"/>
        <v>100</v>
      </c>
      <c r="Y39" s="60">
        <f t="shared" si="26"/>
        <v>100</v>
      </c>
      <c r="Z39" s="60">
        <f t="shared" si="27"/>
        <v>100</v>
      </c>
      <c r="AA39" s="60">
        <f t="shared" si="28"/>
        <v>100</v>
      </c>
      <c r="AB39" s="60">
        <f t="shared" si="29"/>
        <v>100</v>
      </c>
      <c r="AC39" s="60">
        <f t="shared" si="30"/>
        <v>100</v>
      </c>
      <c r="AD39" s="60">
        <f t="shared" si="31"/>
        <v>100</v>
      </c>
      <c r="AE39" s="60">
        <f t="shared" si="32"/>
        <v>100</v>
      </c>
      <c r="AF39" s="60">
        <f t="shared" si="33"/>
        <v>100</v>
      </c>
      <c r="AG39" s="60">
        <f t="shared" si="34"/>
        <v>100</v>
      </c>
      <c r="AH39" s="60">
        <f t="shared" si="35"/>
        <v>100</v>
      </c>
      <c r="AI39" s="1"/>
      <c r="AJ39" s="1"/>
      <c r="AK39" s="1"/>
      <c r="AL39" s="1"/>
      <c r="AM39" s="1"/>
    </row>
    <row r="40" spans="1:39">
      <c r="A40" s="1"/>
      <c r="B40" s="71" t="s">
        <v>51</v>
      </c>
      <c r="C40" s="60">
        <f t="shared" si="36"/>
        <v>72.385461413107592</v>
      </c>
      <c r="D40" s="60">
        <f t="shared" si="5"/>
        <v>72.731351318804258</v>
      </c>
      <c r="E40" s="60">
        <f t="shared" si="6"/>
        <v>72.87406605778601</v>
      </c>
      <c r="F40" s="60">
        <f t="shared" si="7"/>
        <v>73.014334587379551</v>
      </c>
      <c r="G40" s="60">
        <f t="shared" si="8"/>
        <v>73.152219267214065</v>
      </c>
      <c r="H40" s="60">
        <f t="shared" si="9"/>
        <v>73.287780355186655</v>
      </c>
      <c r="I40" s="60">
        <f t="shared" si="10"/>
        <v>73.421076095266997</v>
      </c>
      <c r="J40" s="60">
        <f t="shared" si="11"/>
        <v>73.552162800936344</v>
      </c>
      <c r="K40" s="60">
        <f t="shared" si="12"/>
        <v>73.681094934512657</v>
      </c>
      <c r="L40" s="60">
        <f t="shared" si="13"/>
        <v>73.807925182595895</v>
      </c>
      <c r="M40" s="60">
        <f t="shared" si="14"/>
        <v>73.93270452785336</v>
      </c>
      <c r="N40" s="60">
        <f t="shared" si="15"/>
        <v>81.336789318858223</v>
      </c>
      <c r="O40" s="60">
        <f t="shared" si="16"/>
        <v>81.509710086281927</v>
      </c>
      <c r="P40" s="60">
        <f t="shared" si="17"/>
        <v>81.68257243563238</v>
      </c>
      <c r="Q40" s="60">
        <f t="shared" si="18"/>
        <v>81.855376396507779</v>
      </c>
      <c r="R40" s="60">
        <f t="shared" si="19"/>
        <v>82.028121998486313</v>
      </c>
      <c r="S40" s="60">
        <f t="shared" si="20"/>
        <v>82.20080927112619</v>
      </c>
      <c r="T40" s="60">
        <f t="shared" si="21"/>
        <v>82.373438243965737</v>
      </c>
      <c r="U40" s="60">
        <f t="shared" si="22"/>
        <v>82.546008946523216</v>
      </c>
      <c r="V40" s="60">
        <f t="shared" si="23"/>
        <v>82.718521408297065</v>
      </c>
      <c r="W40" s="60">
        <f t="shared" si="24"/>
        <v>82.890975658765782</v>
      </c>
      <c r="X40" s="60">
        <f t="shared" si="25"/>
        <v>83.063371727387974</v>
      </c>
      <c r="Y40" s="60">
        <f t="shared" si="26"/>
        <v>83.235709643602334</v>
      </c>
      <c r="Z40" s="60">
        <f t="shared" si="27"/>
        <v>83.407989436827819</v>
      </c>
      <c r="AA40" s="60">
        <f t="shared" si="28"/>
        <v>83.58021113646339</v>
      </c>
      <c r="AB40" s="60">
        <f t="shared" si="29"/>
        <v>83.752374771888284</v>
      </c>
      <c r="AC40" s="60">
        <f t="shared" si="30"/>
        <v>83.924480372461915</v>
      </c>
      <c r="AD40" s="60">
        <f t="shared" si="31"/>
        <v>84.096527967523869</v>
      </c>
      <c r="AE40" s="60">
        <f t="shared" si="32"/>
        <v>84.268517586394012</v>
      </c>
      <c r="AF40" s="60">
        <f t="shared" si="33"/>
        <v>84.440449258372411</v>
      </c>
      <c r="AG40" s="60">
        <f t="shared" si="34"/>
        <v>84.612323012739424</v>
      </c>
      <c r="AH40" s="60">
        <f t="shared" si="35"/>
        <v>84.78413887875567</v>
      </c>
      <c r="AJ40" s="1"/>
      <c r="AK40" s="1"/>
      <c r="AL40" s="1"/>
      <c r="AM40" s="1"/>
    </row>
    <row r="41" spans="1:39">
      <c r="A41" s="1"/>
      <c r="B41" s="71" t="s">
        <v>56</v>
      </c>
      <c r="C41" s="60">
        <f t="shared" si="36"/>
        <v>94.621105239929676</v>
      </c>
      <c r="D41" s="60">
        <f t="shared" si="5"/>
        <v>94.125174063566305</v>
      </c>
      <c r="E41" s="60">
        <f t="shared" si="6"/>
        <v>93.376017151404355</v>
      </c>
      <c r="F41" s="60">
        <f t="shared" si="7"/>
        <v>92.636660079039771</v>
      </c>
      <c r="G41" s="60">
        <f t="shared" si="8"/>
        <v>91.906959290934751</v>
      </c>
      <c r="H41" s="60">
        <f t="shared" si="9"/>
        <v>91.18677117604328</v>
      </c>
      <c r="I41" s="60">
        <f t="shared" si="10"/>
        <v>90.475952348633882</v>
      </c>
      <c r="J41" s="60">
        <f t="shared" si="11"/>
        <v>89.774359896345857</v>
      </c>
      <c r="K41" s="60">
        <f t="shared" si="12"/>
        <v>89.081851598828734</v>
      </c>
      <c r="L41" s="60">
        <f t="shared" si="13"/>
        <v>88.39828611996721</v>
      </c>
      <c r="M41" s="60">
        <f t="shared" si="14"/>
        <v>87.723523176384546</v>
      </c>
      <c r="N41" s="60">
        <f t="shared" si="15"/>
        <v>95.634610525797271</v>
      </c>
      <c r="O41" s="60">
        <f t="shared" si="16"/>
        <v>95.607888429997104</v>
      </c>
      <c r="P41" s="60">
        <f t="shared" si="17"/>
        <v>95.58064685077143</v>
      </c>
      <c r="Q41" s="60">
        <f t="shared" si="18"/>
        <v>95.552895349065579</v>
      </c>
      <c r="R41" s="60">
        <f t="shared" si="19"/>
        <v>95.524643262546803</v>
      </c>
      <c r="S41" s="60">
        <f t="shared" si="20"/>
        <v>95.495899712076195</v>
      </c>
      <c r="T41" s="60">
        <f t="shared" si="21"/>
        <v>95.466673607957048</v>
      </c>
      <c r="U41" s="60">
        <f t="shared" si="22"/>
        <v>95.436973655968202</v>
      </c>
      <c r="V41" s="60">
        <f t="shared" si="23"/>
        <v>95.406808363191232</v>
      </c>
      <c r="W41" s="60">
        <f t="shared" si="24"/>
        <v>95.376186043639436</v>
      </c>
      <c r="X41" s="60">
        <f t="shared" si="25"/>
        <v>95.345114823696647</v>
      </c>
      <c r="Y41" s="60">
        <f t="shared" si="26"/>
        <v>95.313602647373202</v>
      </c>
      <c r="Z41" s="60">
        <f t="shared" si="27"/>
        <v>95.281657281386202</v>
      </c>
      <c r="AA41" s="60">
        <f t="shared" si="28"/>
        <v>95.249286320070865</v>
      </c>
      <c r="AB41" s="60">
        <f t="shared" si="29"/>
        <v>95.216497190129573</v>
      </c>
      <c r="AC41" s="60">
        <f t="shared" si="30"/>
        <v>95.183297155224849</v>
      </c>
      <c r="AD41" s="60">
        <f t="shared" si="31"/>
        <v>95.14969332042196</v>
      </c>
      <c r="AE41" s="60">
        <f t="shared" si="32"/>
        <v>95.115692636487296</v>
      </c>
      <c r="AF41" s="60">
        <f t="shared" si="33"/>
        <v>95.08130190404745</v>
      </c>
      <c r="AG41" s="60">
        <f t="shared" si="34"/>
        <v>95.046527777614756</v>
      </c>
      <c r="AH41" s="60">
        <f t="shared" si="35"/>
        <v>95.011376769483789</v>
      </c>
      <c r="AJ41" s="1"/>
      <c r="AK41" s="1"/>
      <c r="AL41" s="1"/>
      <c r="AM41" s="1"/>
    </row>
    <row r="42" spans="1:39">
      <c r="A42" s="1"/>
      <c r="B42" s="71" t="s">
        <v>59</v>
      </c>
      <c r="C42" s="60">
        <f t="shared" si="36"/>
        <v>67.041088513233547</v>
      </c>
      <c r="D42" s="60">
        <f t="shared" si="5"/>
        <v>67.727422975872102</v>
      </c>
      <c r="E42" s="60">
        <f t="shared" si="6"/>
        <v>68.211913294029486</v>
      </c>
      <c r="F42" s="60">
        <f t="shared" si="7"/>
        <v>68.680691349158081</v>
      </c>
      <c r="G42" s="60">
        <f t="shared" si="8"/>
        <v>69.134230007589551</v>
      </c>
      <c r="H42" s="60">
        <f t="shared" si="9"/>
        <v>69.572985259982758</v>
      </c>
      <c r="I42" s="60">
        <f t="shared" si="10"/>
        <v>69.997396941516158</v>
      </c>
      <c r="J42" s="60">
        <f t="shared" si="11"/>
        <v>70.407889415980733</v>
      </c>
      <c r="K42" s="60">
        <f t="shared" si="12"/>
        <v>70.804872225856968</v>
      </c>
      <c r="L42" s="60">
        <f t="shared" si="13"/>
        <v>71.188740710322577</v>
      </c>
      <c r="M42" s="60">
        <f t="shared" si="14"/>
        <v>71.559876593012802</v>
      </c>
      <c r="N42" s="60">
        <f t="shared" si="15"/>
        <v>78.986981208148904</v>
      </c>
      <c r="O42" s="60">
        <f t="shared" si="16"/>
        <v>79.160172896183809</v>
      </c>
      <c r="P42" s="60">
        <f t="shared" si="17"/>
        <v>79.332440605219787</v>
      </c>
      <c r="Q42" s="60">
        <f t="shared" si="18"/>
        <v>79.503789360399225</v>
      </c>
      <c r="R42" s="60">
        <f t="shared" si="19"/>
        <v>79.674224151534219</v>
      </c>
      <c r="S42" s="60">
        <f t="shared" si="20"/>
        <v>79.843749933415523</v>
      </c>
      <c r="T42" s="60">
        <f t="shared" si="21"/>
        <v>80.012371626118622</v>
      </c>
      <c r="U42" s="60">
        <f t="shared" si="22"/>
        <v>80.180094115306247</v>
      </c>
      <c r="V42" s="60">
        <f t="shared" si="23"/>
        <v>80.346922252527989</v>
      </c>
      <c r="W42" s="60">
        <f t="shared" si="24"/>
        <v>80.512860855516521</v>
      </c>
      <c r="X42" s="60">
        <f t="shared" si="25"/>
        <v>80.677914708481055</v>
      </c>
      <c r="Y42" s="60">
        <f t="shared" si="26"/>
        <v>80.842088562397535</v>
      </c>
      <c r="Z42" s="60">
        <f t="shared" si="27"/>
        <v>81.005387135295905</v>
      </c>
      <c r="AA42" s="60">
        <f t="shared" si="28"/>
        <v>81.167815112544304</v>
      </c>
      <c r="AB42" s="60">
        <f t="shared" si="29"/>
        <v>81.329377147130458</v>
      </c>
      <c r="AC42" s="60">
        <f t="shared" si="30"/>
        <v>81.490077859940115</v>
      </c>
      <c r="AD42" s="60">
        <f t="shared" si="31"/>
        <v>81.649921840032604</v>
      </c>
      <c r="AE42" s="60">
        <f t="shared" si="32"/>
        <v>81.808913644913517</v>
      </c>
      <c r="AF42" s="60">
        <f t="shared" si="33"/>
        <v>81.967057800804696</v>
      </c>
      <c r="AG42" s="60">
        <f t="shared" si="34"/>
        <v>82.124358802911402</v>
      </c>
      <c r="AH42" s="60">
        <f t="shared" si="35"/>
        <v>82.280821115686635</v>
      </c>
      <c r="AJ42" s="1"/>
      <c r="AK42" s="1"/>
      <c r="AL42" s="1"/>
      <c r="AM42" s="1"/>
    </row>
    <row r="43" spans="1:39">
      <c r="A43" s="1"/>
      <c r="B43" s="71" t="s">
        <v>5</v>
      </c>
      <c r="C43" s="60">
        <f t="shared" si="36"/>
        <v>95.492584200918486</v>
      </c>
      <c r="D43" s="60">
        <f t="shared" si="5"/>
        <v>94.90110521647361</v>
      </c>
      <c r="E43" s="60">
        <f t="shared" si="6"/>
        <v>94.058825866940381</v>
      </c>
      <c r="F43" s="60">
        <f t="shared" si="7"/>
        <v>93.230983650299095</v>
      </c>
      <c r="G43" s="60">
        <f t="shared" si="8"/>
        <v>92.417210530085697</v>
      </c>
      <c r="H43" s="60">
        <f t="shared" si="9"/>
        <v>91.617150873919527</v>
      </c>
      <c r="I43" s="60">
        <f t="shared" si="10"/>
        <v>90.830460935294809</v>
      </c>
      <c r="J43" s="60">
        <f t="shared" si="11"/>
        <v>90.056808361135978</v>
      </c>
      <c r="K43" s="60">
        <f t="shared" si="12"/>
        <v>89.295871723635003</v>
      </c>
      <c r="L43" s="60">
        <f t="shared" si="13"/>
        <v>88.547340074984859</v>
      </c>
      <c r="M43" s="60">
        <f t="shared" si="14"/>
        <v>87.810912523713654</v>
      </c>
      <c r="N43" s="60">
        <f t="shared" si="15"/>
        <v>95.666362506235018</v>
      </c>
      <c r="O43" s="60">
        <f t="shared" si="16"/>
        <v>95.657252802284034</v>
      </c>
      <c r="P43" s="60">
        <f t="shared" si="17"/>
        <v>95.648146175877571</v>
      </c>
      <c r="Q43" s="60">
        <f t="shared" si="18"/>
        <v>95.639042625456256</v>
      </c>
      <c r="R43" s="60">
        <f t="shared" si="19"/>
        <v>95.629942149461968</v>
      </c>
      <c r="S43" s="60">
        <f t="shared" si="20"/>
        <v>95.620844746337482</v>
      </c>
      <c r="T43" s="60">
        <f t="shared" si="21"/>
        <v>95.611750414526696</v>
      </c>
      <c r="U43" s="60">
        <f t="shared" si="22"/>
        <v>95.60265915247453</v>
      </c>
      <c r="V43" s="60">
        <f t="shared" si="23"/>
        <v>95.593570958626984</v>
      </c>
      <c r="W43" s="60">
        <f t="shared" si="24"/>
        <v>95.584485831431095</v>
      </c>
      <c r="X43" s="60">
        <f t="shared" si="25"/>
        <v>95.575403769334926</v>
      </c>
      <c r="Y43" s="60">
        <f t="shared" si="26"/>
        <v>95.566324770787617</v>
      </c>
      <c r="Z43" s="60">
        <f t="shared" si="27"/>
        <v>95.557248834239346</v>
      </c>
      <c r="AA43" s="60">
        <f t="shared" si="28"/>
        <v>95.548175958141314</v>
      </c>
      <c r="AB43" s="60">
        <f t="shared" si="29"/>
        <v>95.539106140945776</v>
      </c>
      <c r="AC43" s="60">
        <f t="shared" si="30"/>
        <v>95.530039381106079</v>
      </c>
      <c r="AD43" s="60">
        <f t="shared" si="31"/>
        <v>95.520975677076521</v>
      </c>
      <c r="AE43" s="60">
        <f t="shared" si="32"/>
        <v>95.51191502731254</v>
      </c>
      <c r="AF43" s="60">
        <f t="shared" si="33"/>
        <v>95.502857430270538</v>
      </c>
      <c r="AG43" s="60">
        <f t="shared" si="34"/>
        <v>95.493802884407998</v>
      </c>
      <c r="AH43" s="60">
        <f t="shared" si="35"/>
        <v>95.484751388183412</v>
      </c>
      <c r="AJ43" s="1"/>
      <c r="AK43" s="1"/>
      <c r="AL43" s="1"/>
      <c r="AM43" s="1"/>
    </row>
    <row r="44" spans="1:39">
      <c r="A44" s="1"/>
      <c r="B44" s="71" t="s">
        <v>6</v>
      </c>
      <c r="C44" s="60">
        <f t="shared" si="36"/>
        <v>1</v>
      </c>
      <c r="D44" s="60">
        <f t="shared" si="5"/>
        <v>1</v>
      </c>
      <c r="E44" s="60">
        <f t="shared" si="6"/>
        <v>1</v>
      </c>
      <c r="F44" s="60">
        <f t="shared" si="7"/>
        <v>1</v>
      </c>
      <c r="G44" s="60">
        <f t="shared" si="8"/>
        <v>1</v>
      </c>
      <c r="H44" s="60">
        <f t="shared" si="9"/>
        <v>1</v>
      </c>
      <c r="I44" s="60">
        <f t="shared" si="10"/>
        <v>1</v>
      </c>
      <c r="J44" s="60">
        <f t="shared" si="11"/>
        <v>1</v>
      </c>
      <c r="K44" s="60">
        <f t="shared" si="12"/>
        <v>1</v>
      </c>
      <c r="L44" s="60">
        <f t="shared" si="13"/>
        <v>1</v>
      </c>
      <c r="M44" s="60">
        <f t="shared" si="14"/>
        <v>1</v>
      </c>
      <c r="N44" s="60">
        <f t="shared" si="15"/>
        <v>1</v>
      </c>
      <c r="O44" s="60">
        <f t="shared" si="16"/>
        <v>1</v>
      </c>
      <c r="P44" s="60">
        <f t="shared" si="17"/>
        <v>1</v>
      </c>
      <c r="Q44" s="60">
        <f t="shared" si="18"/>
        <v>1</v>
      </c>
      <c r="R44" s="60">
        <f t="shared" si="19"/>
        <v>1</v>
      </c>
      <c r="S44" s="60">
        <f t="shared" si="20"/>
        <v>1</v>
      </c>
      <c r="T44" s="60">
        <f t="shared" si="21"/>
        <v>1</v>
      </c>
      <c r="U44" s="60">
        <f t="shared" si="22"/>
        <v>1</v>
      </c>
      <c r="V44" s="60">
        <f t="shared" si="23"/>
        <v>1</v>
      </c>
      <c r="W44" s="60">
        <f t="shared" si="24"/>
        <v>1</v>
      </c>
      <c r="X44" s="60">
        <f t="shared" si="25"/>
        <v>1</v>
      </c>
      <c r="Y44" s="60">
        <f t="shared" si="26"/>
        <v>1</v>
      </c>
      <c r="Z44" s="60">
        <f t="shared" si="27"/>
        <v>1</v>
      </c>
      <c r="AA44" s="60">
        <f t="shared" si="28"/>
        <v>1</v>
      </c>
      <c r="AB44" s="60">
        <f t="shared" si="29"/>
        <v>1</v>
      </c>
      <c r="AC44" s="60">
        <f t="shared" si="30"/>
        <v>1</v>
      </c>
      <c r="AD44" s="60">
        <f t="shared" si="31"/>
        <v>1</v>
      </c>
      <c r="AE44" s="60">
        <f t="shared" si="32"/>
        <v>1</v>
      </c>
      <c r="AF44" s="60">
        <f t="shared" si="33"/>
        <v>1</v>
      </c>
      <c r="AG44" s="60">
        <f t="shared" si="34"/>
        <v>1</v>
      </c>
      <c r="AH44" s="60">
        <f t="shared" si="35"/>
        <v>1</v>
      </c>
      <c r="AJ44" s="1"/>
      <c r="AK44" s="1"/>
      <c r="AL44" s="1"/>
      <c r="AM44" s="1"/>
    </row>
    <row r="45" spans="1:39">
      <c r="A45" s="1"/>
      <c r="B45" s="71" t="s">
        <v>7</v>
      </c>
      <c r="C45" s="60">
        <f t="shared" si="36"/>
        <v>85.947853271034361</v>
      </c>
      <c r="D45" s="60">
        <f t="shared" si="5"/>
        <v>85.438844542486621</v>
      </c>
      <c r="E45" s="60">
        <f t="shared" si="6"/>
        <v>84.703976004854752</v>
      </c>
      <c r="F45" s="60">
        <f t="shared" si="7"/>
        <v>83.981703519520451</v>
      </c>
      <c r="G45" s="60">
        <f t="shared" si="8"/>
        <v>83.271705983493078</v>
      </c>
      <c r="H45" s="60">
        <f t="shared" si="9"/>
        <v>82.573673116047232</v>
      </c>
      <c r="I45" s="60">
        <f t="shared" si="10"/>
        <v>81.887305006598467</v>
      </c>
      <c r="J45" s="60">
        <f t="shared" si="11"/>
        <v>81.21231168505696</v>
      </c>
      <c r="K45" s="60">
        <f t="shared" si="12"/>
        <v>80.548412713366943</v>
      </c>
      <c r="L45" s="60">
        <f t="shared" si="13"/>
        <v>79.895336797022154</v>
      </c>
      <c r="M45" s="60">
        <f t="shared" si="14"/>
        <v>79.252821415427675</v>
      </c>
      <c r="N45" s="60">
        <f t="shared" si="15"/>
        <v>86.356917687833459</v>
      </c>
      <c r="O45" s="60">
        <f t="shared" si="16"/>
        <v>86.333729018783856</v>
      </c>
      <c r="P45" s="60">
        <f t="shared" si="17"/>
        <v>86.310548183595913</v>
      </c>
      <c r="Q45" s="60">
        <f t="shared" si="18"/>
        <v>86.287375178300493</v>
      </c>
      <c r="R45" s="60">
        <f t="shared" si="19"/>
        <v>86.264209998931165</v>
      </c>
      <c r="S45" s="60">
        <f t="shared" si="20"/>
        <v>86.241052641524149</v>
      </c>
      <c r="T45" s="60">
        <f t="shared" si="21"/>
        <v>86.217903102118427</v>
      </c>
      <c r="U45" s="60">
        <f t="shared" si="22"/>
        <v>86.194761376755523</v>
      </c>
      <c r="V45" s="60">
        <f t="shared" si="23"/>
        <v>86.171627461479744</v>
      </c>
      <c r="W45" s="60">
        <f t="shared" si="24"/>
        <v>86.148501352338016</v>
      </c>
      <c r="X45" s="60">
        <f t="shared" si="25"/>
        <v>86.125383045379905</v>
      </c>
      <c r="Y45" s="60">
        <f t="shared" si="26"/>
        <v>86.102272536657722</v>
      </c>
      <c r="Z45" s="60">
        <f t="shared" si="27"/>
        <v>86.07916982222639</v>
      </c>
      <c r="AA45" s="60">
        <f t="shared" si="28"/>
        <v>86.056074898143493</v>
      </c>
      <c r="AB45" s="60">
        <f t="shared" si="29"/>
        <v>86.032987760469297</v>
      </c>
      <c r="AC45" s="60">
        <f t="shared" si="30"/>
        <v>86.009908405266657</v>
      </c>
      <c r="AD45" s="60">
        <f t="shared" si="31"/>
        <v>85.98683682860117</v>
      </c>
      <c r="AE45" s="60">
        <f t="shared" si="32"/>
        <v>85.963773026541062</v>
      </c>
      <c r="AF45" s="60">
        <f t="shared" si="33"/>
        <v>85.940716995157146</v>
      </c>
      <c r="AG45" s="60">
        <f t="shared" si="34"/>
        <v>85.91766873052299</v>
      </c>
      <c r="AH45" s="60">
        <f t="shared" si="35"/>
        <v>85.894628228714666</v>
      </c>
      <c r="AJ45" s="1"/>
      <c r="AK45" s="1"/>
      <c r="AL45" s="1"/>
      <c r="AM45" s="1"/>
    </row>
    <row r="46" spans="1:39">
      <c r="A46" s="1"/>
      <c r="B46" s="71" t="s">
        <v>72</v>
      </c>
      <c r="C46" s="60">
        <f t="shared" si="36"/>
        <v>93.485632650664328</v>
      </c>
      <c r="D46" s="60">
        <f t="shared" si="5"/>
        <v>92.893711787075702</v>
      </c>
      <c r="E46" s="60">
        <f t="shared" si="6"/>
        <v>92.056542200156372</v>
      </c>
      <c r="F46" s="60">
        <f t="shared" si="7"/>
        <v>91.233722161977767</v>
      </c>
      <c r="G46" s="60">
        <f t="shared" si="8"/>
        <v>90.424885868801795</v>
      </c>
      <c r="H46" s="60">
        <f t="shared" si="9"/>
        <v>89.629679845723302</v>
      </c>
      <c r="I46" s="60">
        <f t="shared" si="10"/>
        <v>88.847762431605247</v>
      </c>
      <c r="J46" s="60">
        <f t="shared" si="11"/>
        <v>88.078803289621575</v>
      </c>
      <c r="K46" s="60">
        <f t="shared" si="12"/>
        <v>87.322482941934638</v>
      </c>
      <c r="L46" s="60">
        <f t="shared" si="13"/>
        <v>86.578492327130007</v>
      </c>
      <c r="M46" s="60">
        <f t="shared" si="14"/>
        <v>85.846532379120575</v>
      </c>
      <c r="N46" s="60">
        <f t="shared" si="15"/>
        <v>93.511030241522761</v>
      </c>
      <c r="O46" s="60">
        <f t="shared" si="16"/>
        <v>93.45742654707449</v>
      </c>
      <c r="P46" s="60">
        <f t="shared" si="17"/>
        <v>93.403840961639943</v>
      </c>
      <c r="Q46" s="60">
        <f t="shared" si="18"/>
        <v>93.350273476043938</v>
      </c>
      <c r="R46" s="60">
        <f t="shared" si="19"/>
        <v>93.296724081117631</v>
      </c>
      <c r="S46" s="60">
        <f t="shared" si="20"/>
        <v>93.243192767698147</v>
      </c>
      <c r="T46" s="60">
        <f t="shared" si="21"/>
        <v>93.189679526628993</v>
      </c>
      <c r="U46" s="60">
        <f t="shared" si="22"/>
        <v>93.136184348759755</v>
      </c>
      <c r="V46" s="60">
        <f t="shared" si="23"/>
        <v>93.082707224946262</v>
      </c>
      <c r="W46" s="60">
        <f t="shared" si="24"/>
        <v>93.029248146050463</v>
      </c>
      <c r="X46" s="60">
        <f t="shared" si="25"/>
        <v>92.975807102940436</v>
      </c>
      <c r="Y46" s="60">
        <f t="shared" si="26"/>
        <v>92.92238408649051</v>
      </c>
      <c r="Z46" s="60">
        <f t="shared" si="27"/>
        <v>92.868979087581181</v>
      </c>
      <c r="AA46" s="60">
        <f t="shared" si="28"/>
        <v>92.815592097098957</v>
      </c>
      <c r="AB46" s="60">
        <f t="shared" si="29"/>
        <v>92.762223105936627</v>
      </c>
      <c r="AC46" s="60">
        <f t="shared" si="30"/>
        <v>92.708872104993077</v>
      </c>
      <c r="AD46" s="60">
        <f t="shared" si="31"/>
        <v>92.655539085173288</v>
      </c>
      <c r="AE46" s="60">
        <f t="shared" si="32"/>
        <v>92.602224037388439</v>
      </c>
      <c r="AF46" s="60">
        <f t="shared" si="33"/>
        <v>92.548926952555775</v>
      </c>
      <c r="AG46" s="60">
        <f t="shared" si="34"/>
        <v>92.495647821598695</v>
      </c>
      <c r="AH46" s="60">
        <f t="shared" si="35"/>
        <v>92.442386635446709</v>
      </c>
      <c r="AJ46" s="1"/>
      <c r="AK46" s="1"/>
      <c r="AL46" s="1"/>
      <c r="AM46" s="1"/>
    </row>
    <row r="47" spans="1:39">
      <c r="A47" s="1"/>
      <c r="AJ47" s="1"/>
      <c r="AK47" s="1"/>
      <c r="AL47" s="1"/>
      <c r="AM47" s="1"/>
    </row>
    <row r="48" spans="1:39">
      <c r="A48" s="1"/>
      <c r="AJ48" s="1"/>
      <c r="AK48" s="1"/>
      <c r="AL48" s="1"/>
      <c r="AM48" s="1"/>
    </row>
    <row r="49" spans="1:39">
      <c r="A49" s="1"/>
      <c r="AJ49" s="1"/>
      <c r="AK49" s="1"/>
      <c r="AL49" s="1"/>
      <c r="AM49" s="1"/>
    </row>
    <row r="50" spans="1:39">
      <c r="A50" s="1"/>
      <c r="AJ50" s="1"/>
      <c r="AK50" s="1"/>
      <c r="AL50" s="1"/>
      <c r="AM50" s="1"/>
    </row>
    <row r="51" spans="1:39">
      <c r="A51" s="1"/>
      <c r="B51" s="102"/>
      <c r="C51" s="103"/>
      <c r="D51" s="68"/>
      <c r="E51" s="68"/>
      <c r="F51" s="68"/>
      <c r="G51" s="68"/>
      <c r="H51" s="68"/>
      <c r="AJ51" s="1"/>
      <c r="AK51" s="1"/>
      <c r="AL51" s="1"/>
      <c r="AM51" s="1"/>
    </row>
    <row r="52" spans="1:39">
      <c r="A52" s="1"/>
      <c r="B52" s="102"/>
      <c r="C52" s="103"/>
      <c r="D52" s="68"/>
      <c r="AJ52" s="1"/>
      <c r="AK52" s="1"/>
      <c r="AL52" s="1"/>
      <c r="AM52" s="1"/>
    </row>
    <row r="53" spans="1:39">
      <c r="A53" s="1"/>
      <c r="B53" s="102"/>
      <c r="C53" s="69"/>
      <c r="D53" s="69"/>
      <c r="AJ53" s="1"/>
      <c r="AK53" s="1"/>
      <c r="AL53" s="1"/>
      <c r="AM53" s="1"/>
    </row>
    <row r="54" spans="1:39" ht="15" thickBot="1">
      <c r="A54" s="1"/>
      <c r="B54" s="1"/>
      <c r="G54" s="1"/>
      <c r="H54" s="1"/>
      <c r="AJ54" s="1"/>
      <c r="AK54" s="1"/>
      <c r="AL54" s="1"/>
      <c r="AM54" s="1"/>
    </row>
    <row r="55" spans="1:39" ht="16.5" thickBot="1">
      <c r="A55" s="102"/>
      <c r="B55" s="1"/>
      <c r="C55" s="72" t="s">
        <v>120</v>
      </c>
      <c r="D55" s="73"/>
      <c r="E55" s="73"/>
      <c r="F55" s="74"/>
      <c r="G55" s="1"/>
      <c r="H55" s="1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1"/>
      <c r="AK55" s="1"/>
      <c r="AL55" s="1"/>
      <c r="AM55" s="1"/>
    </row>
    <row r="56" spans="1:39">
      <c r="A56" s="102"/>
      <c r="B56" s="1"/>
      <c r="C56" s="75" t="s">
        <v>77</v>
      </c>
      <c r="D56" s="81" t="s">
        <v>105</v>
      </c>
      <c r="E56" s="82"/>
      <c r="F56" s="83"/>
      <c r="G56" s="1"/>
      <c r="H56" s="1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1"/>
      <c r="AK56" s="1"/>
      <c r="AL56" s="1"/>
      <c r="AM56" s="1"/>
    </row>
    <row r="57" spans="1:39">
      <c r="A57" s="102"/>
      <c r="B57" s="1"/>
      <c r="C57" s="71" t="s">
        <v>81</v>
      </c>
      <c r="D57" s="53">
        <f>KPIs!C56</f>
        <v>1000</v>
      </c>
      <c r="E57" s="84" t="s">
        <v>81</v>
      </c>
      <c r="F57" s="85"/>
      <c r="G57" s="1"/>
      <c r="H57" s="1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1"/>
      <c r="AK57" s="1"/>
      <c r="AL57" s="1"/>
      <c r="AM57" s="1"/>
    </row>
    <row r="58" spans="1:39">
      <c r="A58" s="102"/>
      <c r="B58" s="1"/>
      <c r="C58" s="71" t="s">
        <v>36</v>
      </c>
      <c r="D58" s="53">
        <f>KPIs!C57</f>
        <v>222.87170139311257</v>
      </c>
      <c r="E58" s="84" t="s">
        <v>96</v>
      </c>
      <c r="F58" s="85"/>
      <c r="G58" s="1"/>
      <c r="H58" s="1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1"/>
      <c r="AK58" s="1"/>
      <c r="AL58" s="1"/>
      <c r="AM58" s="1"/>
    </row>
    <row r="59" spans="1:39">
      <c r="A59" s="102"/>
      <c r="B59" s="1"/>
      <c r="C59" s="71" t="s">
        <v>89</v>
      </c>
      <c r="D59" s="53">
        <f>KPIs!C58</f>
        <v>652</v>
      </c>
      <c r="E59" s="84" t="s">
        <v>89</v>
      </c>
      <c r="F59" s="85"/>
      <c r="G59" s="1"/>
      <c r="H59" s="1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"/>
      <c r="AK59" s="1"/>
      <c r="AL59" s="1"/>
      <c r="AM59" s="1"/>
    </row>
    <row r="60" spans="1:39">
      <c r="A60" s="102"/>
      <c r="B60" s="1"/>
      <c r="C60" s="71" t="s">
        <v>88</v>
      </c>
      <c r="D60" s="53">
        <f>KPIs!C59</f>
        <v>441</v>
      </c>
      <c r="E60" s="84" t="s">
        <v>88</v>
      </c>
      <c r="F60" s="85"/>
      <c r="G60" s="1"/>
      <c r="H60" s="1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2"/>
      <c r="AJ60" s="1"/>
      <c r="AK60" s="1"/>
      <c r="AL60" s="1"/>
      <c r="AM60" s="1"/>
    </row>
    <row r="61" spans="1:39">
      <c r="A61" s="102"/>
      <c r="B61" s="1"/>
      <c r="C61" s="71" t="s">
        <v>90</v>
      </c>
      <c r="D61" s="53">
        <f>KPIs!C60</f>
        <v>98.343000000000004</v>
      </c>
      <c r="E61" s="84" t="s">
        <v>97</v>
      </c>
      <c r="F61" s="85"/>
      <c r="G61" s="1"/>
      <c r="H61" s="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3"/>
      <c r="AJ61" s="1"/>
      <c r="AK61" s="1"/>
      <c r="AL61" s="1"/>
      <c r="AM61" s="1"/>
    </row>
    <row r="62" spans="1:39">
      <c r="A62" s="102"/>
      <c r="B62" s="1"/>
      <c r="C62" s="71" t="s">
        <v>48</v>
      </c>
      <c r="D62" s="53">
        <f>KPIs!C61</f>
        <v>45</v>
      </c>
      <c r="E62" s="84" t="s">
        <v>98</v>
      </c>
      <c r="F62" s="85"/>
      <c r="G62" s="1"/>
      <c r="H62" s="1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3"/>
      <c r="AJ62" s="1"/>
      <c r="AK62" s="1"/>
      <c r="AL62" s="1"/>
      <c r="AM62" s="1"/>
    </row>
    <row r="63" spans="1:39">
      <c r="A63" s="102"/>
      <c r="B63" s="1"/>
      <c r="C63" s="71" t="s">
        <v>51</v>
      </c>
      <c r="D63" s="53">
        <f>KPIs!C62</f>
        <v>22</v>
      </c>
      <c r="E63" s="84" t="s">
        <v>99</v>
      </c>
      <c r="F63" s="85"/>
      <c r="G63" s="1"/>
      <c r="H63" s="1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3"/>
      <c r="AJ63" s="1"/>
      <c r="AK63" s="1"/>
      <c r="AL63" s="1"/>
      <c r="AM63" s="1"/>
    </row>
    <row r="64" spans="1:39">
      <c r="A64" s="102"/>
      <c r="B64" s="1"/>
      <c r="C64" s="71" t="s">
        <v>56</v>
      </c>
      <c r="D64" s="53">
        <f>KPIs!C63</f>
        <v>11</v>
      </c>
      <c r="E64" s="84" t="s">
        <v>107</v>
      </c>
      <c r="F64" s="85"/>
      <c r="G64" s="1"/>
      <c r="H64" s="1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3"/>
      <c r="AJ64" s="1"/>
      <c r="AK64" s="1"/>
      <c r="AL64" s="1"/>
      <c r="AM64" s="1"/>
    </row>
    <row r="65" spans="1:39">
      <c r="A65" s="102"/>
      <c r="B65" s="1"/>
      <c r="C65" s="71" t="s">
        <v>59</v>
      </c>
      <c r="D65" s="53">
        <f>KPIs!C64</f>
        <v>11</v>
      </c>
      <c r="E65" s="84" t="s">
        <v>107</v>
      </c>
      <c r="F65" s="85"/>
      <c r="G65" s="1"/>
      <c r="H65" s="1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3"/>
      <c r="AJ65" s="1"/>
      <c r="AK65" s="1"/>
      <c r="AL65" s="1"/>
      <c r="AM65" s="1"/>
    </row>
    <row r="66" spans="1:39">
      <c r="A66" s="102"/>
      <c r="B66" s="1"/>
      <c r="C66" s="71" t="s">
        <v>5</v>
      </c>
      <c r="D66" s="53">
        <f>KPIs!C65</f>
        <v>65</v>
      </c>
      <c r="E66" s="84" t="s">
        <v>5</v>
      </c>
      <c r="F66" s="85"/>
      <c r="G66" s="1"/>
      <c r="H66" s="1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3"/>
      <c r="AJ66" s="1"/>
      <c r="AK66" s="1"/>
      <c r="AL66" s="1"/>
      <c r="AM66" s="1"/>
    </row>
    <row r="67" spans="1:39">
      <c r="A67" s="102"/>
      <c r="B67" s="1"/>
      <c r="C67" s="71" t="s">
        <v>6</v>
      </c>
      <c r="D67" s="53">
        <f>KPIs!C66</f>
        <v>47</v>
      </c>
      <c r="E67" s="84" t="s">
        <v>102</v>
      </c>
      <c r="F67" s="85"/>
      <c r="G67" s="1"/>
      <c r="H67" s="1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3"/>
      <c r="AJ67" s="1"/>
      <c r="AK67" s="1"/>
      <c r="AL67" s="1"/>
      <c r="AM67" s="1"/>
    </row>
    <row r="68" spans="1:39">
      <c r="A68" s="102"/>
      <c r="B68" s="1"/>
      <c r="C68" s="71" t="s">
        <v>7</v>
      </c>
      <c r="D68" s="53">
        <f>KPIs!C67</f>
        <v>291</v>
      </c>
      <c r="E68" s="84" t="s">
        <v>7</v>
      </c>
      <c r="F68" s="85"/>
      <c r="G68" s="1"/>
      <c r="H68" s="1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3"/>
      <c r="AJ68" s="1"/>
      <c r="AK68" s="1"/>
      <c r="AL68" s="1"/>
      <c r="AM68" s="1"/>
    </row>
    <row r="69" spans="1:39">
      <c r="A69" s="102"/>
      <c r="B69" s="1"/>
      <c r="C69" s="71" t="s">
        <v>72</v>
      </c>
      <c r="D69" s="53">
        <f>KPIs!C68</f>
        <v>14</v>
      </c>
      <c r="E69" s="84" t="s">
        <v>103</v>
      </c>
      <c r="F69" s="85"/>
      <c r="G69" s="1"/>
      <c r="H69" s="1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3"/>
      <c r="AJ69" s="1"/>
      <c r="AK69" s="1"/>
      <c r="AL69" s="1"/>
      <c r="AM69" s="1"/>
    </row>
    <row r="70" spans="1:39">
      <c r="A70" s="102"/>
      <c r="B70" s="1"/>
      <c r="C70" s="1"/>
      <c r="D70" s="1"/>
      <c r="E70" s="1"/>
      <c r="F70" s="1"/>
      <c r="G70" s="1"/>
      <c r="H70" s="1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3"/>
      <c r="AJ70" s="1"/>
      <c r="AK70" s="1"/>
      <c r="AL70" s="1"/>
      <c r="AM70" s="1"/>
    </row>
    <row r="71" spans="1:39">
      <c r="A71" s="102"/>
      <c r="B71" s="1"/>
      <c r="C71" s="71" t="s">
        <v>115</v>
      </c>
      <c r="D71" s="86" t="s">
        <v>106</v>
      </c>
      <c r="E71" s="87"/>
      <c r="F71" s="88"/>
      <c r="G71" s="1"/>
      <c r="H71" s="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3"/>
      <c r="AJ71" s="1"/>
      <c r="AK71" s="1"/>
      <c r="AL71" s="1"/>
      <c r="AM71" s="1"/>
    </row>
    <row r="72" spans="1:39">
      <c r="A72" s="102"/>
      <c r="B72" s="1"/>
      <c r="C72" s="71">
        <v>1</v>
      </c>
      <c r="D72" s="89" t="str">
        <f>VLOOKUP(SMALL(D57:D69,1),D57:F69,2,FALSE)</f>
        <v>Wind On/Off</v>
      </c>
      <c r="E72" s="90"/>
      <c r="F72" s="91"/>
      <c r="G72" s="1"/>
      <c r="H72" s="1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3"/>
      <c r="AJ72" s="1"/>
      <c r="AK72" s="1"/>
      <c r="AL72" s="1"/>
      <c r="AM72" s="1"/>
    </row>
    <row r="73" spans="1:39">
      <c r="A73" s="102"/>
      <c r="B73" s="1"/>
      <c r="C73" s="71">
        <v>2</v>
      </c>
      <c r="D73" s="89" t="str">
        <f>VLOOKUP(SMALL(D57:D69,2),D57:F69,2,FALSE)</f>
        <v>Wind On/Off</v>
      </c>
      <c r="E73" s="90"/>
      <c r="F73" s="91"/>
      <c r="G73" s="1"/>
      <c r="H73" s="1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3"/>
      <c r="AJ73" s="1"/>
      <c r="AK73" s="1"/>
      <c r="AL73" s="1"/>
      <c r="AM73" s="1"/>
    </row>
    <row r="74" spans="1:39">
      <c r="A74" s="102"/>
      <c r="B74" s="1"/>
      <c r="C74" s="71">
        <v>3</v>
      </c>
      <c r="D74" s="89" t="str">
        <f>VLOOKUP(SMALL(D57:D69,3),D57:F69,2,FALSE)</f>
        <v xml:space="preserve">Hydro </v>
      </c>
      <c r="E74" s="90"/>
      <c r="F74" s="91"/>
      <c r="G74" s="1"/>
      <c r="H74" s="1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  <c r="AB74" s="105"/>
      <c r="AC74" s="105"/>
      <c r="AD74" s="105"/>
      <c r="AE74" s="105"/>
      <c r="AF74" s="105"/>
      <c r="AG74" s="105"/>
      <c r="AH74" s="105"/>
      <c r="AI74" s="102"/>
      <c r="AJ74" s="1"/>
      <c r="AK74" s="1"/>
      <c r="AL74" s="1"/>
      <c r="AM74" s="1"/>
    </row>
    <row r="75" spans="1:39">
      <c r="A75" s="102"/>
      <c r="B75" s="1"/>
      <c r="C75" s="71">
        <v>4</v>
      </c>
      <c r="D75" s="89" t="str">
        <f>VLOOKUP(SMALL(D57:D69,4),D57:F69,2,FALSE)</f>
        <v>Solar CSP</v>
      </c>
      <c r="E75" s="90"/>
      <c r="F75" s="91"/>
      <c r="G75" s="1"/>
      <c r="H75" s="1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2"/>
      <c r="AJ75" s="1"/>
      <c r="AK75" s="1"/>
      <c r="AL75" s="1"/>
      <c r="AM75" s="1"/>
    </row>
    <row r="76" spans="1:39">
      <c r="A76" s="102"/>
      <c r="B76" s="1"/>
      <c r="C76" s="71">
        <v>5</v>
      </c>
      <c r="D76" s="89" t="str">
        <f>VLOOKUP(SMALL(D57:D69,5),D57:F69,2,FALSE)</f>
        <v>Solar PV</v>
      </c>
      <c r="E76" s="90"/>
      <c r="F76" s="91"/>
      <c r="G76" s="1"/>
      <c r="H76" s="1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"/>
      <c r="AK76" s="1"/>
      <c r="AL76" s="1"/>
      <c r="AM76" s="1"/>
    </row>
    <row r="77" spans="1:39">
      <c r="A77" s="102"/>
      <c r="B77" s="1"/>
      <c r="C77" s="1"/>
      <c r="D77" s="1"/>
      <c r="E77" s="1"/>
      <c r="F77" s="1"/>
      <c r="G77" s="1"/>
      <c r="H77" s="1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"/>
      <c r="AK77" s="1"/>
      <c r="AL77" s="1"/>
      <c r="AM77" s="1"/>
    </row>
    <row r="78" spans="1:39">
      <c r="A78" s="102"/>
      <c r="B78" s="1"/>
      <c r="C78" s="71" t="s">
        <v>116</v>
      </c>
      <c r="D78" s="86" t="s">
        <v>106</v>
      </c>
      <c r="E78" s="87"/>
      <c r="F78" s="88"/>
      <c r="G78" s="1"/>
      <c r="H78" s="1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"/>
      <c r="AK78" s="1"/>
      <c r="AL78" s="1"/>
      <c r="AM78" s="1"/>
    </row>
    <row r="79" spans="1:39">
      <c r="A79" s="102"/>
      <c r="B79" s="1"/>
      <c r="C79" s="71">
        <v>1</v>
      </c>
      <c r="D79" s="92">
        <f>SMALL($D$57:$D$69,1)</f>
        <v>11</v>
      </c>
      <c r="E79" s="93"/>
      <c r="F79" s="94"/>
      <c r="G79" s="1"/>
      <c r="H79" s="1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"/>
      <c r="AK79" s="1"/>
      <c r="AL79" s="1"/>
      <c r="AM79" s="1"/>
    </row>
    <row r="80" spans="1:39">
      <c r="A80" s="102"/>
      <c r="B80" s="1"/>
      <c r="C80" s="71">
        <v>2</v>
      </c>
      <c r="D80" s="92">
        <f>SMALL($D$57:$D$69,2)</f>
        <v>11</v>
      </c>
      <c r="E80" s="93"/>
      <c r="F80" s="94"/>
      <c r="G80" s="1"/>
      <c r="H80" s="1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"/>
      <c r="AK80" s="1"/>
      <c r="AL80" s="1"/>
      <c r="AM80" s="1"/>
    </row>
    <row r="81" spans="1:39">
      <c r="A81" s="102"/>
      <c r="B81" s="1"/>
      <c r="C81" s="71">
        <v>3</v>
      </c>
      <c r="D81" s="92">
        <f>SMALL($D$57:$D$69,3)</f>
        <v>14</v>
      </c>
      <c r="E81" s="93"/>
      <c r="F81" s="94"/>
      <c r="G81" s="1"/>
      <c r="H81" s="1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102"/>
      <c r="AJ81" s="1"/>
      <c r="AK81" s="1"/>
      <c r="AL81" s="1"/>
      <c r="AM81" s="1"/>
    </row>
    <row r="82" spans="1:39">
      <c r="A82" s="102"/>
      <c r="B82" s="1"/>
      <c r="C82" s="71">
        <v>4</v>
      </c>
      <c r="D82" s="92">
        <f>SMALL($D$57:$D$69,4)</f>
        <v>22</v>
      </c>
      <c r="E82" s="93"/>
      <c r="F82" s="94"/>
      <c r="G82" s="1"/>
      <c r="H82" s="1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2"/>
      <c r="AJ82" s="1"/>
      <c r="AK82" s="1"/>
      <c r="AL82" s="1"/>
      <c r="AM82" s="1"/>
    </row>
    <row r="83" spans="1:39">
      <c r="A83" s="102"/>
      <c r="B83" s="1"/>
      <c r="C83" s="71">
        <v>5</v>
      </c>
      <c r="D83" s="92">
        <f>SMALL($D$57:$D$69,5)</f>
        <v>45</v>
      </c>
      <c r="E83" s="93"/>
      <c r="F83" s="94"/>
      <c r="G83" s="1"/>
      <c r="H83" s="1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102"/>
      <c r="AJ83" s="1"/>
      <c r="AK83" s="1"/>
      <c r="AL83" s="1"/>
      <c r="AM83" s="1"/>
    </row>
    <row r="84" spans="1:39">
      <c r="A84" s="102"/>
      <c r="B84" s="1"/>
      <c r="C84" s="1"/>
      <c r="D84" s="1"/>
      <c r="E84" s="1"/>
      <c r="F84" s="1"/>
      <c r="G84" s="1"/>
      <c r="H84" s="1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102"/>
      <c r="AJ84" s="1"/>
      <c r="AK84" s="1"/>
      <c r="AL84" s="1"/>
      <c r="AM84" s="1"/>
    </row>
    <row r="85" spans="1:39">
      <c r="A85" s="102"/>
      <c r="B85" s="1"/>
      <c r="C85" s="71" t="s">
        <v>123</v>
      </c>
      <c r="D85" s="86" t="s">
        <v>106</v>
      </c>
      <c r="E85" s="87"/>
      <c r="F85" s="88"/>
      <c r="G85" s="1"/>
      <c r="H85" s="1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102"/>
      <c r="AJ85" s="1"/>
      <c r="AK85" s="1"/>
      <c r="AL85" s="1"/>
      <c r="AM85" s="1"/>
    </row>
    <row r="86" spans="1:39">
      <c r="A86" s="102"/>
      <c r="B86" s="1"/>
      <c r="C86" s="71" t="s">
        <v>81</v>
      </c>
      <c r="D86" s="106">
        <f>1+((MAX($D$57:$D$69)-D57)/(MAX($D$57:$D$69)-MIN($D$57:$D$69)))*99</f>
        <v>1</v>
      </c>
      <c r="E86" s="107"/>
      <c r="F86" s="108"/>
      <c r="G86" s="1"/>
      <c r="H86" s="1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102"/>
      <c r="AJ86" s="1"/>
      <c r="AK86" s="1"/>
      <c r="AL86" s="1"/>
      <c r="AM86" s="1"/>
    </row>
    <row r="87" spans="1:39">
      <c r="A87" s="102"/>
      <c r="B87" s="1"/>
      <c r="C87" s="71" t="s">
        <v>36</v>
      </c>
      <c r="D87" s="106">
        <f t="shared" ref="D87:D98" si="37">1+((MAX($D$57:$D$69)-D58)/(MAX($D$57:$D$69)-MIN($D$57:$D$69)))*99</f>
        <v>78.791407039516542</v>
      </c>
      <c r="E87" s="107"/>
      <c r="F87" s="108"/>
      <c r="G87" s="1"/>
      <c r="H87" s="1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102"/>
      <c r="AJ87" s="1"/>
      <c r="AK87" s="1"/>
      <c r="AL87" s="1"/>
      <c r="AM87" s="1"/>
    </row>
    <row r="88" spans="1:39">
      <c r="A88" s="102"/>
      <c r="B88" s="1"/>
      <c r="C88" s="71" t="s">
        <v>89</v>
      </c>
      <c r="D88" s="106">
        <f t="shared" si="37"/>
        <v>35.835187057633973</v>
      </c>
      <c r="E88" s="107"/>
      <c r="F88" s="108"/>
      <c r="G88" s="1"/>
      <c r="H88" s="1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2"/>
      <c r="AJ88" s="1"/>
      <c r="AK88" s="1"/>
      <c r="AL88" s="1"/>
      <c r="AM88" s="1"/>
    </row>
    <row r="89" spans="1:39">
      <c r="A89" s="102"/>
      <c r="B89" s="1"/>
      <c r="C89" s="71" t="s">
        <v>88</v>
      </c>
      <c r="D89" s="106">
        <f t="shared" si="37"/>
        <v>56.95652173913043</v>
      </c>
      <c r="E89" s="107"/>
      <c r="F89" s="108"/>
      <c r="G89" s="1"/>
      <c r="H89" s="1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2"/>
      <c r="AJ89" s="1"/>
      <c r="AK89" s="1"/>
      <c r="AL89" s="1"/>
      <c r="AM89" s="1"/>
    </row>
    <row r="90" spans="1:39">
      <c r="A90" s="102"/>
      <c r="B90" s="1"/>
      <c r="C90" s="71" t="s">
        <v>90</v>
      </c>
      <c r="D90" s="106">
        <f t="shared" si="37"/>
        <v>91.25686855409505</v>
      </c>
      <c r="E90" s="107"/>
      <c r="F90" s="10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102"/>
      <c r="AJ90" s="1"/>
      <c r="AK90" s="1"/>
      <c r="AL90" s="1"/>
      <c r="AM90" s="1"/>
    </row>
    <row r="91" spans="1:39">
      <c r="A91" s="102"/>
      <c r="B91" s="1"/>
      <c r="C91" s="71" t="s">
        <v>48</v>
      </c>
      <c r="D91" s="106">
        <f t="shared" si="37"/>
        <v>96.596562184024265</v>
      </c>
      <c r="E91" s="107"/>
      <c r="F91" s="10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102"/>
      <c r="AJ91" s="1"/>
      <c r="AK91" s="1"/>
      <c r="AL91" s="1"/>
      <c r="AM91" s="1"/>
    </row>
    <row r="92" spans="1:39">
      <c r="A92" s="102"/>
      <c r="B92" s="1"/>
      <c r="C92" s="71" t="s">
        <v>51</v>
      </c>
      <c r="D92" s="106">
        <f t="shared" si="37"/>
        <v>98.898887765419616</v>
      </c>
      <c r="E92" s="107"/>
      <c r="F92" s="10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102"/>
      <c r="AJ92" s="1"/>
      <c r="AK92" s="1"/>
      <c r="AL92" s="1"/>
      <c r="AM92" s="1"/>
    </row>
    <row r="93" spans="1:39">
      <c r="C93" s="71" t="s">
        <v>56</v>
      </c>
      <c r="D93" s="106">
        <f t="shared" si="37"/>
        <v>100</v>
      </c>
      <c r="E93" s="107"/>
      <c r="F93" s="10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102"/>
      <c r="AJ93" s="1"/>
      <c r="AK93" s="1"/>
      <c r="AL93" s="1"/>
      <c r="AM93" s="1"/>
    </row>
    <row r="94" spans="1:39">
      <c r="C94" s="71" t="s">
        <v>59</v>
      </c>
      <c r="D94" s="106">
        <f t="shared" si="37"/>
        <v>100</v>
      </c>
      <c r="E94" s="107"/>
      <c r="F94" s="10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102"/>
      <c r="AJ94" s="1"/>
      <c r="AK94" s="1"/>
      <c r="AL94" s="1"/>
      <c r="AM94" s="1"/>
    </row>
    <row r="95" spans="1:39">
      <c r="C95" s="71" t="s">
        <v>5</v>
      </c>
      <c r="D95" s="106">
        <f t="shared" si="37"/>
        <v>94.594539939332662</v>
      </c>
      <c r="E95" s="107"/>
      <c r="F95" s="108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"/>
      <c r="AK95" s="1"/>
      <c r="AL95" s="1"/>
      <c r="AM95" s="1"/>
    </row>
    <row r="96" spans="1:39">
      <c r="C96" s="71" t="s">
        <v>6</v>
      </c>
      <c r="D96" s="106">
        <f t="shared" si="37"/>
        <v>96.396359959555099</v>
      </c>
      <c r="E96" s="107"/>
      <c r="F96" s="108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spans="3:39">
      <c r="C97" s="71" t="s">
        <v>7</v>
      </c>
      <c r="D97" s="106">
        <f t="shared" si="37"/>
        <v>71.971688574317497</v>
      </c>
      <c r="E97" s="107"/>
      <c r="F97" s="108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spans="3:39">
      <c r="C98" s="71" t="s">
        <v>72</v>
      </c>
      <c r="D98" s="106">
        <f t="shared" si="37"/>
        <v>99.699696663296265</v>
      </c>
      <c r="E98" s="107"/>
      <c r="F98" s="108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spans="3:39"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spans="3:39"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spans="3:39"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spans="3:39"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spans="3:39"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spans="3:39"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spans="3:39"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spans="3:39"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spans="3:39"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spans="3:39"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spans="3:39"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spans="3:39"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spans="3:39"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spans="3:39"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spans="8:39"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spans="8:39"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K114" s="1"/>
      <c r="AL114" s="1"/>
      <c r="AM114" s="1"/>
    </row>
    <row r="115" spans="8:39"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K115" s="1"/>
      <c r="AL115" s="1"/>
      <c r="AM115" s="1"/>
    </row>
    <row r="116" spans="8:39"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K116" s="1"/>
      <c r="AL116" s="1"/>
      <c r="AM116" s="1"/>
    </row>
    <row r="117" spans="8:39"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K117" s="1"/>
      <c r="AL117" s="1"/>
      <c r="AM117" s="1"/>
    </row>
    <row r="118" spans="8:39"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K118" s="1"/>
      <c r="AL118" s="1"/>
      <c r="AM118" s="1"/>
    </row>
    <row r="119" spans="8:39"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K119" s="1"/>
      <c r="AL119" s="1"/>
      <c r="AM119" s="1"/>
    </row>
    <row r="120" spans="8:39"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K120" s="1"/>
      <c r="AL120" s="1"/>
      <c r="AM120" s="1"/>
    </row>
    <row r="121" spans="8:39"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K121" s="1"/>
      <c r="AL121" s="1"/>
      <c r="AM121" s="1"/>
    </row>
    <row r="122" spans="8:39"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K122" s="1"/>
      <c r="AL122" s="1"/>
      <c r="AM122" s="1"/>
    </row>
    <row r="123" spans="8:39"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K123" s="1"/>
      <c r="AL123" s="1"/>
      <c r="AM123" s="1"/>
    </row>
    <row r="124" spans="8:39"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K124" s="1"/>
      <c r="AL124" s="1"/>
      <c r="AM124" s="1"/>
    </row>
    <row r="125" spans="8:39"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K125" s="1"/>
      <c r="AL125" s="1"/>
      <c r="AM125" s="1"/>
    </row>
    <row r="126" spans="8:39"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K126" s="1"/>
      <c r="AL126" s="1"/>
      <c r="AM126" s="1"/>
    </row>
    <row r="127" spans="8:39"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K127" s="1"/>
      <c r="AL127" s="1"/>
      <c r="AM127" s="1"/>
    </row>
    <row r="128" spans="8:39"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spans="1:39"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spans="1:39"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spans="1:39"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spans="1:39">
      <c r="AJ132" s="1"/>
      <c r="AK132" s="1"/>
      <c r="AL132" s="1"/>
      <c r="AM132" s="1"/>
    </row>
    <row r="133" spans="1:39">
      <c r="AJ133" s="1"/>
      <c r="AK133" s="1"/>
      <c r="AL133" s="1"/>
      <c r="AM133" s="1"/>
    </row>
    <row r="134" spans="1:39">
      <c r="AJ134" s="1"/>
      <c r="AK134" s="1"/>
      <c r="AL134" s="1"/>
      <c r="AM134" s="1"/>
    </row>
    <row r="135" spans="1:39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</sheetData>
  <mergeCells count="1">
    <mergeCell ref="B3:E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5ED6-6863-4136-921A-825DD36544AE}">
  <dimension ref="A1:CD473"/>
  <sheetViews>
    <sheetView topLeftCell="A132" zoomScale="70" zoomScaleNormal="70" workbookViewId="0">
      <selection activeCell="C112" sqref="C112"/>
    </sheetView>
  </sheetViews>
  <sheetFormatPr defaultRowHeight="14.5"/>
  <cols>
    <col min="2" max="2" width="24" customWidth="1"/>
    <col min="3" max="3" width="12" bestFit="1" customWidth="1"/>
    <col min="4" max="8" width="9" bestFit="1" customWidth="1"/>
    <col min="9" max="9" width="9.81640625" bestFit="1" customWidth="1"/>
    <col min="10" max="12" width="9" bestFit="1" customWidth="1"/>
    <col min="13" max="34" width="9.1796875" bestFit="1" customWidth="1"/>
    <col min="37" max="37" width="17.81640625" bestFit="1" customWidth="1"/>
  </cols>
  <sheetData>
    <row r="1" spans="1:82" ht="15" thickBo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</row>
    <row r="2" spans="1:82" ht="15" thickBot="1">
      <c r="A2" s="1"/>
      <c r="B2" s="123" t="s">
        <v>179</v>
      </c>
      <c r="C2" s="124"/>
      <c r="D2" s="124"/>
      <c r="E2" s="124"/>
      <c r="F2" s="124"/>
      <c r="G2" s="124"/>
      <c r="H2" s="124"/>
      <c r="I2" s="124"/>
      <c r="J2" s="125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</row>
    <row r="3" spans="1:82" ht="15" thickBot="1">
      <c r="A3" s="1"/>
      <c r="B3" s="119" t="s">
        <v>125</v>
      </c>
      <c r="C3" s="120"/>
      <c r="D3" s="120"/>
      <c r="E3" s="121"/>
      <c r="F3" s="1"/>
      <c r="G3" s="59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</row>
    <row r="4" spans="1:82">
      <c r="A4" s="1"/>
      <c r="B4" s="122" t="s">
        <v>77</v>
      </c>
      <c r="C4" s="122">
        <v>2019</v>
      </c>
      <c r="D4" s="122">
        <v>2020</v>
      </c>
      <c r="E4" s="122">
        <v>2021</v>
      </c>
      <c r="F4" s="118">
        <v>2022</v>
      </c>
      <c r="G4" s="118">
        <v>2023</v>
      </c>
      <c r="H4" s="118">
        <v>2024</v>
      </c>
      <c r="I4" s="118">
        <v>2025</v>
      </c>
      <c r="J4" s="118">
        <v>2026</v>
      </c>
      <c r="K4" s="118">
        <v>2027</v>
      </c>
      <c r="L4" s="118">
        <v>2028</v>
      </c>
      <c r="M4" s="118">
        <v>2029</v>
      </c>
      <c r="N4" s="118">
        <v>2030</v>
      </c>
      <c r="O4" s="118">
        <v>2031</v>
      </c>
      <c r="P4" s="118">
        <v>2032</v>
      </c>
      <c r="Q4" s="118">
        <v>2033</v>
      </c>
      <c r="R4" s="118">
        <v>2034</v>
      </c>
      <c r="S4" s="118">
        <v>2035</v>
      </c>
      <c r="T4" s="118">
        <v>2036</v>
      </c>
      <c r="U4" s="118">
        <v>2037</v>
      </c>
      <c r="V4" s="118">
        <v>2038</v>
      </c>
      <c r="W4" s="118">
        <v>2039</v>
      </c>
      <c r="X4" s="118">
        <v>2040</v>
      </c>
      <c r="Y4" s="118">
        <v>2041</v>
      </c>
      <c r="Z4" s="118">
        <v>2042</v>
      </c>
      <c r="AA4" s="118">
        <v>2043</v>
      </c>
      <c r="AB4" s="118">
        <v>2044</v>
      </c>
      <c r="AC4" s="118">
        <v>2045</v>
      </c>
      <c r="AD4" s="118">
        <v>2046</v>
      </c>
      <c r="AE4" s="118">
        <v>2047</v>
      </c>
      <c r="AF4" s="118">
        <v>2048</v>
      </c>
      <c r="AG4" s="118">
        <v>2049</v>
      </c>
      <c r="AH4" s="118">
        <v>2050</v>
      </c>
      <c r="AI4" s="1"/>
      <c r="AJ4" s="1"/>
      <c r="AK4" s="63" t="s">
        <v>110</v>
      </c>
      <c r="AL4" s="64" t="s">
        <v>109</v>
      </c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</row>
    <row r="5" spans="1:82">
      <c r="A5" s="1"/>
      <c r="B5" s="118" t="s">
        <v>81</v>
      </c>
      <c r="C5" s="100">
        <f>$AL$5*'LCOE &amp; CO2 Scaled'!C34+$AL$6*'Capital Employed Scaled'!C34+'Scenario 1'!$AL$7*'LCOE &amp; CO2 Scaled'!D86</f>
        <v>75.212986407667344</v>
      </c>
      <c r="D5" s="100">
        <f>$AL$5*'LCOE &amp; CO2 Scaled'!D34+'Scenario 1'!$AL$6*'Capital Employed Scaled'!D34+'Scenario 1'!$AL$7*'LCOE &amp; CO2 Scaled'!E86</f>
        <v>75.009768065791746</v>
      </c>
      <c r="E5" s="100">
        <f>$AL$5*'LCOE &amp; CO2 Scaled'!E34+'Scenario 1'!$AL$6*'Capital Employed Scaled'!E34+'Scenario 1'!$AL$7*'LCOE &amp; CO2 Scaled'!$D$86</f>
        <v>74.689646687230606</v>
      </c>
      <c r="F5" s="100">
        <f>$AL$5*'LCOE &amp; CO2 Scaled'!F34+'Scenario 1'!$AL$6*'Capital Employed Scaled'!F34+'Scenario 1'!$AL$7*'LCOE &amp; CO2 Scaled'!$D$86</f>
        <v>74.376590526330503</v>
      </c>
      <c r="G5" s="100">
        <f>$AL$5*'LCOE &amp; CO2 Scaled'!G34+'Scenario 1'!$AL$6*'Capital Employed Scaled'!G34+'Scenario 1'!$AL$7*'LCOE &amp; CO2 Scaled'!$D$86</f>
        <v>74.070433628391811</v>
      </c>
      <c r="H5" s="100">
        <f>$AL$5*'LCOE &amp; CO2 Scaled'!H34+'Scenario 1'!$AL$6*'Capital Employed Scaled'!H34+'Scenario 1'!$AL$7*'LCOE &amp; CO2 Scaled'!$D$86</f>
        <v>73.771015801742351</v>
      </c>
      <c r="I5" s="100">
        <f>$AL$5*'LCOE &amp; CO2 Scaled'!I34+'Scenario 1'!$AL$6*'Capital Employed Scaled'!I34+'Scenario 1'!$AL$7*'LCOE &amp; CO2 Scaled'!$D$86</f>
        <v>73.478182379527681</v>
      </c>
      <c r="J5" s="100">
        <f>$AL$5*'LCOE &amp; CO2 Scaled'!J34+'Scenario 1'!$AL$6*'Capital Employed Scaled'!J34+'Scenario 1'!$AL$7*'LCOE &amp; CO2 Scaled'!$D$86</f>
        <v>73.191783993390828</v>
      </c>
      <c r="K5" s="100">
        <f>$AL$5*'LCOE &amp; CO2 Scaled'!K34+'Scenario 1'!$AL$6*'Capital Employed Scaled'!K34+'Scenario 1'!$AL$7*'LCOE &amp; CO2 Scaled'!$D$86</f>
        <v>72.911676358358363</v>
      </c>
      <c r="L5" s="100">
        <f>$AL$5*'LCOE &amp; CO2 Scaled'!L34+'Scenario 1'!$AL$6*'Capital Employed Scaled'!L34+'Scenario 1'!$AL$7*'LCOE &amp; CO2 Scaled'!$D$86</f>
        <v>72.637720068294527</v>
      </c>
      <c r="M5" s="100">
        <f>$AL$5*'LCOE &amp; CO2 Scaled'!M34+'Scenario 1'!$AL$6*'Capital Employed Scaled'!M34+'Scenario 1'!$AL$7*'LCOE &amp; CO2 Scaled'!$D$86</f>
        <v>72.369780401326153</v>
      </c>
      <c r="N5" s="100">
        <f>$AL$5*'LCOE &amp; CO2 Scaled'!N34+'Scenario 1'!$AL$6*'Capital Employed Scaled'!N34+'Scenario 1'!$AL$7*'LCOE &amp; CO2 Scaled'!$D$86</f>
        <v>76.007440104916213</v>
      </c>
      <c r="O5" s="100">
        <f>$AL$5*'LCOE &amp; CO2 Scaled'!O34+'Scenario 1'!$AL$6*'Capital Employed Scaled'!O34+'Scenario 1'!$AL$7*'LCOE &amp; CO2 Scaled'!$D$86</f>
        <v>75.904924445950357</v>
      </c>
      <c r="P5" s="100">
        <f>$AL$5*'LCOE &amp; CO2 Scaled'!P34+'Scenario 1'!$AL$6*'Capital Employed Scaled'!P34+'Scenario 1'!$AL$7*'LCOE &amp; CO2 Scaled'!$D$86</f>
        <v>75.80215669269883</v>
      </c>
      <c r="Q5" s="100">
        <f>$AL$5*'LCOE &amp; CO2 Scaled'!Q34+'Scenario 1'!$AL$6*'Capital Employed Scaled'!Q34+'Scenario 1'!$AL$7*'LCOE &amp; CO2 Scaled'!$D$86</f>
        <v>75.699135305825365</v>
      </c>
      <c r="R5" s="100">
        <f>$AL$5*'LCOE &amp; CO2 Scaled'!R34+'Scenario 1'!$AL$6*'Capital Employed Scaled'!R34+'Scenario 1'!$AL$7*'LCOE &amp; CO2 Scaled'!$D$86</f>
        <v>75.595858734085027</v>
      </c>
      <c r="S5" s="100">
        <f>$AL$5*'LCOE &amp; CO2 Scaled'!S34+'Scenario 1'!$AL$6*'Capital Employed Scaled'!S34+'Scenario 1'!$AL$7*'LCOE &amp; CO2 Scaled'!$D$86</f>
        <v>75.492325414208253</v>
      </c>
      <c r="T5" s="100">
        <f>$AL$5*'LCOE &amp; CO2 Scaled'!T34+'Scenario 1'!$AL$6*'Capital Employed Scaled'!T34+'Scenario 1'!$AL$7*'LCOE &amp; CO2 Scaled'!$D$86</f>
        <v>75.388533770783681</v>
      </c>
      <c r="U5" s="100">
        <f>$AL$5*'LCOE &amp; CO2 Scaled'!U34+'Scenario 1'!$AL$6*'Capital Employed Scaled'!U34+'Scenario 1'!$AL$7*'LCOE &amp; CO2 Scaled'!$D$86</f>
        <v>75.284482216139452</v>
      </c>
      <c r="V5" s="100">
        <f>$AL$5*'LCOE &amp; CO2 Scaled'!V34+'Scenario 1'!$AL$6*'Capital Employed Scaled'!V34+'Scenario 1'!$AL$7*'LCOE &amp; CO2 Scaled'!$D$86</f>
        <v>75.180169150223122</v>
      </c>
      <c r="W5" s="100">
        <f>$AL$5*'LCOE &amp; CO2 Scaled'!W34+'Scenario 1'!$AL$6*'Capital Employed Scaled'!W34+'Scenario 1'!$AL$7*'LCOE &amp; CO2 Scaled'!$D$86</f>
        <v>75.075592960480364</v>
      </c>
      <c r="X5" s="100">
        <f>$AL$5*'LCOE &amp; CO2 Scaled'!X34+'Scenario 1'!$AL$6*'Capital Employed Scaled'!X34+'Scenario 1'!$AL$7*'LCOE &amp; CO2 Scaled'!$D$86</f>
        <v>74.970752021731926</v>
      </c>
      <c r="Y5" s="100">
        <f>$AL$5*'LCOE &amp; CO2 Scaled'!Y34+'Scenario 1'!$AL$6*'Capital Employed Scaled'!Y34+'Scenario 1'!$AL$7*'LCOE &amp; CO2 Scaled'!$D$86</f>
        <v>74.865644696049429</v>
      </c>
      <c r="Z5" s="100">
        <f>$AL$5*'LCOE &amp; CO2 Scaled'!Z34+'Scenario 1'!$AL$6*'Capital Employed Scaled'!Z34+'Scenario 1'!$AL$7*'LCOE &amp; CO2 Scaled'!$D$86</f>
        <v>74.760269332629562</v>
      </c>
      <c r="AA5" s="100">
        <f>$AL$5*'LCOE &amp; CO2 Scaled'!AA34+'Scenario 1'!$AL$6*'Capital Employed Scaled'!AA34+'Scenario 1'!$AL$7*'LCOE &amp; CO2 Scaled'!$D$86</f>
        <v>74.654624267666662</v>
      </c>
      <c r="AB5" s="100">
        <f>$AL$5*'LCOE &amp; CO2 Scaled'!AB34+'Scenario 1'!$AL$6*'Capital Employed Scaled'!AB34+'Scenario 1'!$AL$7*'LCOE &amp; CO2 Scaled'!$D$86</f>
        <v>74.548707824224081</v>
      </c>
      <c r="AC5" s="100">
        <f>$AL$5*'LCOE &amp; CO2 Scaled'!AC34+'Scenario 1'!$AL$6*'Capital Employed Scaled'!AC34+'Scenario 1'!$AL$7*'LCOE &amp; CO2 Scaled'!$D$86</f>
        <v>74.442518312103715</v>
      </c>
      <c r="AD5" s="100">
        <f>$AL$5*'LCOE &amp; CO2 Scaled'!AD34+'Scenario 1'!$AL$6*'Capital Employed Scaled'!AD34+'Scenario 1'!$AL$7*'LCOE &amp; CO2 Scaled'!$D$86</f>
        <v>74.336054027714226</v>
      </c>
      <c r="AE5" s="100">
        <f>$AL$5*'LCOE &amp; CO2 Scaled'!AE34+'Scenario 1'!$AL$6*'Capital Employed Scaled'!AE34+'Scenario 1'!$AL$7*'LCOE &amp; CO2 Scaled'!$D$86</f>
        <v>74.229313253937477</v>
      </c>
      <c r="AF5" s="100">
        <f>$AL$5*'LCOE &amp; CO2 Scaled'!AF34+'Scenario 1'!$AL$6*'Capital Employed Scaled'!AF34+'Scenario 1'!$AL$7*'LCOE &amp; CO2 Scaled'!$D$86</f>
        <v>74.122294259993495</v>
      </c>
      <c r="AG5" s="100">
        <f>$AL$5*'LCOE &amp; CO2 Scaled'!AG34+'Scenario 1'!$AL$6*'Capital Employed Scaled'!AG34+'Scenario 1'!$AL$7*'LCOE &amp; CO2 Scaled'!$D$86</f>
        <v>74.014995301303827</v>
      </c>
      <c r="AH5" s="100">
        <f>$AL$5*'LCOE &amp; CO2 Scaled'!AH34+'Scenario 1'!$AL$6*'Capital Employed Scaled'!AH34+'Scenario 1'!$AL$7*'LCOE &amp; CO2 Scaled'!$D$86</f>
        <v>73.907414619353133</v>
      </c>
      <c r="AI5" s="118" t="s">
        <v>81</v>
      </c>
      <c r="AJ5" s="1"/>
      <c r="AK5" s="64" t="s">
        <v>111</v>
      </c>
      <c r="AL5" s="17">
        <v>0.5</v>
      </c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</row>
    <row r="6" spans="1:82">
      <c r="A6" s="1"/>
      <c r="B6" s="118" t="s">
        <v>36</v>
      </c>
      <c r="C6" s="100">
        <f>$AL$5*'LCOE &amp; CO2 Scaled'!C35+$AL$6*'Capital Employed Scaled'!C35+'Scenario 1'!$AL$7*'LCOE &amp; CO2 Scaled'!D87</f>
        <v>65.083458428113374</v>
      </c>
      <c r="D6" s="100">
        <f>$AL$5*'LCOE &amp; CO2 Scaled'!D35+'Scenario 1'!$AL$6*'Capital Employed Scaled'!D35+'Scenario 1'!$AL$7*'LCOE &amp; CO2 Scaled'!$D$87</f>
        <v>64.924220342066434</v>
      </c>
      <c r="E6" s="100">
        <f>$AL$5*'LCOE &amp; CO2 Scaled'!E35+'Scenario 1'!$AL$6*'Capital Employed Scaled'!E35+'Scenario 1'!$AL$7*'LCOE &amp; CO2 Scaled'!$D$87</f>
        <v>64.645995326934965</v>
      </c>
      <c r="F6" s="100">
        <f>$AL$5*'LCOE &amp; CO2 Scaled'!F35+'Scenario 1'!$AL$6*'Capital Employed Scaled'!F35+'Scenario 1'!$AL$7*'LCOE &amp; CO2 Scaled'!$D$87</f>
        <v>64.37390397754497</v>
      </c>
      <c r="G6" s="100">
        <f>$AL$5*'LCOE &amp; CO2 Scaled'!G35+'Scenario 1'!$AL$6*'Capital Employed Scaled'!G35+'Scenario 1'!$AL$7*'LCOE &amp; CO2 Scaled'!$D$87</f>
        <v>64.10780217246419</v>
      </c>
      <c r="H6" s="100">
        <f>$AL$5*'LCOE &amp; CO2 Scaled'!H35+'Scenario 1'!$AL$6*'Capital Employed Scaled'!H35+'Scenario 1'!$AL$7*'LCOE &amp; CO2 Scaled'!$D$87</f>
        <v>63.847550794470649</v>
      </c>
      <c r="I6" s="100">
        <f>$AL$5*'LCOE &amp; CO2 Scaled'!I35+'Scenario 1'!$AL$6*'Capital Employed Scaled'!I35+'Scenario 1'!$AL$7*'LCOE &amp; CO2 Scaled'!$D$87</f>
        <v>63.593015523698909</v>
      </c>
      <c r="J6" s="100">
        <f>$AL$5*'LCOE &amp; CO2 Scaled'!J35+'Scenario 1'!$AL$6*'Capital Employed Scaled'!J35+'Scenario 1'!$AL$7*'LCOE &amp; CO2 Scaled'!$D$87</f>
        <v>63.344066641110558</v>
      </c>
      <c r="K6" s="100">
        <f>$AL$5*'LCOE &amp; CO2 Scaled'!K35+'Scenario 1'!$AL$6*'Capital Employed Scaled'!K35+'Scenario 1'!$AL$7*'LCOE &amp; CO2 Scaled'!$D$87</f>
        <v>63.100578841695693</v>
      </c>
      <c r="L6" s="100">
        <f>$AL$5*'LCOE &amp; CO2 Scaled'!L35+'Scenario 1'!$AL$6*'Capital Employed Scaled'!L35+'Scenario 1'!$AL$7*'LCOE &amp; CO2 Scaled'!$D$87</f>
        <v>62.862431056851371</v>
      </c>
      <c r="M6" s="100">
        <f>$AL$5*'LCOE &amp; CO2 Scaled'!M35+'Scenario 1'!$AL$6*'Capital Employed Scaled'!M35+'Scenario 1'!$AL$7*'LCOE &amp; CO2 Scaled'!$D$87</f>
        <v>62.629506285418017</v>
      </c>
      <c r="N6" s="100">
        <f>$AL$5*'LCOE &amp; CO2 Scaled'!N35+'Scenario 1'!$AL$6*'Capital Employed Scaled'!N35+'Scenario 1'!$AL$7*'LCOE &amp; CO2 Scaled'!$D$87</f>
        <v>66.43398491678326</v>
      </c>
      <c r="O6" s="100">
        <f>$AL$5*'LCOE &amp; CO2 Scaled'!O35+'Scenario 1'!$AL$6*'Capital Employed Scaled'!O35+'Scenario 1'!$AL$7*'LCOE &amp; CO2 Scaled'!$D$87</f>
        <v>66.311426303040633</v>
      </c>
      <c r="P6" s="100">
        <f>$AL$5*'LCOE &amp; CO2 Scaled'!P35+'Scenario 1'!$AL$6*'Capital Employed Scaled'!P35+'Scenario 1'!$AL$7*'LCOE &amp; CO2 Scaled'!$D$87</f>
        <v>66.188631764826141</v>
      </c>
      <c r="Q6" s="100">
        <f>$AL$5*'LCOE &amp; CO2 Scaled'!Q35+'Scenario 1'!$AL$6*'Capital Employed Scaled'!Q35+'Scenario 1'!$AL$7*'LCOE &amp; CO2 Scaled'!$D$87</f>
        <v>66.065599809255815</v>
      </c>
      <c r="R6" s="100">
        <f>$AL$5*'LCOE &amp; CO2 Scaled'!R35+'Scenario 1'!$AL$6*'Capital Employed Scaled'!R35+'Scenario 1'!$AL$7*'LCOE &amp; CO2 Scaled'!$D$87</f>
        <v>65.942328931930021</v>
      </c>
      <c r="S6" s="100">
        <f>$AL$5*'LCOE &amp; CO2 Scaled'!S35+'Scenario 1'!$AL$6*'Capital Employed Scaled'!S35+'Scenario 1'!$AL$7*'LCOE &amp; CO2 Scaled'!$D$87</f>
        <v>65.818817616821377</v>
      </c>
      <c r="T6" s="100">
        <f>$AL$5*'LCOE &amp; CO2 Scaled'!T35+'Scenario 1'!$AL$6*'Capital Employed Scaled'!T35+'Scenario 1'!$AL$7*'LCOE &amp; CO2 Scaled'!$D$87</f>
        <v>65.695064336161437</v>
      </c>
      <c r="U6" s="100">
        <f>$AL$5*'LCOE &amp; CO2 Scaled'!U35+'Scenario 1'!$AL$6*'Capital Employed Scaled'!U35+'Scenario 1'!$AL$7*'LCOE &amp; CO2 Scaled'!$D$87</f>
        <v>65.571067550325708</v>
      </c>
      <c r="V6" s="100">
        <f>$AL$5*'LCOE &amp; CO2 Scaled'!V35+'Scenario 1'!$AL$6*'Capital Employed Scaled'!V35+'Scenario 1'!$AL$7*'LCOE &amp; CO2 Scaled'!$D$87</f>
        <v>65.446825707717835</v>
      </c>
      <c r="W6" s="100">
        <f>$AL$5*'LCOE &amp; CO2 Scaled'!W35+'Scenario 1'!$AL$6*'Capital Employed Scaled'!W35+'Scenario 1'!$AL$7*'LCOE &amp; CO2 Scaled'!$D$87</f>
        <v>65.322337244651891</v>
      </c>
      <c r="X6" s="100">
        <f>$AL$5*'LCOE &amp; CO2 Scaled'!X35+'Scenario 1'!$AL$6*'Capital Employed Scaled'!X35+'Scenario 1'!$AL$7*'LCOE &amp; CO2 Scaled'!$D$87</f>
        <v>65.197600585233687</v>
      </c>
      <c r="Y6" s="100">
        <f>$AL$5*'LCOE &amp; CO2 Scaled'!Y35+'Scenario 1'!$AL$6*'Capital Employed Scaled'!Y35+'Scenario 1'!$AL$7*'LCOE &amp; CO2 Scaled'!$D$87</f>
        <v>65.072614141240408</v>
      </c>
      <c r="Z6" s="100">
        <f>$AL$5*'LCOE &amp; CO2 Scaled'!Z35+'Scenario 1'!$AL$6*'Capital Employed Scaled'!Z35+'Scenario 1'!$AL$7*'LCOE &amp; CO2 Scaled'!$D$87</f>
        <v>64.947376311999065</v>
      </c>
      <c r="AA6" s="100">
        <f>$AL$5*'LCOE &amp; CO2 Scaled'!AA35+'Scenario 1'!$AL$6*'Capital Employed Scaled'!AA35+'Scenario 1'!$AL$7*'LCOE &amp; CO2 Scaled'!$D$87</f>
        <v>64.821885484263234</v>
      </c>
      <c r="AB6" s="100">
        <f>$AL$5*'LCOE &amp; CO2 Scaled'!AB35+'Scenario 1'!$AL$6*'Capital Employed Scaled'!AB35+'Scenario 1'!$AL$7*'LCOE &amp; CO2 Scaled'!$D$87</f>
        <v>64.696140032088536</v>
      </c>
      <c r="AC6" s="100">
        <f>$AL$5*'LCOE &amp; CO2 Scaled'!AC35+'Scenario 1'!$AL$6*'Capital Employed Scaled'!AC35+'Scenario 1'!$AL$7*'LCOE &amp; CO2 Scaled'!$D$87</f>
        <v>64.570138316706618</v>
      </c>
      <c r="AD6" s="100">
        <f>$AL$5*'LCOE &amp; CO2 Scaled'!AD35+'Scenario 1'!$AL$6*'Capital Employed Scaled'!AD35+'Scenario 1'!$AL$7*'LCOE &amp; CO2 Scaled'!$D$87</f>
        <v>64.443878686397454</v>
      </c>
      <c r="AE6" s="100">
        <f>$AL$5*'LCOE &amp; CO2 Scaled'!AE35+'Scenario 1'!$AL$6*'Capital Employed Scaled'!AE35+'Scenario 1'!$AL$7*'LCOE &amp; CO2 Scaled'!$D$87</f>
        <v>64.317359476360437</v>
      </c>
      <c r="AF6" s="100">
        <f>$AL$5*'LCOE &amp; CO2 Scaled'!AF35+'Scenario 1'!$AL$6*'Capital Employed Scaled'!AF35+'Scenario 1'!$AL$7*'LCOE &amp; CO2 Scaled'!$D$87</f>
        <v>64.190579008583541</v>
      </c>
      <c r="AG6" s="100">
        <f>$AL$5*'LCOE &amp; CO2 Scaled'!AG35+'Scenario 1'!$AL$6*'Capital Employed Scaled'!AG35+'Scenario 1'!$AL$7*'LCOE &amp; CO2 Scaled'!$D$87</f>
        <v>64.063535591711229</v>
      </c>
      <c r="AH6" s="100">
        <f>$AL$5*'LCOE &amp; CO2 Scaled'!AH35+'Scenario 1'!$AL$6*'Capital Employed Scaled'!AH35+'Scenario 1'!$AL$7*'LCOE &amp; CO2 Scaled'!$D$87</f>
        <v>63.936227520910613</v>
      </c>
      <c r="AI6" s="118" t="s">
        <v>96</v>
      </c>
      <c r="AJ6" s="1"/>
      <c r="AK6" s="64" t="s">
        <v>112</v>
      </c>
      <c r="AL6" s="17">
        <v>0.5</v>
      </c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</row>
    <row r="7" spans="1:82">
      <c r="A7" s="1"/>
      <c r="B7" s="118" t="s">
        <v>89</v>
      </c>
      <c r="C7" s="100">
        <v>0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100">
        <v>0</v>
      </c>
      <c r="T7" s="100">
        <v>0</v>
      </c>
      <c r="U7" s="100">
        <v>0</v>
      </c>
      <c r="V7" s="100">
        <v>0</v>
      </c>
      <c r="W7" s="100">
        <v>0</v>
      </c>
      <c r="X7" s="100">
        <v>0</v>
      </c>
      <c r="Y7" s="100">
        <v>0</v>
      </c>
      <c r="Z7" s="100">
        <v>0</v>
      </c>
      <c r="AA7" s="100">
        <v>0</v>
      </c>
      <c r="AB7" s="100">
        <v>0</v>
      </c>
      <c r="AC7" s="100">
        <v>0</v>
      </c>
      <c r="AD7" s="100">
        <v>0</v>
      </c>
      <c r="AE7" s="100">
        <v>0</v>
      </c>
      <c r="AF7" s="100">
        <v>0</v>
      </c>
      <c r="AG7" s="100">
        <v>0</v>
      </c>
      <c r="AH7" s="100">
        <v>0</v>
      </c>
      <c r="AI7" s="118" t="s">
        <v>89</v>
      </c>
      <c r="AJ7" s="1"/>
      <c r="AK7" s="64" t="s">
        <v>113</v>
      </c>
      <c r="AL7" s="17">
        <v>0</v>
      </c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</row>
    <row r="8" spans="1:82">
      <c r="A8" s="1"/>
      <c r="B8" s="118" t="s">
        <v>88</v>
      </c>
      <c r="C8" s="100">
        <v>0.01</v>
      </c>
      <c r="D8" s="100">
        <v>0.01</v>
      </c>
      <c r="E8" s="100">
        <v>0.01</v>
      </c>
      <c r="F8" s="100">
        <v>0.01</v>
      </c>
      <c r="G8" s="100">
        <v>0.01</v>
      </c>
      <c r="H8" s="100">
        <v>0.01</v>
      </c>
      <c r="I8" s="100">
        <v>0.01</v>
      </c>
      <c r="J8" s="100">
        <v>0.01</v>
      </c>
      <c r="K8" s="100">
        <v>0.01</v>
      </c>
      <c r="L8" s="100">
        <v>0.01</v>
      </c>
      <c r="M8" s="100">
        <v>0.01</v>
      </c>
      <c r="N8" s="100">
        <v>0.01</v>
      </c>
      <c r="O8" s="100">
        <v>0.01</v>
      </c>
      <c r="P8" s="100">
        <v>0.01</v>
      </c>
      <c r="Q8" s="100">
        <v>0.01</v>
      </c>
      <c r="R8" s="100">
        <v>0.01</v>
      </c>
      <c r="S8" s="100">
        <v>0.01</v>
      </c>
      <c r="T8" s="100">
        <v>0.01</v>
      </c>
      <c r="U8" s="100">
        <v>0.01</v>
      </c>
      <c r="V8" s="100">
        <v>0.01</v>
      </c>
      <c r="W8" s="100">
        <v>0.01</v>
      </c>
      <c r="X8" s="100">
        <v>0.01</v>
      </c>
      <c r="Y8" s="100">
        <v>0.01</v>
      </c>
      <c r="Z8" s="100">
        <v>0.01</v>
      </c>
      <c r="AA8" s="100">
        <v>0.01</v>
      </c>
      <c r="AB8" s="100">
        <v>0.01</v>
      </c>
      <c r="AC8" s="100">
        <v>0.01</v>
      </c>
      <c r="AD8" s="100">
        <v>0.01</v>
      </c>
      <c r="AE8" s="100">
        <v>0.01</v>
      </c>
      <c r="AF8" s="100">
        <v>0.01</v>
      </c>
      <c r="AG8" s="100">
        <v>0.01</v>
      </c>
      <c r="AH8" s="100">
        <v>0.01</v>
      </c>
      <c r="AI8" s="118" t="s">
        <v>88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</row>
    <row r="9" spans="1:82">
      <c r="A9" s="1"/>
      <c r="B9" s="118" t="s">
        <v>90</v>
      </c>
      <c r="C9" s="100">
        <v>99.114615203577316</v>
      </c>
      <c r="D9" s="100">
        <v>98.691570123425649</v>
      </c>
      <c r="E9" s="100">
        <v>98.140614434778996</v>
      </c>
      <c r="F9" s="100">
        <v>97.599023252642723</v>
      </c>
      <c r="G9" s="100">
        <v>97.066559007683864</v>
      </c>
      <c r="H9" s="100">
        <v>96.542992089179023</v>
      </c>
      <c r="I9" s="100">
        <v>96.028100514366372</v>
      </c>
      <c r="J9" s="100">
        <v>95.521669614143761</v>
      </c>
      <c r="K9" s="100">
        <v>95.023491734177384</v>
      </c>
      <c r="L9" s="100">
        <v>94.533365950547278</v>
      </c>
      <c r="M9" s="100">
        <v>94.051097799110607</v>
      </c>
      <c r="N9" s="100">
        <v>97.708162908499375</v>
      </c>
      <c r="O9" s="100">
        <v>97.703157704007182</v>
      </c>
      <c r="P9" s="100">
        <v>97.698046788558486</v>
      </c>
      <c r="Q9" s="100">
        <v>97.692829591267156</v>
      </c>
      <c r="R9" s="100">
        <v>97.687505536782467</v>
      </c>
      <c r="S9" s="100">
        <v>97.682074045245685</v>
      </c>
      <c r="T9" s="100">
        <v>97.676534532246137</v>
      </c>
      <c r="U9" s="100">
        <v>97.670886408776809</v>
      </c>
      <c r="V9" s="100">
        <v>97.665129081189335</v>
      </c>
      <c r="W9" s="100">
        <v>97.659261951148522</v>
      </c>
      <c r="X9" s="100">
        <v>97.653284415586398</v>
      </c>
      <c r="Y9" s="100">
        <v>97.647195866655522</v>
      </c>
      <c r="Z9" s="100">
        <v>97.640995691681979</v>
      </c>
      <c r="AA9" s="100">
        <v>97.634683273117645</v>
      </c>
      <c r="AB9" s="100">
        <v>97.628257988491953</v>
      </c>
      <c r="AC9" s="100">
        <v>97.62171921036304</v>
      </c>
      <c r="AD9" s="100">
        <v>97.615066306268432</v>
      </c>
      <c r="AE9" s="100">
        <v>97.608298638674995</v>
      </c>
      <c r="AF9" s="100">
        <v>97.601415564928345</v>
      </c>
      <c r="AG9" s="100">
        <v>97.594416437201644</v>
      </c>
      <c r="AH9" s="100">
        <v>97.587300602443804</v>
      </c>
      <c r="AI9" s="118" t="s">
        <v>97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</row>
    <row r="10" spans="1:82">
      <c r="A10" s="1"/>
      <c r="B10" s="118" t="s">
        <v>48</v>
      </c>
      <c r="C10" s="100">
        <f>$AL$5*'LCOE &amp; CO2 Scaled'!C39+$AL$6*'Capital Employed Scaled'!C39+'Scenario 1'!$AL$7*'LCOE &amp; CO2 Scaled'!$D$89</f>
        <v>94.758633248016366</v>
      </c>
      <c r="D10" s="100">
        <f>$AL$5*'LCOE &amp; CO2 Scaled'!D39+'Scenario 1'!$AL$6*'Capital Employed Scaled'!D39+'Scenario 1'!$AL$7*'LCOE &amp; CO2 Scaled'!$D$91</f>
        <v>95.363864613007593</v>
      </c>
      <c r="E10" s="100">
        <f>$AL$5*'LCOE &amp; CO2 Scaled'!E39+'Scenario 1'!$AL$6*'Capital Employed Scaled'!E39+'Scenario 1'!$AL$7*'LCOE &amp; CO2 Scaled'!$D$91</f>
        <v>95.833137826756058</v>
      </c>
      <c r="F10" s="100">
        <f>$AL$5*'LCOE &amp; CO2 Scaled'!F39+'Scenario 1'!$AL$6*'Capital Employed Scaled'!F39+'Scenario 1'!$AL$7*'LCOE &amp; CO2 Scaled'!$D$91</f>
        <v>96.305232479693444</v>
      </c>
      <c r="G10" s="100">
        <f>$AL$5*'LCOE &amp; CO2 Scaled'!G39+'Scenario 1'!$AL$6*'Capital Employed Scaled'!G39+'Scenario 1'!$AL$7*'LCOE &amp; CO2 Scaled'!$D$91</f>
        <v>96.780174093802771</v>
      </c>
      <c r="H10" s="100">
        <f>$AL$5*'LCOE &amp; CO2 Scaled'!H39+'Scenario 1'!$AL$6*'Capital Employed Scaled'!H39+'Scenario 1'!$AL$7*'LCOE &amp; CO2 Scaled'!$D$91</f>
        <v>97.257988499818111</v>
      </c>
      <c r="I10" s="100">
        <f>$AL$5*'LCOE &amp; CO2 Scaled'!I39+'Scenario 1'!$AL$6*'Capital Employed Scaled'!I39+'Scenario 1'!$AL$7*'LCOE &amp; CO2 Scaled'!$D$91</f>
        <v>97.738701841907471</v>
      </c>
      <c r="J10" s="100">
        <f>$AL$5*'LCOE &amp; CO2 Scaled'!J39+'Scenario 1'!$AL$6*'Capital Employed Scaled'!J39+'Scenario 1'!$AL$7*'LCOE &amp; CO2 Scaled'!$D$91</f>
        <v>98.222340582441532</v>
      </c>
      <c r="K10" s="100">
        <f>$AL$5*'LCOE &amp; CO2 Scaled'!K39+'Scenario 1'!$AL$6*'Capital Employed Scaled'!K39+'Scenario 1'!$AL$7*'LCOE &amp; CO2 Scaled'!$D$91</f>
        <v>98.708931506849325</v>
      </c>
      <c r="L10" s="100">
        <f>$AL$5*'LCOE &amp; CO2 Scaled'!L39+'Scenario 1'!$AL$6*'Capital Employed Scaled'!L39+'Scenario 1'!$AL$7*'LCOE &amp; CO2 Scaled'!$D$91</f>
        <v>99.198501728563343</v>
      </c>
      <c r="M10" s="100">
        <f>$AL$5*'LCOE &amp; CO2 Scaled'!M39+'Scenario 1'!$AL$6*'Capital Employed Scaled'!M39+'Scenario 1'!$AL$7*'LCOE &amp; CO2 Scaled'!$D$91</f>
        <v>99.691078694055761</v>
      </c>
      <c r="N10" s="100">
        <f>$AL$5*'LCOE &amp; CO2 Scaled'!N39+'Scenario 1'!$AL$6*'Capital Employed Scaled'!N39+'Scenario 1'!$AL$7*'LCOE &amp; CO2 Scaled'!$D$91</f>
        <v>100</v>
      </c>
      <c r="O10" s="100">
        <f>$AL$5*'LCOE &amp; CO2 Scaled'!O39+'Scenario 1'!$AL$6*'Capital Employed Scaled'!O39+'Scenario 1'!$AL$7*'LCOE &amp; CO2 Scaled'!$D$91</f>
        <v>100</v>
      </c>
      <c r="P10" s="100">
        <f>$AL$5*'LCOE &amp; CO2 Scaled'!P39+'Scenario 1'!$AL$6*'Capital Employed Scaled'!P39+'Scenario 1'!$AL$7*'LCOE &amp; CO2 Scaled'!$D$91</f>
        <v>100</v>
      </c>
      <c r="Q10" s="100">
        <f>$AL$5*'LCOE &amp; CO2 Scaled'!Q39+'Scenario 1'!$AL$6*'Capital Employed Scaled'!Q39+'Scenario 1'!$AL$7*'LCOE &amp; CO2 Scaled'!$D$91</f>
        <v>100</v>
      </c>
      <c r="R10" s="100">
        <f>$AL$5*'LCOE &amp; CO2 Scaled'!R39+'Scenario 1'!$AL$6*'Capital Employed Scaled'!R39+'Scenario 1'!$AL$7*'LCOE &amp; CO2 Scaled'!$D$91</f>
        <v>100</v>
      </c>
      <c r="S10" s="100">
        <f>$AL$5*'LCOE &amp; CO2 Scaled'!S39+'Scenario 1'!$AL$6*'Capital Employed Scaled'!S39+'Scenario 1'!$AL$7*'LCOE &amp; CO2 Scaled'!$D$91</f>
        <v>100</v>
      </c>
      <c r="T10" s="100">
        <f>$AL$5*'LCOE &amp; CO2 Scaled'!T39+'Scenario 1'!$AL$6*'Capital Employed Scaled'!T39+'Scenario 1'!$AL$7*'LCOE &amp; CO2 Scaled'!$D$91</f>
        <v>100</v>
      </c>
      <c r="U10" s="100">
        <f>$AL$5*'LCOE &amp; CO2 Scaled'!U39+'Scenario 1'!$AL$6*'Capital Employed Scaled'!U39+'Scenario 1'!$AL$7*'LCOE &amp; CO2 Scaled'!$D$91</f>
        <v>100</v>
      </c>
      <c r="V10" s="100">
        <f>$AL$5*'LCOE &amp; CO2 Scaled'!V39+'Scenario 1'!$AL$6*'Capital Employed Scaled'!V39+'Scenario 1'!$AL$7*'LCOE &amp; CO2 Scaled'!$D$91</f>
        <v>100</v>
      </c>
      <c r="W10" s="100">
        <f>$AL$5*'LCOE &amp; CO2 Scaled'!W39+'Scenario 1'!$AL$6*'Capital Employed Scaled'!W39+'Scenario 1'!$AL$7*'LCOE &amp; CO2 Scaled'!$D$91</f>
        <v>100</v>
      </c>
      <c r="X10" s="100">
        <f>$AL$5*'LCOE &amp; CO2 Scaled'!X39+'Scenario 1'!$AL$6*'Capital Employed Scaled'!X39+'Scenario 1'!$AL$7*'LCOE &amp; CO2 Scaled'!$D$91</f>
        <v>100</v>
      </c>
      <c r="Y10" s="100">
        <f>$AL$5*'LCOE &amp; CO2 Scaled'!Y39+'Scenario 1'!$AL$6*'Capital Employed Scaled'!Y39+'Scenario 1'!$AL$7*'LCOE &amp; CO2 Scaled'!$D$91</f>
        <v>100</v>
      </c>
      <c r="Z10" s="100">
        <f>$AL$5*'LCOE &amp; CO2 Scaled'!Z39+'Scenario 1'!$AL$6*'Capital Employed Scaled'!Z39+'Scenario 1'!$AL$7*'LCOE &amp; CO2 Scaled'!$D$91</f>
        <v>100</v>
      </c>
      <c r="AA10" s="100">
        <f>$AL$5*'LCOE &amp; CO2 Scaled'!AA39+'Scenario 1'!$AL$6*'Capital Employed Scaled'!AA39+'Scenario 1'!$AL$7*'LCOE &amp; CO2 Scaled'!$D$91</f>
        <v>100</v>
      </c>
      <c r="AB10" s="100">
        <f>$AL$5*'LCOE &amp; CO2 Scaled'!AB39+'Scenario 1'!$AL$6*'Capital Employed Scaled'!AB39+'Scenario 1'!$AL$7*'LCOE &amp; CO2 Scaled'!$D$91</f>
        <v>100</v>
      </c>
      <c r="AC10" s="100">
        <f>$AL$5*'LCOE &amp; CO2 Scaled'!AC39+'Scenario 1'!$AL$6*'Capital Employed Scaled'!AC39+'Scenario 1'!$AL$7*'LCOE &amp; CO2 Scaled'!$D$91</f>
        <v>100</v>
      </c>
      <c r="AD10" s="100">
        <f>$AL$5*'LCOE &amp; CO2 Scaled'!AD39+'Scenario 1'!$AL$6*'Capital Employed Scaled'!AD39+'Scenario 1'!$AL$7*'LCOE &amp; CO2 Scaled'!$D$91</f>
        <v>100</v>
      </c>
      <c r="AE10" s="100">
        <f>$AL$5*'LCOE &amp; CO2 Scaled'!AE39+'Scenario 1'!$AL$6*'Capital Employed Scaled'!AE39+'Scenario 1'!$AL$7*'LCOE &amp; CO2 Scaled'!$D$91</f>
        <v>100</v>
      </c>
      <c r="AF10" s="100">
        <f>$AL$5*'LCOE &amp; CO2 Scaled'!AF39+'Scenario 1'!$AL$6*'Capital Employed Scaled'!AF39+'Scenario 1'!$AL$7*'LCOE &amp; CO2 Scaled'!$D$91</f>
        <v>100</v>
      </c>
      <c r="AG10" s="100">
        <f>$AL$5*'LCOE &amp; CO2 Scaled'!AG39+'Scenario 1'!$AL$6*'Capital Employed Scaled'!AG39+'Scenario 1'!$AL$7*'LCOE &amp; CO2 Scaled'!$D$91</f>
        <v>100</v>
      </c>
      <c r="AH10" s="100">
        <f>$AL$5*'LCOE &amp; CO2 Scaled'!AH39+'Scenario 1'!$AL$6*'Capital Employed Scaled'!AH39+'Scenario 1'!$AL$7*'LCOE &amp; CO2 Scaled'!$D$91</f>
        <v>100</v>
      </c>
      <c r="AI10" s="118" t="s">
        <v>98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</row>
    <row r="11" spans="1:82">
      <c r="A11" s="1"/>
      <c r="B11" s="118" t="s">
        <v>51</v>
      </c>
      <c r="C11" s="100">
        <f>$AL$5*'LCOE &amp; CO2 Scaled'!C40+$AL$6*'Capital Employed Scaled'!C40+'Scenario 1'!$AL$7*'LCOE &amp; CO2 Scaled'!$D$89</f>
        <v>45.593177870592392</v>
      </c>
      <c r="D11" s="100">
        <f>$AL$5*'LCOE &amp; CO2 Scaled'!D40+'Scenario 1'!$AL$6*'Capital Employed Scaled'!D40+'Scenario 1'!$AL$7*'LCOE &amp; CO2 Scaled'!$D$92</f>
        <v>46.715538051367751</v>
      </c>
      <c r="E11" s="100">
        <f>$AL$5*'LCOE &amp; CO2 Scaled'!E40+'Scenario 1'!$AL$6*'Capital Employed Scaled'!E40+'Scenario 1'!$AL$7*'LCOE &amp; CO2 Scaled'!$D$92</f>
        <v>47.742001765777033</v>
      </c>
      <c r="F11" s="100">
        <f>$AL$5*'LCOE &amp; CO2 Scaled'!F40+'Scenario 1'!$AL$6*'Capital Employed Scaled'!F40+'Scenario 1'!$AL$7*'LCOE &amp; CO2 Scaled'!$D$92</f>
        <v>48.772984818044151</v>
      </c>
      <c r="G11" s="100">
        <f>$AL$5*'LCOE &amp; CO2 Scaled'!G40+'Scenario 1'!$AL$6*'Capital Employed Scaled'!G40+'Scenario 1'!$AL$7*'LCOE &amp; CO2 Scaled'!$D$92</f>
        <v>49.808570332580658</v>
      </c>
      <c r="H11" s="100">
        <f>$AL$5*'LCOE &amp; CO2 Scaled'!H40+'Scenario 1'!$AL$6*'Capital Employed Scaled'!H40+'Scenario 1'!$AL$7*'LCOE &amp; CO2 Scaled'!$D$92</f>
        <v>50.84884101132937</v>
      </c>
      <c r="I11" s="100">
        <f>$AL$5*'LCOE &amp; CO2 Scaled'!I40+'Scenario 1'!$AL$6*'Capital Employed Scaled'!I40+'Scenario 1'!$AL$7*'LCOE &amp; CO2 Scaled'!$D$92</f>
        <v>51.893879187198017</v>
      </c>
      <c r="J11" s="100">
        <f>$AL$5*'LCOE &amp; CO2 Scaled'!J40+'Scenario 1'!$AL$6*'Capital Employed Scaled'!J40+'Scenario 1'!$AL$7*'LCOE &amp; CO2 Scaled'!$D$92</f>
        <v>52.943766875484151</v>
      </c>
      <c r="K11" s="100">
        <f>$AL$5*'LCOE &amp; CO2 Scaled'!K40+'Scenario 1'!$AL$6*'Capital Employed Scaled'!K40+'Scenario 1'!$AL$7*'LCOE &amp; CO2 Scaled'!$D$92</f>
        <v>53.998585823420711</v>
      </c>
      <c r="L11" s="100">
        <f>$AL$5*'LCOE &amp; CO2 Scaled'!L40+'Scenario 1'!$AL$6*'Capital Employed Scaled'!L40+'Scenario 1'!$AL$7*'LCOE &amp; CO2 Scaled'!$D$92</f>
        <v>55.058417557963324</v>
      </c>
      <c r="M11" s="100">
        <f>$AL$5*'LCOE &amp; CO2 Scaled'!M40+'Scenario 1'!$AL$6*'Capital Employed Scaled'!M40+'Scenario 1'!$AL$7*'LCOE &amp; CO2 Scaled'!$D$92</f>
        <v>56.123343431933023</v>
      </c>
      <c r="N11" s="100">
        <f>$AL$5*'LCOE &amp; CO2 Scaled'!N40+'Scenario 1'!$AL$6*'Capital Employed Scaled'!N40+'Scenario 1'!$AL$7*'LCOE &amp; CO2 Scaled'!$D$92</f>
        <v>60.760207276846238</v>
      </c>
      <c r="O11" s="100">
        <f>$AL$5*'LCOE &amp; CO2 Scaled'!O40+'Scenario 1'!$AL$6*'Capital Employed Scaled'!O40+'Scenario 1'!$AL$7*'LCOE &amp; CO2 Scaled'!$D$92</f>
        <v>61.092184725214167</v>
      </c>
      <c r="P11" s="100">
        <f>$AL$5*'LCOE &amp; CO2 Scaled'!P40+'Scenario 1'!$AL$6*'Capital Employed Scaled'!P40+'Scenario 1'!$AL$7*'LCOE &amp; CO2 Scaled'!$D$92</f>
        <v>61.425082925324674</v>
      </c>
      <c r="Q11" s="100">
        <f>$AL$5*'LCOE &amp; CO2 Scaled'!Q40+'Scenario 1'!$AL$6*'Capital Employed Scaled'!Q40+'Scenario 1'!$AL$7*'LCOE &amp; CO2 Scaled'!$D$92</f>
        <v>61.758907416081954</v>
      </c>
      <c r="R11" s="100">
        <f>$AL$5*'LCOE &amp; CO2 Scaled'!R40+'Scenario 1'!$AL$6*'Capital Employed Scaled'!R40+'Scenario 1'!$AL$7*'LCOE &amp; CO2 Scaled'!$D$92</f>
        <v>62.093663779294218</v>
      </c>
      <c r="S11" s="100">
        <f>$AL$5*'LCOE &amp; CO2 Scaled'!S40+'Scenario 1'!$AL$6*'Capital Employed Scaled'!S40+'Scenario 1'!$AL$7*'LCOE &amp; CO2 Scaled'!$D$92</f>
        <v>62.429357640091304</v>
      </c>
      <c r="T11" s="100">
        <f>$AL$5*'LCOE &amp; CO2 Scaled'!T40+'Scenario 1'!$AL$6*'Capital Employed Scaled'!T40+'Scenario 1'!$AL$7*'LCOE &amp; CO2 Scaled'!$D$92</f>
        <v>62.765994667347115</v>
      </c>
      <c r="U11" s="100">
        <f>$AL$5*'LCOE &amp; CO2 Scaled'!U40+'Scenario 1'!$AL$6*'Capital Employed Scaled'!U40+'Scenario 1'!$AL$7*'LCOE &amp; CO2 Scaled'!$D$92</f>
        <v>63.1035805741069</v>
      </c>
      <c r="V11" s="100">
        <f>$AL$5*'LCOE &amp; CO2 Scaled'!V40+'Scenario 1'!$AL$6*'Capital Employed Scaled'!V40+'Scenario 1'!$AL$7*'LCOE &amp; CO2 Scaled'!$D$92</f>
        <v>63.442121118019742</v>
      </c>
      <c r="W11" s="100">
        <f>$AL$5*'LCOE &amp; CO2 Scaled'!W40+'Scenario 1'!$AL$6*'Capital Employed Scaled'!W40+'Scenario 1'!$AL$7*'LCOE &amp; CO2 Scaled'!$D$92</f>
        <v>63.781622101776009</v>
      </c>
      <c r="X11" s="100">
        <f>$AL$5*'LCOE &amp; CO2 Scaled'!X40+'Scenario 1'!$AL$6*'Capital Employed Scaled'!X40+'Scenario 1'!$AL$7*'LCOE &amp; CO2 Scaled'!$D$92</f>
        <v>64.122089373550011</v>
      </c>
      <c r="Y11" s="100">
        <f>$AL$5*'LCOE &amp; CO2 Scaled'!Y40+'Scenario 1'!$AL$6*'Capital Employed Scaled'!Y40+'Scenario 1'!$AL$7*'LCOE &amp; CO2 Scaled'!$D$92</f>
        <v>64.463528827447803</v>
      </c>
      <c r="Z11" s="100">
        <f>$AL$5*'LCOE &amp; CO2 Scaled'!Z40+'Scenario 1'!$AL$6*'Capital Employed Scaled'!Z40+'Scenario 1'!$AL$7*'LCOE &amp; CO2 Scaled'!$D$92</f>
        <v>64.805946403960519</v>
      </c>
      <c r="AA11" s="100">
        <f>$AL$5*'LCOE &amp; CO2 Scaled'!AA40+'Scenario 1'!$AL$6*'Capital Employed Scaled'!AA40+'Scenario 1'!$AL$7*'LCOE &amp; CO2 Scaled'!$D$92</f>
        <v>65.149348090422706</v>
      </c>
      <c r="AB11" s="100">
        <f>$AL$5*'LCOE &amp; CO2 Scaled'!AB40+'Scenario 1'!$AL$6*'Capital Employed Scaled'!AB40+'Scenario 1'!$AL$7*'LCOE &amp; CO2 Scaled'!$D$92</f>
        <v>65.493739921476475</v>
      </c>
      <c r="AC11" s="100">
        <f>$AL$5*'LCOE &amp; CO2 Scaled'!AC40+'Scenario 1'!$AL$6*'Capital Employed Scaled'!AC40+'Scenario 1'!$AL$7*'LCOE &amp; CO2 Scaled'!$D$92</f>
        <v>65.83912797954099</v>
      </c>
      <c r="AD11" s="100">
        <f>$AL$5*'LCOE &amp; CO2 Scaled'!AD40+'Scenario 1'!$AL$6*'Capital Employed Scaled'!AD40+'Scenario 1'!$AL$7*'LCOE &amp; CO2 Scaled'!$D$92</f>
        <v>66.185518395287545</v>
      </c>
      <c r="AE11" s="100">
        <f>$AL$5*'LCOE &amp; CO2 Scaled'!AE40+'Scenario 1'!$AL$6*'Capital Employed Scaled'!AE40+'Scenario 1'!$AL$7*'LCOE &amp; CO2 Scaled'!$D$92</f>
        <v>66.532917348120435</v>
      </c>
      <c r="AF11" s="100">
        <f>$AL$5*'LCOE &amp; CO2 Scaled'!AF40+'Scenario 1'!$AL$6*'Capital Employed Scaled'!AF40+'Scenario 1'!$AL$7*'LCOE &amp; CO2 Scaled'!$D$92</f>
        <v>66.881331066663449</v>
      </c>
      <c r="AG11" s="100">
        <f>$AL$5*'LCOE &amp; CO2 Scaled'!AG40+'Scenario 1'!$AL$6*'Capital Employed Scaled'!AG40+'Scenario 1'!$AL$7*'LCOE &amp; CO2 Scaled'!$D$92</f>
        <v>67.230765829252306</v>
      </c>
      <c r="AH11" s="100">
        <f>$AL$5*'LCOE &amp; CO2 Scaled'!AH40+'Scenario 1'!$AL$6*'Capital Employed Scaled'!AH40+'Scenario 1'!$AL$7*'LCOE &amp; CO2 Scaled'!$D$92</f>
        <v>67.581227964432983</v>
      </c>
      <c r="AI11" s="118" t="s">
        <v>99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</row>
    <row r="12" spans="1:82">
      <c r="A12" s="1"/>
      <c r="B12" s="118" t="s">
        <v>56</v>
      </c>
      <c r="C12" s="100">
        <f>$AL$5*'LCOE &amp; CO2 Scaled'!C41+$AL$6*'Capital Employed Scaled'!C41+'Scenario 1'!$AL$7*'LCOE &amp; CO2 Scaled'!$D$89</f>
        <v>93.011776437333623</v>
      </c>
      <c r="D12" s="100">
        <f>$AL$5*'LCOE &amp; CO2 Scaled'!D41+'Scenario 1'!$AL$6*'Capital Employed Scaled'!D41+'Scenario 1'!$AL$7*'LCOE &amp; CO2 Scaled'!$D$93</f>
        <v>92.703695621421517</v>
      </c>
      <c r="E12" s="100">
        <f>$AL$5*'LCOE &amp; CO2 Scaled'!E41+'Scenario 1'!$AL$6*'Capital Employed Scaled'!E41+'Scenario 1'!$AL$7*'LCOE &amp; CO2 Scaled'!$D$93</f>
        <v>92.268641586539331</v>
      </c>
      <c r="F12" s="100">
        <f>$AL$5*'LCOE &amp; CO2 Scaled'!F41+'Scenario 1'!$AL$6*'Capital Employed Scaled'!F41+'Scenario 1'!$AL$7*'LCOE &amp; CO2 Scaled'!$D$93</f>
        <v>91.838123870644907</v>
      </c>
      <c r="G12" s="100">
        <f>$AL$5*'LCOE &amp; CO2 Scaled'!G41+'Scenario 1'!$AL$6*'Capital Employed Scaled'!G41+'Scenario 1'!$AL$7*'LCOE &amp; CO2 Scaled'!$D$93</f>
        <v>91.412067406932891</v>
      </c>
      <c r="H12" s="100">
        <f>$AL$5*'LCOE &amp; CO2 Scaled'!H41+'Scenario 1'!$AL$6*'Capital Employed Scaled'!H41+'Scenario 1'!$AL$7*'LCOE &amp; CO2 Scaled'!$D$93</f>
        <v>90.990397061054864</v>
      </c>
      <c r="I12" s="100">
        <f>$AL$5*'LCOE &amp; CO2 Scaled'!I41+'Scenario 1'!$AL$6*'Capital Employed Scaled'!I41+'Scenario 1'!$AL$7*'LCOE &amp; CO2 Scaled'!$D$93</f>
        <v>90.573037770927215</v>
      </c>
      <c r="J12" s="100">
        <f>$AL$5*'LCOE &amp; CO2 Scaled'!J41+'Scenario 1'!$AL$6*'Capital Employed Scaled'!J41+'Scenario 1'!$AL$7*'LCOE &amp; CO2 Scaled'!$D$93</f>
        <v>90.159914670144772</v>
      </c>
      <c r="K12" s="100">
        <f>$AL$5*'LCOE &amp; CO2 Scaled'!K41+'Scenario 1'!$AL$6*'Capital Employed Scaled'!K41+'Scenario 1'!$AL$7*'LCOE &amp; CO2 Scaled'!$D$93</f>
        <v>89.750953196674644</v>
      </c>
      <c r="L12" s="100">
        <f>$AL$5*'LCOE &amp; CO2 Scaled'!L41+'Scenario 1'!$AL$6*'Capital Employed Scaled'!L41+'Scenario 1'!$AL$7*'LCOE &amp; CO2 Scaled'!$D$93</f>
        <v>89.346079188331501</v>
      </c>
      <c r="M12" s="100">
        <f>$AL$5*'LCOE &amp; CO2 Scaled'!M41+'Scenario 1'!$AL$6*'Capital Employed Scaled'!M41+'Scenario 1'!$AL$7*'LCOE &amp; CO2 Scaled'!$D$93</f>
        <v>88.945218966380224</v>
      </c>
      <c r="N12" s="100">
        <f>$AL$5*'LCOE &amp; CO2 Scaled'!N41+'Scenario 1'!$AL$6*'Capital Employed Scaled'!N41+'Scenario 1'!$AL$7*'LCOE &amp; CO2 Scaled'!$D$93</f>
        <v>92.6696172439907</v>
      </c>
      <c r="O12" s="100">
        <f>$AL$5*'LCOE &amp; CO2 Scaled'!O41+'Scenario 1'!$AL$6*'Capital Employed Scaled'!O41+'Scenario 1'!$AL$7*'LCOE &amp; CO2 Scaled'!$D$93</f>
        <v>92.577939005273734</v>
      </c>
      <c r="P12" s="100">
        <f>$AL$5*'LCOE &amp; CO2 Scaled'!P41+'Scenario 1'!$AL$6*'Capital Employed Scaled'!P41+'Scenario 1'!$AL$7*'LCOE &amp; CO2 Scaled'!$D$93</f>
        <v>92.485697998006685</v>
      </c>
      <c r="Q12" s="100">
        <f>$AL$5*'LCOE &amp; CO2 Scaled'!Q41+'Scenario 1'!$AL$6*'Capital Employed Scaled'!Q41+'Scenario 1'!$AL$7*'LCOE &amp; CO2 Scaled'!$D$93</f>
        <v>92.392897240534651</v>
      </c>
      <c r="R12" s="100">
        <f>$AL$5*'LCOE &amp; CO2 Scaled'!R41+'Scenario 1'!$AL$6*'Capital Employed Scaled'!R41+'Scenario 1'!$AL$7*'LCOE &amp; CO2 Scaled'!$D$93</f>
        <v>92.29953962587453</v>
      </c>
      <c r="S12" s="100">
        <f>$AL$5*'LCOE &amp; CO2 Scaled'!S41+'Scenario 1'!$AL$6*'Capital Employed Scaled'!S41+'Scenario 1'!$AL$7*'LCOE &amp; CO2 Scaled'!$D$93</f>
        <v>92.205627924817932</v>
      </c>
      <c r="T12" s="100">
        <f>$AL$5*'LCOE &amp; CO2 Scaled'!T41+'Scenario 1'!$AL$6*'Capital Employed Scaled'!T41+'Scenario 1'!$AL$7*'LCOE &amp; CO2 Scaled'!$D$93</f>
        <v>92.111164788920462</v>
      </c>
      <c r="U12" s="100">
        <f>$AL$5*'LCOE &amp; CO2 Scaled'!U41+'Scenario 1'!$AL$6*'Capital Employed Scaled'!U41+'Scenario 1'!$AL$7*'LCOE &amp; CO2 Scaled'!$D$93</f>
        <v>92.016152753382173</v>
      </c>
      <c r="V12" s="100">
        <f>$AL$5*'LCOE &amp; CO2 Scaled'!V41+'Scenario 1'!$AL$6*'Capital Employed Scaled'!V41+'Scenario 1'!$AL$7*'LCOE &amp; CO2 Scaled'!$D$93</f>
        <v>91.920594239823188</v>
      </c>
      <c r="W12" s="100">
        <f>$AL$5*'LCOE &amp; CO2 Scaled'!W41+'Scenario 1'!$AL$6*'Capital Employed Scaled'!W41+'Scenario 1'!$AL$7*'LCOE &amp; CO2 Scaled'!$D$93</f>
        <v>91.824491558958627</v>
      </c>
      <c r="X12" s="100">
        <f>$AL$5*'LCOE &amp; CO2 Scaled'!X41+'Scenario 1'!$AL$6*'Capital Employed Scaled'!X41+'Scenario 1'!$AL$7*'LCOE &amp; CO2 Scaled'!$D$93</f>
        <v>91.727846913176876</v>
      </c>
      <c r="Y12" s="100">
        <f>$AL$5*'LCOE &amp; CO2 Scaled'!Y41+'Scenario 1'!$AL$6*'Capital Employed Scaled'!Y41+'Scenario 1'!$AL$7*'LCOE &amp; CO2 Scaled'!$D$93</f>
        <v>91.630662399024658</v>
      </c>
      <c r="Z12" s="100">
        <f>$AL$5*'LCOE &amp; CO2 Scaled'!Z41+'Scenario 1'!$AL$6*'Capital Employed Scaled'!Z41+'Scenario 1'!$AL$7*'LCOE &amp; CO2 Scaled'!$D$93</f>
        <v>91.532940009602612</v>
      </c>
      <c r="AA12" s="100">
        <f>$AL$5*'LCOE &amp; CO2 Scaled'!AA41+'Scenario 1'!$AL$6*'Capital Employed Scaled'!AA41+'Scenario 1'!$AL$7*'LCOE &amp; CO2 Scaled'!$D$93</f>
        <v>91.434681636874743</v>
      </c>
      <c r="AB12" s="100">
        <f>$AL$5*'LCOE &amp; CO2 Scaled'!AB41+'Scenario 1'!$AL$6*'Capital Employed Scaled'!AB41+'Scenario 1'!$AL$7*'LCOE &amp; CO2 Scaled'!$D$93</f>
        <v>91.335889073894862</v>
      </c>
      <c r="AC12" s="100">
        <f>$AL$5*'LCOE &amp; CO2 Scaled'!AC41+'Scenario 1'!$AL$6*'Capital Employed Scaled'!AC41+'Scenario 1'!$AL$7*'LCOE &amp; CO2 Scaled'!$D$93</f>
        <v>91.236564016953423</v>
      </c>
      <c r="AD12" s="100">
        <f>$AL$5*'LCOE &amp; CO2 Scaled'!AD41+'Scenario 1'!$AL$6*'Capital Employed Scaled'!AD41+'Scenario 1'!$AL$7*'LCOE &amp; CO2 Scaled'!$D$93</f>
        <v>91.136708067647106</v>
      </c>
      <c r="AE12" s="100">
        <f>$AL$5*'LCOE &amp; CO2 Scaled'!AE41+'Scenario 1'!$AL$6*'Capital Employed Scaled'!AE41+'Scenario 1'!$AL$7*'LCOE &amp; CO2 Scaled'!$D$93</f>
        <v>91.036322734874801</v>
      </c>
      <c r="AF12" s="100">
        <f>$AL$5*'LCOE &amp; CO2 Scaled'!AF41+'Scenario 1'!$AL$6*'Capital Employed Scaled'!AF41+'Scenario 1'!$AL$7*'LCOE &amp; CO2 Scaled'!$D$93</f>
        <v>90.935409436761873</v>
      </c>
      <c r="AG12" s="100">
        <f>$AL$5*'LCOE &amp; CO2 Scaled'!AG41+'Scenario 1'!$AL$6*'Capital Employed Scaled'!AG41+'Scenario 1'!$AL$7*'LCOE &amp; CO2 Scaled'!$D$93</f>
        <v>90.833969502515799</v>
      </c>
      <c r="AH12" s="100">
        <f>$AL$5*'LCOE &amp; CO2 Scaled'!AH41+'Scenario 1'!$AL$6*'Capital Employed Scaled'!AH41+'Scenario 1'!$AL$7*'LCOE &amp; CO2 Scaled'!$D$93</f>
        <v>90.732004174215575</v>
      </c>
      <c r="AI12" s="118" t="s">
        <v>100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</row>
    <row r="13" spans="1:82">
      <c r="A13" s="1"/>
      <c r="B13" s="118" t="s">
        <v>59</v>
      </c>
      <c r="C13" s="100">
        <f>$AL$5*'LCOE &amp; CO2 Scaled'!C42+$AL$6*'Capital Employed Scaled'!C42+'Scenario 1'!$AL$7*'LCOE &amp; CO2 Scaled'!$D$89</f>
        <v>53.813554376645016</v>
      </c>
      <c r="D13" s="100">
        <f>$AL$5*'LCOE &amp; CO2 Scaled'!D42+'Scenario 1'!$AL$6*'Capital Employed Scaled'!D42+'Scenario 1'!$AL$7*'LCOE &amp; CO2 Scaled'!$D$94</f>
        <v>54.978288282875937</v>
      </c>
      <c r="E13" s="100">
        <f>$AL$5*'LCOE &amp; CO2 Scaled'!E42+'Scenario 1'!$AL$6*'Capital Employed Scaled'!E42+'Scenario 1'!$AL$7*'LCOE &amp; CO2 Scaled'!$D$94</f>
        <v>56.047024866254745</v>
      </c>
      <c r="F13" s="100">
        <f>$AL$5*'LCOE &amp; CO2 Scaled'!F42+'Scenario 1'!$AL$6*'Capital Employed Scaled'!F42+'Scenario 1'!$AL$7*'LCOE &amp; CO2 Scaled'!$D$94</f>
        <v>57.112874481552083</v>
      </c>
      <c r="G13" s="100">
        <f>$AL$5*'LCOE &amp; CO2 Scaled'!G42+'Scenario 1'!$AL$6*'Capital Employed Scaled'!G42+'Scenario 1'!$AL$7*'LCOE &amp; CO2 Scaled'!$D$94</f>
        <v>58.176118511654984</v>
      </c>
      <c r="H13" s="100">
        <f>$AL$5*'LCOE &amp; CO2 Scaled'!H42+'Scenario 1'!$AL$6*'Capital Employed Scaled'!H42+'Scenario 1'!$AL$7*'LCOE &amp; CO2 Scaled'!$D$94</f>
        <v>59.237030445391198</v>
      </c>
      <c r="I13" s="100">
        <f>$AL$5*'LCOE &amp; CO2 Scaled'!I42+'Scenario 1'!$AL$6*'Capital Employed Scaled'!I42+'Scenario 1'!$AL$7*'LCOE &amp; CO2 Scaled'!$D$94</f>
        <v>60.295876245873266</v>
      </c>
      <c r="J13" s="100">
        <f>$AL$5*'LCOE &amp; CO2 Scaled'!J42+'Scenario 1'!$AL$6*'Capital Employed Scaled'!J42+'Scenario 1'!$AL$7*'LCOE &amp; CO2 Scaled'!$D$94</f>
        <v>61.352914700943373</v>
      </c>
      <c r="K13" s="100">
        <f>$AL$5*'LCOE &amp; CO2 Scaled'!K42+'Scenario 1'!$AL$6*'Capital Employed Scaled'!K42+'Scenario 1'!$AL$7*'LCOE &amp; CO2 Scaled'!$D$94</f>
        <v>62.408397756764103</v>
      </c>
      <c r="L13" s="100">
        <f>$AL$5*'LCOE &amp; CO2 Scaled'!L42+'Scenario 1'!$AL$6*'Capital Employed Scaled'!L42+'Scenario 1'!$AL$7*'LCOE &amp; CO2 Scaled'!$D$94</f>
        <v>63.462570835531508</v>
      </c>
      <c r="M13" s="100">
        <f>$AL$5*'LCOE &amp; CO2 Scaled'!M42+'Scenario 1'!$AL$6*'Capital Employed Scaled'!M42+'Scenario 1'!$AL$7*'LCOE &amp; CO2 Scaled'!$D$94</f>
        <v>64.515673138225168</v>
      </c>
      <c r="N13" s="100">
        <f>$AL$5*'LCOE &amp; CO2 Scaled'!N42+'Scenario 1'!$AL$6*'Capital Employed Scaled'!N42+'Scenario 1'!$AL$7*'LCOE &amp; CO2 Scaled'!$D$94</f>
        <v>68.992733074227772</v>
      </c>
      <c r="O13" s="100">
        <f>$AL$5*'LCOE &amp; CO2 Scaled'!O42+'Scenario 1'!$AL$6*'Capital Employed Scaled'!O42+'Scenario 1'!$AL$7*'LCOE &amp; CO2 Scaled'!$D$94</f>
        <v>69.186117706440825</v>
      </c>
      <c r="P13" s="100">
        <f>$AL$5*'LCOE &amp; CO2 Scaled'!P42+'Scenario 1'!$AL$6*'Capital Employed Scaled'!P42+'Scenario 1'!$AL$7*'LCOE &amp; CO2 Scaled'!$D$94</f>
        <v>69.379453539009802</v>
      </c>
      <c r="Q13" s="100">
        <f>$AL$5*'LCOE &amp; CO2 Scaled'!Q42+'Scenario 1'!$AL$6*'Capital Employed Scaled'!Q42+'Scenario 1'!$AL$7*'LCOE &amp; CO2 Scaled'!$D$94</f>
        <v>69.572745487241122</v>
      </c>
      <c r="R13" s="100">
        <f>$AL$5*'LCOE &amp; CO2 Scaled'!R42+'Scenario 1'!$AL$6*'Capital Employed Scaled'!R42+'Scenario 1'!$AL$7*'LCOE &amp; CO2 Scaled'!$D$94</f>
        <v>69.765998467441619</v>
      </c>
      <c r="S13" s="100">
        <f>$AL$5*'LCOE &amp; CO2 Scaled'!S42+'Scenario 1'!$AL$6*'Capital Employed Scaled'!S42+'Scenario 1'!$AL$7*'LCOE &amp; CO2 Scaled'!$D$94</f>
        <v>69.959217397254818</v>
      </c>
      <c r="T13" s="100">
        <f>$AL$5*'LCOE &amp; CO2 Scaled'!T42+'Scenario 1'!$AL$6*'Capital Employed Scaled'!T42+'Scenario 1'!$AL$7*'LCOE &amp; CO2 Scaled'!$D$94</f>
        <v>70.152407195997597</v>
      </c>
      <c r="U13" s="100">
        <f>$AL$5*'LCOE &amp; CO2 Scaled'!U42+'Scenario 1'!$AL$6*'Capital Employed Scaled'!U42+'Scenario 1'!$AL$7*'LCOE &amp; CO2 Scaled'!$D$94</f>
        <v>70.34557278499733</v>
      </c>
      <c r="V13" s="100">
        <f>$AL$5*'LCOE &amp; CO2 Scaled'!V42+'Scenario 1'!$AL$6*'Capital Employed Scaled'!V42+'Scenario 1'!$AL$7*'LCOE &amp; CO2 Scaled'!$D$94</f>
        <v>70.53871908792982</v>
      </c>
      <c r="W13" s="100">
        <f>$AL$5*'LCOE &amp; CO2 Scaled'!W42+'Scenario 1'!$AL$6*'Capital Employed Scaled'!W42+'Scenario 1'!$AL$7*'LCOE &amp; CO2 Scaled'!$D$94</f>
        <v>70.731851031157618</v>
      </c>
      <c r="X13" s="100">
        <f>$AL$5*'LCOE &amp; CO2 Scaled'!X42+'Scenario 1'!$AL$6*'Capital Employed Scaled'!X42+'Scenario 1'!$AL$7*'LCOE &amp; CO2 Scaled'!$D$94</f>
        <v>70.92497354406936</v>
      </c>
      <c r="Y13" s="100">
        <f>$AL$5*'LCOE &amp; CO2 Scaled'!Y42+'Scenario 1'!$AL$6*'Capital Employed Scaled'!Y42+'Scenario 1'!$AL$7*'LCOE &amp; CO2 Scaled'!$D$94</f>
        <v>71.118091559419582</v>
      </c>
      <c r="Z13" s="100">
        <f>$AL$5*'LCOE &amp; CO2 Scaled'!Z42+'Scenario 1'!$AL$6*'Capital Employed Scaled'!Z42+'Scenario 1'!$AL$7*'LCOE &amp; CO2 Scaled'!$D$94</f>
        <v>71.311210013669509</v>
      </c>
      <c r="AA13" s="100">
        <f>$AL$5*'LCOE &amp; CO2 Scaled'!AA42+'Scenario 1'!$AL$6*'Capital Employed Scaled'!AA42+'Scenario 1'!$AL$7*'LCOE &amp; CO2 Scaled'!$D$94</f>
        <v>71.50433384732861</v>
      </c>
      <c r="AB13" s="100">
        <f>$AL$5*'LCOE &amp; CO2 Scaled'!AB42+'Scenario 1'!$AL$6*'Capital Employed Scaled'!AB42+'Scenario 1'!$AL$7*'LCOE &amp; CO2 Scaled'!$D$94</f>
        <v>71.697468005297068</v>
      </c>
      <c r="AC13" s="100">
        <f>$AL$5*'LCOE &amp; CO2 Scaled'!AC42+'Scenario 1'!$AL$6*'Capital Employed Scaled'!AC42+'Scenario 1'!$AL$7*'LCOE &amp; CO2 Scaled'!$D$94</f>
        <v>71.890617437209201</v>
      </c>
      <c r="AD13" s="100">
        <f>$AL$5*'LCOE &amp; CO2 Scaled'!AD42+'Scenario 1'!$AL$6*'Capital Employed Scaled'!AD42+'Scenario 1'!$AL$7*'LCOE &amp; CO2 Scaled'!$D$94</f>
        <v>72.083787097777957</v>
      </c>
      <c r="AE13" s="100">
        <f>$AL$5*'LCOE &amp; CO2 Scaled'!AE42+'Scenario 1'!$AL$6*'Capital Employed Scaled'!AE42+'Scenario 1'!$AL$7*'LCOE &amp; CO2 Scaled'!$D$94</f>
        <v>72.276981947140342</v>
      </c>
      <c r="AF13" s="100">
        <f>$AL$5*'LCOE &amp; CO2 Scaled'!AF42+'Scenario 1'!$AL$6*'Capital Employed Scaled'!AF42+'Scenario 1'!$AL$7*'LCOE &amp; CO2 Scaled'!$D$94</f>
        <v>72.470206951204048</v>
      </c>
      <c r="AG13" s="100">
        <f>$AL$5*'LCOE &amp; CO2 Scaled'!AG42+'Scenario 1'!$AL$6*'Capital Employed Scaled'!AG42+'Scenario 1'!$AL$7*'LCOE &amp; CO2 Scaled'!$D$94</f>
        <v>72.663467081995179</v>
      </c>
      <c r="AH13" s="100">
        <f>$AL$5*'LCOE &amp; CO2 Scaled'!AH42+'Scenario 1'!$AL$6*'Capital Employed Scaled'!AH42+'Scenario 1'!$AL$7*'LCOE &amp; CO2 Scaled'!$D$94</f>
        <v>72.856767318007201</v>
      </c>
      <c r="AI13" s="118" t="s">
        <v>101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</row>
    <row r="14" spans="1:82">
      <c r="A14" s="1"/>
      <c r="B14" s="118" t="s">
        <v>5</v>
      </c>
      <c r="C14" s="100">
        <f>$AL$5*'LCOE &amp; CO2 Scaled'!C43+$AL$6*'Capital Employed Scaled'!C43+'Scenario 1'!$AL$7*'LCOE &amp; CO2 Scaled'!$D$89</f>
        <v>67.130617824158932</v>
      </c>
      <c r="D14" s="100">
        <f>$AL$5*'LCOE &amp; CO2 Scaled'!D43+'Scenario 1'!$AL$6*'Capital Employed Scaled'!D43+'Scenario 1'!$AL$7*'LCOE &amp; CO2 Scaled'!$D$95</f>
        <v>66.860769401245363</v>
      </c>
      <c r="E14" s="100">
        <f>$AL$5*'LCOE &amp; CO2 Scaled'!E43+'Scenario 1'!$AL$6*'Capital Employed Scaled'!E43+'Scenario 1'!$AL$7*'LCOE &amp; CO2 Scaled'!$D$95</f>
        <v>66.465675995641277</v>
      </c>
      <c r="F14" s="100">
        <f>$AL$5*'LCOE &amp; CO2 Scaled'!F43+'Scenario 1'!$AL$6*'Capital Employed Scaled'!F43+'Scenario 1'!$AL$7*'LCOE &amp; CO2 Scaled'!$D$95</f>
        <v>66.077957756012808</v>
      </c>
      <c r="G14" s="100">
        <f>$AL$5*'LCOE &amp; CO2 Scaled'!G43+'Scenario 1'!$AL$6*'Capital Employed Scaled'!G43+'Scenario 1'!$AL$7*'LCOE &amp; CO2 Scaled'!$D$95</f>
        <v>65.697432080685303</v>
      </c>
      <c r="H14" s="100">
        <f>$AL$5*'LCOE &amp; CO2 Scaled'!H43+'Scenario 1'!$AL$6*'Capital Employed Scaled'!H43+'Scenario 1'!$AL$7*'LCOE &amp; CO2 Scaled'!$D$95</f>
        <v>65.323922587162571</v>
      </c>
      <c r="I14" s="100">
        <f>$AL$5*'LCOE &amp; CO2 Scaled'!I43+'Scenario 1'!$AL$6*'Capital Employed Scaled'!I43+'Scenario 1'!$AL$7*'LCOE &amp; CO2 Scaled'!$D$95</f>
        <v>64.957258853282482</v>
      </c>
      <c r="J14" s="100">
        <f>$AL$5*'LCOE &amp; CO2 Scaled'!J43+'Scenario 1'!$AL$6*'Capital Employed Scaled'!J43+'Scenario 1'!$AL$7*'LCOE &amp; CO2 Scaled'!$D$95</f>
        <v>64.597276171259409</v>
      </c>
      <c r="K14" s="100">
        <f>$AL$5*'LCOE &amp; CO2 Scaled'!K43+'Scenario 1'!$AL$6*'Capital Employed Scaled'!K43+'Scenario 1'!$AL$7*'LCOE &amp; CO2 Scaled'!$D$95</f>
        <v>64.243815313872304</v>
      </c>
      <c r="L14" s="100">
        <f>$AL$5*'LCOE &amp; CO2 Scaled'!L43+'Scenario 1'!$AL$6*'Capital Employed Scaled'!L43+'Scenario 1'!$AL$7*'LCOE &amp; CO2 Scaled'!$D$95</f>
        <v>63.896722312105908</v>
      </c>
      <c r="M14" s="100">
        <f>$AL$5*'LCOE &amp; CO2 Scaled'!M43+'Scenario 1'!$AL$6*'Capital Employed Scaled'!M43+'Scenario 1'!$AL$7*'LCOE &amp; CO2 Scaled'!$D$95</f>
        <v>63.555848243597424</v>
      </c>
      <c r="N14" s="100">
        <f>$AL$5*'LCOE &amp; CO2 Scaled'!N43+'Scenario 1'!$AL$6*'Capital Employed Scaled'!N43+'Scenario 1'!$AL$7*'LCOE &amp; CO2 Scaled'!$D$95</f>
        <v>67.439023323295075</v>
      </c>
      <c r="O14" s="100">
        <f>$AL$5*'LCOE &amp; CO2 Scaled'!O43+'Scenario 1'!$AL$6*'Capital Employed Scaled'!O43+'Scenario 1'!$AL$7*'LCOE &amp; CO2 Scaled'!$D$95</f>
        <v>67.533275078673412</v>
      </c>
      <c r="P14" s="100">
        <f>$AL$5*'LCOE &amp; CO2 Scaled'!P43+'Scenario 1'!$AL$6*'Capital Employed Scaled'!P43+'Scenario 1'!$AL$7*'LCOE &amp; CO2 Scaled'!$D$95</f>
        <v>67.62791067782527</v>
      </c>
      <c r="Q14" s="100">
        <f>$AL$5*'LCOE &amp; CO2 Scaled'!Q43+'Scenario 1'!$AL$6*'Capital Employed Scaled'!Q43+'Scenario 1'!$AL$7*'LCOE &amp; CO2 Scaled'!$D$95</f>
        <v>67.722932343107999</v>
      </c>
      <c r="R14" s="100">
        <f>$AL$5*'LCOE &amp; CO2 Scaled'!R43+'Scenario 1'!$AL$6*'Capital Employed Scaled'!R43+'Scenario 1'!$AL$7*'LCOE &amp; CO2 Scaled'!$D$95</f>
        <v>67.818342314150058</v>
      </c>
      <c r="S14" s="100">
        <f>$AL$5*'LCOE &amp; CO2 Scaled'!S43+'Scenario 1'!$AL$6*'Capital Employed Scaled'!S43+'Scenario 1'!$AL$7*'LCOE &amp; CO2 Scaled'!$D$95</f>
        <v>67.914142848018827</v>
      </c>
      <c r="T14" s="100">
        <f>$AL$5*'LCOE &amp; CO2 Scaled'!T43+'Scenario 1'!$AL$6*'Capital Employed Scaled'!T43+'Scenario 1'!$AL$7*'LCOE &amp; CO2 Scaled'!$D$95</f>
        <v>68.010336219390723</v>
      </c>
      <c r="U14" s="100">
        <f>$AL$5*'LCOE &amp; CO2 Scaled'!U43+'Scenario 1'!$AL$6*'Capital Employed Scaled'!U43+'Scenario 1'!$AL$7*'LCOE &amp; CO2 Scaled'!$D$95</f>
        <v>68.106924720723214</v>
      </c>
      <c r="V14" s="100">
        <f>$AL$5*'LCOE &amp; CO2 Scaled'!V43+'Scenario 1'!$AL$6*'Capital Employed Scaled'!V43+'Scenario 1'!$AL$7*'LCOE &amp; CO2 Scaled'!$D$95</f>
        <v>68.203910662428726</v>
      </c>
      <c r="W14" s="100">
        <f>$AL$5*'LCOE &amp; CO2 Scaled'!W43+'Scenario 1'!$AL$6*'Capital Employed Scaled'!W43+'Scenario 1'!$AL$7*'LCOE &amp; CO2 Scaled'!$D$95</f>
        <v>68.301296373050818</v>
      </c>
      <c r="X14" s="100">
        <f>$AL$5*'LCOE &amp; CO2 Scaled'!X43+'Scenario 1'!$AL$6*'Capital Employed Scaled'!X43+'Scenario 1'!$AL$7*'LCOE &amp; CO2 Scaled'!$D$95</f>
        <v>68.399084199442228</v>
      </c>
      <c r="Y14" s="100">
        <f>$AL$5*'LCOE &amp; CO2 Scaled'!Y43+'Scenario 1'!$AL$6*'Capital Employed Scaled'!Y43+'Scenario 1'!$AL$7*'LCOE &amp; CO2 Scaled'!$D$95</f>
        <v>68.497276506945155</v>
      </c>
      <c r="Z14" s="100">
        <f>$AL$5*'LCOE &amp; CO2 Scaled'!Z43+'Scenario 1'!$AL$6*'Capital Employed Scaled'!Z43+'Scenario 1'!$AL$7*'LCOE &amp; CO2 Scaled'!$D$95</f>
        <v>68.595875679573609</v>
      </c>
      <c r="AA14" s="100">
        <f>$AL$5*'LCOE &amp; CO2 Scaled'!AA43+'Scenario 1'!$AL$6*'Capital Employed Scaled'!AA43+'Scenario 1'!$AL$7*'LCOE &amp; CO2 Scaled'!$D$95</f>
        <v>68.694884120197983</v>
      </c>
      <c r="AB14" s="100">
        <f>$AL$5*'LCOE &amp; CO2 Scaled'!AB43+'Scenario 1'!$AL$6*'Capital Employed Scaled'!AB43+'Scenario 1'!$AL$7*'LCOE &amp; CO2 Scaled'!$D$95</f>
        <v>68.794304250731727</v>
      </c>
      <c r="AC14" s="100">
        <f>$AL$5*'LCOE &amp; CO2 Scaled'!AC43+'Scenario 1'!$AL$6*'Capital Employed Scaled'!AC43+'Scenario 1'!$AL$7*'LCOE &amp; CO2 Scaled'!$D$95</f>
        <v>68.894138512320382</v>
      </c>
      <c r="AD14" s="100">
        <f>$AL$5*'LCOE &amp; CO2 Scaled'!AD43+'Scenario 1'!$AL$6*'Capital Employed Scaled'!AD43+'Scenario 1'!$AL$7*'LCOE &amp; CO2 Scaled'!$D$95</f>
        <v>68.994389365532669</v>
      </c>
      <c r="AE14" s="100">
        <f>$AL$5*'LCOE &amp; CO2 Scaled'!AE43+'Scenario 1'!$AL$6*'Capital Employed Scaled'!AE43+'Scenario 1'!$AL$7*'LCOE &amp; CO2 Scaled'!$D$95</f>
        <v>69.095059290554104</v>
      </c>
      <c r="AF14" s="100">
        <f>$AL$5*'LCOE &amp; CO2 Scaled'!AF43+'Scenario 1'!$AL$6*'Capital Employed Scaled'!AF43+'Scenario 1'!$AL$7*'LCOE &amp; CO2 Scaled'!$D$95</f>
        <v>69.196150787382663</v>
      </c>
      <c r="AG14" s="100">
        <f>$AL$5*'LCOE &amp; CO2 Scaled'!AG43+'Scenario 1'!$AL$6*'Capital Employed Scaled'!AG43+'Scenario 1'!$AL$7*'LCOE &amp; CO2 Scaled'!$D$95</f>
        <v>69.297666376027166</v>
      </c>
      <c r="AH14" s="100">
        <f>$AL$5*'LCOE &amp; CO2 Scaled'!AH43+'Scenario 1'!$AL$6*'Capital Employed Scaled'!AH43+'Scenario 1'!$AL$7*'LCOE &amp; CO2 Scaled'!$D$95</f>
        <v>69.399608596707523</v>
      </c>
      <c r="AI14" s="118" t="s">
        <v>5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</row>
    <row r="15" spans="1:82">
      <c r="A15" s="1"/>
      <c r="B15" s="118" t="s">
        <v>6</v>
      </c>
      <c r="C15" s="100">
        <f>$AL$5*'LCOE &amp; CO2 Scaled'!C44+$AL$6*'Capital Employed Scaled'!C44+'Scenario 1'!$AL$7*'LCOE &amp; CO2 Scaled'!$D$89</f>
        <v>1</v>
      </c>
      <c r="D15" s="100">
        <f>$AL$5*'LCOE &amp; CO2 Scaled'!D44+'Scenario 1'!$AL$6*'Capital Employed Scaled'!D44+'Scenario 1'!$AL$7*'LCOE &amp; CO2 Scaled'!$D$96</f>
        <v>1</v>
      </c>
      <c r="E15" s="100">
        <f>$AL$5*'LCOE &amp; CO2 Scaled'!E44+'Scenario 1'!$AL$6*'Capital Employed Scaled'!E44+'Scenario 1'!$AL$7*'LCOE &amp; CO2 Scaled'!$D$96</f>
        <v>1</v>
      </c>
      <c r="F15" s="100">
        <f>$AL$5*'LCOE &amp; CO2 Scaled'!F44+'Scenario 1'!$AL$6*'Capital Employed Scaled'!F44+'Scenario 1'!$AL$7*'LCOE &amp; CO2 Scaled'!$D$96</f>
        <v>1</v>
      </c>
      <c r="G15" s="100">
        <f>$AL$5*'LCOE &amp; CO2 Scaled'!G44+'Scenario 1'!$AL$6*'Capital Employed Scaled'!G44+'Scenario 1'!$AL$7*'LCOE &amp; CO2 Scaled'!$D$96</f>
        <v>1</v>
      </c>
      <c r="H15" s="100">
        <f>$AL$5*'LCOE &amp; CO2 Scaled'!H44+'Scenario 1'!$AL$6*'Capital Employed Scaled'!H44+'Scenario 1'!$AL$7*'LCOE &amp; CO2 Scaled'!$D$96</f>
        <v>1</v>
      </c>
      <c r="I15" s="100">
        <f>$AL$5*'LCOE &amp; CO2 Scaled'!I44+'Scenario 1'!$AL$6*'Capital Employed Scaled'!I44+'Scenario 1'!$AL$7*'LCOE &amp; CO2 Scaled'!$D$96</f>
        <v>1</v>
      </c>
      <c r="J15" s="100">
        <f>$AL$5*'LCOE &amp; CO2 Scaled'!J44+'Scenario 1'!$AL$6*'Capital Employed Scaled'!J44+'Scenario 1'!$AL$7*'LCOE &amp; CO2 Scaled'!$D$96</f>
        <v>1</v>
      </c>
      <c r="K15" s="100">
        <f>$AL$5*'LCOE &amp; CO2 Scaled'!K44+'Scenario 1'!$AL$6*'Capital Employed Scaled'!K44+'Scenario 1'!$AL$7*'LCOE &amp; CO2 Scaled'!$D$96</f>
        <v>1</v>
      </c>
      <c r="L15" s="100">
        <f>$AL$5*'LCOE &amp; CO2 Scaled'!L44+'Scenario 1'!$AL$6*'Capital Employed Scaled'!L44+'Scenario 1'!$AL$7*'LCOE &amp; CO2 Scaled'!$D$96</f>
        <v>1</v>
      </c>
      <c r="M15" s="100">
        <f>$AL$5*'LCOE &amp; CO2 Scaled'!M44+'Scenario 1'!$AL$6*'Capital Employed Scaled'!M44+'Scenario 1'!$AL$7*'LCOE &amp; CO2 Scaled'!$D$96</f>
        <v>1</v>
      </c>
      <c r="N15" s="100">
        <f>$AL$5*'LCOE &amp; CO2 Scaled'!N44+'Scenario 1'!$AL$6*'Capital Employed Scaled'!N44+'Scenario 1'!$AL$7*'LCOE &amp; CO2 Scaled'!$D$96</f>
        <v>1</v>
      </c>
      <c r="O15" s="100">
        <f>$AL$5*'LCOE &amp; CO2 Scaled'!O44+'Scenario 1'!$AL$6*'Capital Employed Scaled'!O44+'Scenario 1'!$AL$7*'LCOE &amp; CO2 Scaled'!$D$96</f>
        <v>1</v>
      </c>
      <c r="P15" s="100">
        <f>$AL$5*'LCOE &amp; CO2 Scaled'!P44+'Scenario 1'!$AL$6*'Capital Employed Scaled'!P44+'Scenario 1'!$AL$7*'LCOE &amp; CO2 Scaled'!$D$96</f>
        <v>1</v>
      </c>
      <c r="Q15" s="100">
        <f>$AL$5*'LCOE &amp; CO2 Scaled'!Q44+'Scenario 1'!$AL$6*'Capital Employed Scaled'!Q44+'Scenario 1'!$AL$7*'LCOE &amp; CO2 Scaled'!$D$96</f>
        <v>1</v>
      </c>
      <c r="R15" s="100">
        <f>$AL$5*'LCOE &amp; CO2 Scaled'!R44+'Scenario 1'!$AL$6*'Capital Employed Scaled'!R44+'Scenario 1'!$AL$7*'LCOE &amp; CO2 Scaled'!$D$96</f>
        <v>1</v>
      </c>
      <c r="S15" s="100">
        <f>$AL$5*'LCOE &amp; CO2 Scaled'!S44+'Scenario 1'!$AL$6*'Capital Employed Scaled'!S44+'Scenario 1'!$AL$7*'LCOE &amp; CO2 Scaled'!$D$96</f>
        <v>1</v>
      </c>
      <c r="T15" s="100">
        <f>$AL$5*'LCOE &amp; CO2 Scaled'!T44+'Scenario 1'!$AL$6*'Capital Employed Scaled'!T44+'Scenario 1'!$AL$7*'LCOE &amp; CO2 Scaled'!$D$96</f>
        <v>1</v>
      </c>
      <c r="U15" s="100">
        <f>$AL$5*'LCOE &amp; CO2 Scaled'!U44+'Scenario 1'!$AL$6*'Capital Employed Scaled'!U44+'Scenario 1'!$AL$7*'LCOE &amp; CO2 Scaled'!$D$96</f>
        <v>1</v>
      </c>
      <c r="V15" s="100">
        <f>$AL$5*'LCOE &amp; CO2 Scaled'!V44+'Scenario 1'!$AL$6*'Capital Employed Scaled'!V44+'Scenario 1'!$AL$7*'LCOE &amp; CO2 Scaled'!$D$96</f>
        <v>1</v>
      </c>
      <c r="W15" s="100">
        <f>$AL$5*'LCOE &amp; CO2 Scaled'!W44+'Scenario 1'!$AL$6*'Capital Employed Scaled'!W44+'Scenario 1'!$AL$7*'LCOE &amp; CO2 Scaled'!$D$96</f>
        <v>1</v>
      </c>
      <c r="X15" s="100">
        <f>$AL$5*'LCOE &amp; CO2 Scaled'!X44+'Scenario 1'!$AL$6*'Capital Employed Scaled'!X44+'Scenario 1'!$AL$7*'LCOE &amp; CO2 Scaled'!$D$96</f>
        <v>1</v>
      </c>
      <c r="Y15" s="100">
        <f>$AL$5*'LCOE &amp; CO2 Scaled'!Y44+'Scenario 1'!$AL$6*'Capital Employed Scaled'!Y44+'Scenario 1'!$AL$7*'LCOE &amp; CO2 Scaled'!$D$96</f>
        <v>1</v>
      </c>
      <c r="Z15" s="100">
        <f>$AL$5*'LCOE &amp; CO2 Scaled'!Z44+'Scenario 1'!$AL$6*'Capital Employed Scaled'!Z44+'Scenario 1'!$AL$7*'LCOE &amp; CO2 Scaled'!$D$96</f>
        <v>1</v>
      </c>
      <c r="AA15" s="100">
        <f>$AL$5*'LCOE &amp; CO2 Scaled'!AA44+'Scenario 1'!$AL$6*'Capital Employed Scaled'!AA44+'Scenario 1'!$AL$7*'LCOE &amp; CO2 Scaled'!$D$96</f>
        <v>1</v>
      </c>
      <c r="AB15" s="100">
        <f>$AL$5*'LCOE &amp; CO2 Scaled'!AB44+'Scenario 1'!$AL$6*'Capital Employed Scaled'!AB44+'Scenario 1'!$AL$7*'LCOE &amp; CO2 Scaled'!$D$96</f>
        <v>1</v>
      </c>
      <c r="AC15" s="100">
        <f>$AL$5*'LCOE &amp; CO2 Scaled'!AC44+'Scenario 1'!$AL$6*'Capital Employed Scaled'!AC44+'Scenario 1'!$AL$7*'LCOE &amp; CO2 Scaled'!$D$96</f>
        <v>1</v>
      </c>
      <c r="AD15" s="100">
        <f>$AL$5*'LCOE &amp; CO2 Scaled'!AD44+'Scenario 1'!$AL$6*'Capital Employed Scaled'!AD44+'Scenario 1'!$AL$7*'LCOE &amp; CO2 Scaled'!$D$96</f>
        <v>1</v>
      </c>
      <c r="AE15" s="100">
        <f>$AL$5*'LCOE &amp; CO2 Scaled'!AE44+'Scenario 1'!$AL$6*'Capital Employed Scaled'!AE44+'Scenario 1'!$AL$7*'LCOE &amp; CO2 Scaled'!$D$96</f>
        <v>1</v>
      </c>
      <c r="AF15" s="100">
        <f>$AL$5*'LCOE &amp; CO2 Scaled'!AF44+'Scenario 1'!$AL$6*'Capital Employed Scaled'!AF44+'Scenario 1'!$AL$7*'LCOE &amp; CO2 Scaled'!$D$96</f>
        <v>1</v>
      </c>
      <c r="AG15" s="100">
        <f>$AL$5*'LCOE &amp; CO2 Scaled'!AG44+'Scenario 1'!$AL$6*'Capital Employed Scaled'!AG44+'Scenario 1'!$AL$7*'LCOE &amp; CO2 Scaled'!$D$96</f>
        <v>1</v>
      </c>
      <c r="AH15" s="100">
        <f>$AL$5*'LCOE &amp; CO2 Scaled'!AH44+'Scenario 1'!$AL$6*'Capital Employed Scaled'!AH44+'Scenario 1'!$AL$7*'LCOE &amp; CO2 Scaled'!$D$96</f>
        <v>1</v>
      </c>
      <c r="AI15" s="118" t="s">
        <v>102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</row>
    <row r="16" spans="1:82">
      <c r="A16" s="1"/>
      <c r="B16" s="118" t="s">
        <v>7</v>
      </c>
      <c r="C16" s="100">
        <f>$AL$5*'LCOE &amp; CO2 Scaled'!C45+$AL$6*'Capital Employed Scaled'!C45+'Scenario 1'!$AL$7*'LCOE &amp; CO2 Scaled'!$D$89</f>
        <v>74.724515009252173</v>
      </c>
      <c r="D16" s="100">
        <f>$AL$5*'LCOE &amp; CO2 Scaled'!D45+'Scenario 1'!$AL$6*'Capital Employed Scaled'!D45+'Scenario 1'!$AL$7*'LCOE &amp; CO2 Scaled'!$D$97</f>
        <v>74.490099689040619</v>
      </c>
      <c r="E16" s="100">
        <f>$AL$5*'LCOE &amp; CO2 Scaled'!E45+'Scenario 1'!$AL$6*'Capital Employed Scaled'!E45+'Scenario 1'!$AL$7*'LCOE &amp; CO2 Scaled'!$D$97</f>
        <v>74.142874884832864</v>
      </c>
      <c r="F16" s="100">
        <f>$AL$5*'LCOE &amp; CO2 Scaled'!F45+'Scenario 1'!$AL$6*'Capital Employed Scaled'!F45+'Scenario 1'!$AL$7*'LCOE &amp; CO2 Scaled'!$D$97</f>
        <v>73.802069613337153</v>
      </c>
      <c r="G16" s="100">
        <f>$AL$5*'LCOE &amp; CO2 Scaled'!G45+'Scenario 1'!$AL$6*'Capital Employed Scaled'!G45+'Scenario 1'!$AL$7*'LCOE &amp; CO2 Scaled'!$D$97</f>
        <v>73.46752442217398</v>
      </c>
      <c r="H16" s="100">
        <f>$AL$5*'LCOE &amp; CO2 Scaled'!H45+'Scenario 1'!$AL$6*'Capital Employed Scaled'!H45+'Scenario 1'!$AL$7*'LCOE &amp; CO2 Scaled'!$D$97</f>
        <v>73.139085283392973</v>
      </c>
      <c r="I16" s="100">
        <f>$AL$5*'LCOE &amp; CO2 Scaled'!I45+'Scenario 1'!$AL$6*'Capital Employed Scaled'!I45+'Scenario 1'!$AL$7*'LCOE &amp; CO2 Scaled'!$D$97</f>
        <v>72.816603367612402</v>
      </c>
      <c r="J16" s="100">
        <f>$AL$5*'LCOE &amp; CO2 Scaled'!J45+'Scenario 1'!$AL$6*'Capital Employed Scaled'!J45+'Scenario 1'!$AL$7*'LCOE &amp; CO2 Scaled'!$D$97</f>
        <v>72.499934829401411</v>
      </c>
      <c r="K16" s="100">
        <f>$AL$5*'LCOE &amp; CO2 Scaled'!K45+'Scenario 1'!$AL$6*'Capital Employed Scaled'!K45+'Scenario 1'!$AL$7*'LCOE &amp; CO2 Scaled'!$D$97</f>
        <v>72.188940603258814</v>
      </c>
      <c r="L16" s="100">
        <f>$AL$5*'LCOE &amp; CO2 Scaled'!L45+'Scenario 1'!$AL$6*'Capital Employed Scaled'!L45+'Scenario 1'!$AL$7*'LCOE &amp; CO2 Scaled'!$D$97</f>
        <v>71.883486209583779</v>
      </c>
      <c r="M16" s="100">
        <f>$AL$5*'LCOE &amp; CO2 Scaled'!M45+'Scenario 1'!$AL$6*'Capital Employed Scaled'!M45+'Scenario 1'!$AL$7*'LCOE &amp; CO2 Scaled'!$D$97</f>
        <v>71.58344157007366</v>
      </c>
      <c r="N16" s="100">
        <f>$AL$5*'LCOE &amp; CO2 Scaled'!N45+'Scenario 1'!$AL$6*'Capital Employed Scaled'!N45+'Scenario 1'!$AL$7*'LCOE &amp; CO2 Scaled'!$D$97</f>
        <v>75.03855823183261</v>
      </c>
      <c r="O16" s="100">
        <f>$AL$5*'LCOE &amp; CO2 Scaled'!O45+'Scenario 1'!$AL$6*'Capital Employed Scaled'!O45+'Scenario 1'!$AL$7*'LCOE &amp; CO2 Scaled'!$D$97</f>
        <v>75.027103622402876</v>
      </c>
      <c r="P16" s="100">
        <f>$AL$5*'LCOE &amp; CO2 Scaled'!P45+'Scenario 1'!$AL$6*'Capital Employed Scaled'!P45+'Scenario 1'!$AL$7*'LCOE &amp; CO2 Scaled'!$D$97</f>
        <v>75.015653470531817</v>
      </c>
      <c r="Q16" s="100">
        <f>$AL$5*'LCOE &amp; CO2 Scaled'!Q45+'Scenario 1'!$AL$6*'Capital Employed Scaled'!Q45+'Scenario 1'!$AL$7*'LCOE &amp; CO2 Scaled'!$D$97</f>
        <v>75.004207777378667</v>
      </c>
      <c r="R16" s="100">
        <f>$AL$5*'LCOE &amp; CO2 Scaled'!R45+'Scenario 1'!$AL$6*'Capital Employed Scaled'!R45+'Scenario 1'!$AL$7*'LCOE &amp; CO2 Scaled'!$D$97</f>
        <v>74.992766544128401</v>
      </c>
      <c r="S16" s="100">
        <f>$AL$5*'LCOE &amp; CO2 Scaled'!S45+'Scenario 1'!$AL$6*'Capital Employed Scaled'!S45+'Scenario 1'!$AL$7*'LCOE &amp; CO2 Scaled'!$D$97</f>
        <v>74.981329771992037</v>
      </c>
      <c r="T16" s="100">
        <f>$AL$5*'LCOE &amp; CO2 Scaled'!T45+'Scenario 1'!$AL$6*'Capital Employed Scaled'!T45+'Scenario 1'!$AL$7*'LCOE &amp; CO2 Scaled'!$D$97</f>
        <v>74.969897462206831</v>
      </c>
      <c r="U16" s="100">
        <f>$AL$5*'LCOE &amp; CO2 Scaled'!U45+'Scenario 1'!$AL$6*'Capital Employed Scaled'!U45+'Scenario 1'!$AL$7*'LCOE &amp; CO2 Scaled'!$D$97</f>
        <v>74.958469616036496</v>
      </c>
      <c r="V16" s="100">
        <f>$AL$5*'LCOE &amp; CO2 Scaled'!V45+'Scenario 1'!$AL$6*'Capital Employed Scaled'!V45+'Scenario 1'!$AL$7*'LCOE &amp; CO2 Scaled'!$D$97</f>
        <v>74.947046234771477</v>
      </c>
      <c r="W16" s="100">
        <f>$AL$5*'LCOE &amp; CO2 Scaled'!W45+'Scenario 1'!$AL$6*'Capital Employed Scaled'!W45+'Scenario 1'!$AL$7*'LCOE &amp; CO2 Scaled'!$D$97</f>
        <v>74.935627319729221</v>
      </c>
      <c r="X16" s="100">
        <f>$AL$5*'LCOE &amp; CO2 Scaled'!X45+'Scenario 1'!$AL$6*'Capital Employed Scaled'!X45+'Scenario 1'!$AL$7*'LCOE &amp; CO2 Scaled'!$D$97</f>
        <v>74.924212872254316</v>
      </c>
      <c r="Y16" s="100">
        <f>$AL$5*'LCOE &amp; CO2 Scaled'!Y45+'Scenario 1'!$AL$6*'Capital Employed Scaled'!Y45+'Scenario 1'!$AL$7*'LCOE &amp; CO2 Scaled'!$D$97</f>
        <v>74.912802893718919</v>
      </c>
      <c r="Z16" s="100">
        <f>$AL$5*'LCOE &amp; CO2 Scaled'!Z45+'Scenario 1'!$AL$6*'Capital Employed Scaled'!Z45+'Scenario 1'!$AL$7*'LCOE &amp; CO2 Scaled'!$D$97</f>
        <v>74.901397385522912</v>
      </c>
      <c r="AA16" s="100">
        <f>$AL$5*'LCOE &amp; CO2 Scaled'!AA45+'Scenario 1'!$AL$6*'Capital Employed Scaled'!AA45+'Scenario 1'!$AL$7*'LCOE &amp; CO2 Scaled'!$D$97</f>
        <v>74.889996349094119</v>
      </c>
      <c r="AB16" s="100">
        <f>$AL$5*'LCOE &amp; CO2 Scaled'!AB45+'Scenario 1'!$AL$6*'Capital Employed Scaled'!AB45+'Scenario 1'!$AL$7*'LCOE &amp; CO2 Scaled'!$D$97</f>
        <v>74.878599785888682</v>
      </c>
      <c r="AC16" s="100">
        <f>$AL$5*'LCOE &amp; CO2 Scaled'!AC45+'Scenario 1'!$AL$6*'Capital Employed Scaled'!AC45+'Scenario 1'!$AL$7*'LCOE &amp; CO2 Scaled'!$D$97</f>
        <v>74.867207697391194</v>
      </c>
      <c r="AD16" s="100">
        <f>$AL$5*'LCOE &amp; CO2 Scaled'!AD45+'Scenario 1'!$AL$6*'Capital Employed Scaled'!AD45+'Scenario 1'!$AL$7*'LCOE &amp; CO2 Scaled'!$D$97</f>
        <v>74.855820085115113</v>
      </c>
      <c r="AE16" s="100">
        <f>$AL$5*'LCOE &amp; CO2 Scaled'!AE45+'Scenario 1'!$AL$6*'Capital Employed Scaled'!AE45+'Scenario 1'!$AL$7*'LCOE &amp; CO2 Scaled'!$D$97</f>
        <v>74.844436950602926</v>
      </c>
      <c r="AF16" s="100">
        <f>$AL$5*'LCOE &amp; CO2 Scaled'!AF45+'Scenario 1'!$AL$6*'Capital Employed Scaled'!AF45+'Scenario 1'!$AL$7*'LCOE &amp; CO2 Scaled'!$D$97</f>
        <v>74.833058295426468</v>
      </c>
      <c r="AG16" s="100">
        <f>$AL$5*'LCOE &amp; CO2 Scaled'!AG45+'Scenario 1'!$AL$6*'Capital Employed Scaled'!AG45+'Scenario 1'!$AL$7*'LCOE &amp; CO2 Scaled'!$D$97</f>
        <v>74.821684121187218</v>
      </c>
      <c r="AH16" s="100">
        <f>$AL$5*'LCOE &amp; CO2 Scaled'!AH45+'Scenario 1'!$AL$6*'Capital Employed Scaled'!AH45+'Scenario 1'!$AL$7*'LCOE &amp; CO2 Scaled'!$D$97</f>
        <v>74.810314429516495</v>
      </c>
      <c r="AI16" s="118" t="s">
        <v>7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</row>
    <row r="17" spans="1:82">
      <c r="A17" s="1"/>
      <c r="B17" s="118" t="s">
        <v>72</v>
      </c>
      <c r="C17" s="100">
        <f>$AL$5*'LCOE &amp; CO2 Scaled'!C46+$AL$6*'Capital Employed Scaled'!C46+'Scenario 1'!$AL$7*'LCOE &amp; CO2 Scaled'!$D$89</f>
        <v>68.844457888052801</v>
      </c>
      <c r="D17" s="100">
        <f>$AL$5*'LCOE &amp; CO2 Scaled'!D46+'Scenario 1'!$AL$6*'Capital Employed Scaled'!D46+'Scenario 1'!$AL$7*'LCOE &amp; CO2 Scaled'!$D$98</f>
        <v>68.512931891799653</v>
      </c>
      <c r="E17" s="100">
        <f>$AL$5*'LCOE &amp; CO2 Scaled'!E46+'Scenario 1'!$AL$6*'Capital Employed Scaled'!E46+'Scenario 1'!$AL$7*'LCOE &amp; CO2 Scaled'!$D$98</f>
        <v>68.058568341821172</v>
      </c>
      <c r="F17" s="100">
        <f>$AL$5*'LCOE &amp; CO2 Scaled'!F46+'Scenario 1'!$AL$6*'Capital Employed Scaled'!F46+'Scenario 1'!$AL$7*'LCOE &amp; CO2 Scaled'!$D$98</f>
        <v>67.611164451472192</v>
      </c>
      <c r="G17" s="100">
        <f>$AL$5*'LCOE &amp; CO2 Scaled'!G46+'Scenario 1'!$AL$6*'Capital Employed Scaled'!G46+'Scenario 1'!$AL$7*'LCOE &amp; CO2 Scaled'!$D$98</f>
        <v>67.170535373013337</v>
      </c>
      <c r="H17" s="100">
        <f>$AL$5*'LCOE &amp; CO2 Scaled'!H46+'Scenario 1'!$AL$6*'Capital Employed Scaled'!H46+'Scenario 1'!$AL$7*'LCOE &amp; CO2 Scaled'!$D$98</f>
        <v>66.736502399581667</v>
      </c>
      <c r="I17" s="100">
        <f>$AL$5*'LCOE &amp; CO2 Scaled'!I46+'Scenario 1'!$AL$6*'Capital Employed Scaled'!I46+'Scenario 1'!$AL$7*'LCOE &amp; CO2 Scaled'!$D$98</f>
        <v>66.308892707301084</v>
      </c>
      <c r="J17" s="100">
        <f>$AL$5*'LCOE &amp; CO2 Scaled'!J46+'Scenario 1'!$AL$6*'Capital Employed Scaled'!J46+'Scenario 1'!$AL$7*'LCOE &amp; CO2 Scaled'!$D$98</f>
        <v>65.887539110190431</v>
      </c>
      <c r="K17" s="100">
        <f>$AL$5*'LCOE &amp; CO2 Scaled'!K46+'Scenario 1'!$AL$6*'Capital Employed Scaled'!K46+'Scenario 1'!$AL$7*'LCOE &amp; CO2 Scaled'!$D$98</f>
        <v>65.4722798271317</v>
      </c>
      <c r="L17" s="100">
        <f>$AL$5*'LCOE &amp; CO2 Scaled'!L46+'Scenario 1'!$AL$6*'Capital Employed Scaled'!L46+'Scenario 1'!$AL$7*'LCOE &amp; CO2 Scaled'!$D$98</f>
        <v>65.062958260210664</v>
      </c>
      <c r="M17" s="100">
        <f>$AL$5*'LCOE &amp; CO2 Scaled'!M46+'Scenario 1'!$AL$6*'Capital Employed Scaled'!M46+'Scenario 1'!$AL$7*'LCOE &amp; CO2 Scaled'!$D$98</f>
        <v>64.659422783784748</v>
      </c>
      <c r="N17" s="100">
        <f>$AL$5*'LCOE &amp; CO2 Scaled'!N46+'Scenario 1'!$AL$6*'Capital Employed Scaled'!N46+'Scenario 1'!$AL$7*'LCOE &amp; CO2 Scaled'!$D$98</f>
        <v>68.374235198332428</v>
      </c>
      <c r="O17" s="100">
        <f>$AL$5*'LCOE &amp; CO2 Scaled'!O46+'Scenario 1'!$AL$6*'Capital Employed Scaled'!O46+'Scenario 1'!$AL$7*'LCOE &amp; CO2 Scaled'!$D$98</f>
        <v>68.300447176823383</v>
      </c>
      <c r="P17" s="100">
        <f>$AL$5*'LCOE &amp; CO2 Scaled'!P46+'Scenario 1'!$AL$6*'Capital Employed Scaled'!P46+'Scenario 1'!$AL$7*'LCOE &amp; CO2 Scaled'!$D$98</f>
        <v>68.226486409738172</v>
      </c>
      <c r="Q17" s="100">
        <f>$AL$5*'LCOE &amp; CO2 Scaled'!Q46+'Scenario 1'!$AL$6*'Capital Employed Scaled'!Q46+'Scenario 1'!$AL$7*'LCOE &amp; CO2 Scaled'!$D$98</f>
        <v>68.152351835305822</v>
      </c>
      <c r="R17" s="100">
        <f>$AL$5*'LCOE &amp; CO2 Scaled'!R46+'Scenario 1'!$AL$6*'Capital Employed Scaled'!R46+'Scenario 1'!$AL$7*'LCOE &amp; CO2 Scaled'!$D$98</f>
        <v>68.078042383545778</v>
      </c>
      <c r="S17" s="100">
        <f>$AL$5*'LCOE &amp; CO2 Scaled'!S46+'Scenario 1'!$AL$6*'Capital Employed Scaled'!S46+'Scenario 1'!$AL$7*'LCOE &amp; CO2 Scaled'!$D$98</f>
        <v>68.003556976187838</v>
      </c>
      <c r="T17" s="100">
        <f>$AL$5*'LCOE &amp; CO2 Scaled'!T46+'Scenario 1'!$AL$6*'Capital Employed Scaled'!T46+'Scenario 1'!$AL$7*'LCOE &amp; CO2 Scaled'!$D$98</f>
        <v>67.928894526591463</v>
      </c>
      <c r="U17" s="100">
        <f>$AL$5*'LCOE &amp; CO2 Scaled'!U46+'Scenario 1'!$AL$6*'Capital Employed Scaled'!U46+'Scenario 1'!$AL$7*'LCOE &amp; CO2 Scaled'!$D$98</f>
        <v>67.854053939663942</v>
      </c>
      <c r="V17" s="100">
        <f>$AL$5*'LCOE &amp; CO2 Scaled'!V46+'Scenario 1'!$AL$6*'Capital Employed Scaled'!V46+'Scenario 1'!$AL$7*'LCOE &amp; CO2 Scaled'!$D$98</f>
        <v>67.779034111777605</v>
      </c>
      <c r="W17" s="100">
        <f>$AL$5*'LCOE &amp; CO2 Scaled'!W46+'Scenario 1'!$AL$6*'Capital Employed Scaled'!W46+'Scenario 1'!$AL$7*'LCOE &amp; CO2 Scaled'!$D$98</f>
        <v>67.70383393068613</v>
      </c>
      <c r="X17" s="100">
        <f>$AL$5*'LCOE &amp; CO2 Scaled'!X46+'Scenario 1'!$AL$6*'Capital Employed Scaled'!X46+'Scenario 1'!$AL$7*'LCOE &amp; CO2 Scaled'!$D$98</f>
        <v>67.628452275439813</v>
      </c>
      <c r="Y17" s="100">
        <f>$AL$5*'LCOE &amp; CO2 Scaled'!Y46+'Scenario 1'!$AL$6*'Capital Employed Scaled'!Y46+'Scenario 1'!$AL$7*'LCOE &amp; CO2 Scaled'!$D$98</f>
        <v>67.552888016299889</v>
      </c>
      <c r="Z17" s="100">
        <f>$AL$5*'LCOE &amp; CO2 Scaled'!Z46+'Scenario 1'!$AL$6*'Capital Employed Scaled'!Z46+'Scenario 1'!$AL$7*'LCOE &amp; CO2 Scaled'!$D$98</f>
        <v>67.477140014651795</v>
      </c>
      <c r="AA17" s="100">
        <f>$AL$5*'LCOE &amp; CO2 Scaled'!AA46+'Scenario 1'!$AL$6*'Capital Employed Scaled'!AA46+'Scenario 1'!$AL$7*'LCOE &amp; CO2 Scaled'!$D$98</f>
        <v>67.401207122917313</v>
      </c>
      <c r="AB17" s="100">
        <f>$AL$5*'LCOE &amp; CO2 Scaled'!AB46+'Scenario 1'!$AL$6*'Capital Employed Scaled'!AB46+'Scenario 1'!$AL$7*'LCOE &amp; CO2 Scaled'!$D$98</f>
        <v>67.325088184465969</v>
      </c>
      <c r="AC17" s="100">
        <f>$AL$5*'LCOE &amp; CO2 Scaled'!AC46+'Scenario 1'!$AL$6*'Capital Employed Scaled'!AC46+'Scenario 1'!$AL$7*'LCOE &amp; CO2 Scaled'!$D$98</f>
        <v>67.248782033525003</v>
      </c>
      <c r="AD17" s="100">
        <f>$AL$5*'LCOE &amp; CO2 Scaled'!AD46+'Scenario 1'!$AL$6*'Capital Employed Scaled'!AD46+'Scenario 1'!$AL$7*'LCOE &amp; CO2 Scaled'!$D$98</f>
        <v>67.172287495088483</v>
      </c>
      <c r="AE17" s="100">
        <f>$AL$5*'LCOE &amp; CO2 Scaled'!AE46+'Scenario 1'!$AL$6*'Capital Employed Scaled'!AE46+'Scenario 1'!$AL$7*'LCOE &amp; CO2 Scaled'!$D$98</f>
        <v>67.095603384825395</v>
      </c>
      <c r="AF17" s="100">
        <f>$AL$5*'LCOE &amp; CO2 Scaled'!AF46+'Scenario 1'!$AL$6*'Capital Employed Scaled'!AF46+'Scenario 1'!$AL$7*'LCOE &amp; CO2 Scaled'!$D$98</f>
        <v>67.018728508986356</v>
      </c>
      <c r="AG17" s="100">
        <f>$AL$5*'LCOE &amp; CO2 Scaled'!AG46+'Scenario 1'!$AL$6*'Capital Employed Scaled'!AG46+'Scenario 1'!$AL$7*'LCOE &amp; CO2 Scaled'!$D$98</f>
        <v>66.941661664309493</v>
      </c>
      <c r="AH17" s="100">
        <f>$AL$5*'LCOE &amp; CO2 Scaled'!AH46+'Scenario 1'!$AL$6*'Capital Employed Scaled'!AH46+'Scenario 1'!$AL$7*'LCOE &amp; CO2 Scaled'!$D$98</f>
        <v>66.864401637925056</v>
      </c>
      <c r="AI17" s="118" t="s">
        <v>103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</row>
    <row r="18" spans="1:82">
      <c r="A18" s="1"/>
      <c r="B18" s="1" t="s">
        <v>124</v>
      </c>
      <c r="C18" s="6">
        <f>SUM(C5:C17)</f>
        <v>738.29779269340941</v>
      </c>
      <c r="D18" s="6">
        <f t="shared" ref="D18:AH18" si="0">SUM(D5:D17)</f>
        <v>739.26074608204215</v>
      </c>
      <c r="E18" s="6">
        <f t="shared" si="0"/>
        <v>739.04418171656698</v>
      </c>
      <c r="F18" s="6">
        <f t="shared" si="0"/>
        <v>738.87992522727484</v>
      </c>
      <c r="G18" s="6">
        <f t="shared" si="0"/>
        <v>738.76721702938369</v>
      </c>
      <c r="H18" s="6">
        <f t="shared" si="0"/>
        <v>738.70532597312274</v>
      </c>
      <c r="I18" s="6">
        <f t="shared" si="0"/>
        <v>738.69354839169489</v>
      </c>
      <c r="J18" s="6">
        <f t="shared" si="0"/>
        <v>738.73120718851021</v>
      </c>
      <c r="K18" s="6">
        <f t="shared" si="0"/>
        <v>738.81765096220317</v>
      </c>
      <c r="L18" s="6">
        <f t="shared" si="0"/>
        <v>738.95225316798314</v>
      </c>
      <c r="M18" s="6">
        <f t="shared" si="0"/>
        <v>739.13441131390471</v>
      </c>
      <c r="N18" s="6">
        <f t="shared" si="0"/>
        <v>774.43396227872358</v>
      </c>
      <c r="O18" s="6">
        <f t="shared" si="0"/>
        <v>774.64657576782656</v>
      </c>
      <c r="P18" s="6">
        <f t="shared" si="0"/>
        <v>774.85912026651988</v>
      </c>
      <c r="Q18" s="6">
        <f t="shared" si="0"/>
        <v>775.0716068059985</v>
      </c>
      <c r="R18" s="6">
        <f t="shared" si="0"/>
        <v>775.28404631723197</v>
      </c>
      <c r="S18" s="6">
        <f t="shared" si="0"/>
        <v>775.49644963463811</v>
      </c>
      <c r="T18" s="6">
        <f t="shared" si="0"/>
        <v>775.70882749964551</v>
      </c>
      <c r="U18" s="6">
        <f t="shared" si="0"/>
        <v>775.92119056415197</v>
      </c>
      <c r="V18" s="6">
        <f t="shared" si="0"/>
        <v>776.1335493938808</v>
      </c>
      <c r="W18" s="6">
        <f t="shared" si="0"/>
        <v>776.34591447163916</v>
      </c>
      <c r="X18" s="6">
        <f t="shared" si="0"/>
        <v>776.55829620048451</v>
      </c>
      <c r="Y18" s="6">
        <f t="shared" si="0"/>
        <v>776.77070490680126</v>
      </c>
      <c r="Z18" s="6">
        <f t="shared" si="0"/>
        <v>776.9831508432917</v>
      </c>
      <c r="AA18" s="6">
        <f t="shared" si="0"/>
        <v>777.19564419188293</v>
      </c>
      <c r="AB18" s="6">
        <f t="shared" si="0"/>
        <v>777.4081950665593</v>
      </c>
      <c r="AC18" s="6">
        <f t="shared" si="0"/>
        <v>777.62081351611357</v>
      </c>
      <c r="AD18" s="6">
        <f t="shared" si="0"/>
        <v>777.83350952682918</v>
      </c>
      <c r="AE18" s="6">
        <f t="shared" si="0"/>
        <v>778.04629302509102</v>
      </c>
      <c r="AF18" s="6">
        <f t="shared" si="0"/>
        <v>778.25917387993013</v>
      </c>
      <c r="AG18" s="6">
        <f t="shared" si="0"/>
        <v>778.47216190550398</v>
      </c>
      <c r="AH18" s="6">
        <f t="shared" si="0"/>
        <v>778.68526686351242</v>
      </c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</row>
    <row r="19" spans="1:82">
      <c r="A19" s="1"/>
      <c r="AJ19" s="1"/>
      <c r="AK19" s="1"/>
      <c r="AL19" s="1"/>
      <c r="AQ19" s="1"/>
      <c r="AR19" s="1"/>
      <c r="AS19" s="1"/>
      <c r="AT19" s="1"/>
      <c r="AU19" s="1"/>
      <c r="AV19" s="1"/>
      <c r="AW19" s="1"/>
      <c r="AX19" s="1"/>
      <c r="AY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</row>
    <row r="20" spans="1:82">
      <c r="A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</row>
    <row r="21" spans="1:82">
      <c r="A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</row>
    <row r="22" spans="1:82">
      <c r="A22" s="1"/>
      <c r="B22" s="118" t="s">
        <v>173</v>
      </c>
      <c r="C22" s="118">
        <v>2019</v>
      </c>
      <c r="D22" s="118">
        <v>2020</v>
      </c>
      <c r="E22" s="118">
        <v>2021</v>
      </c>
      <c r="F22" s="118">
        <v>2022</v>
      </c>
      <c r="G22" s="118">
        <v>2023</v>
      </c>
      <c r="H22" s="118">
        <v>2024</v>
      </c>
      <c r="I22" s="118">
        <v>2025</v>
      </c>
      <c r="J22" s="118">
        <v>2026</v>
      </c>
      <c r="K22" s="118">
        <v>2027</v>
      </c>
      <c r="L22" s="118">
        <v>2028</v>
      </c>
      <c r="M22" s="118">
        <v>2029</v>
      </c>
      <c r="N22" s="118">
        <v>2030</v>
      </c>
      <c r="O22" s="118">
        <v>2031</v>
      </c>
      <c r="P22" s="118">
        <v>2032</v>
      </c>
      <c r="Q22" s="118">
        <v>2033</v>
      </c>
      <c r="R22" s="118">
        <v>2034</v>
      </c>
      <c r="S22" s="118">
        <v>2035</v>
      </c>
      <c r="T22" s="118">
        <v>2036</v>
      </c>
      <c r="U22" s="118">
        <v>2037</v>
      </c>
      <c r="V22" s="118">
        <v>2038</v>
      </c>
      <c r="W22" s="118">
        <v>2039</v>
      </c>
      <c r="X22" s="118">
        <v>2040</v>
      </c>
      <c r="Y22" s="118">
        <v>2041</v>
      </c>
      <c r="Z22" s="118">
        <v>2042</v>
      </c>
      <c r="AA22" s="118">
        <v>2043</v>
      </c>
      <c r="AB22" s="118">
        <v>2044</v>
      </c>
      <c r="AC22" s="118">
        <v>2045</v>
      </c>
      <c r="AD22" s="118">
        <v>2046</v>
      </c>
      <c r="AE22" s="118">
        <v>2047</v>
      </c>
      <c r="AF22" s="118">
        <v>2048</v>
      </c>
      <c r="AG22" s="118">
        <v>2049</v>
      </c>
      <c r="AH22" s="118">
        <v>2050</v>
      </c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</row>
    <row r="23" spans="1:82">
      <c r="A23" s="1"/>
      <c r="B23" s="118">
        <v>1</v>
      </c>
      <c r="C23" s="77">
        <f t="shared" ref="C23:C35" si="1">LARGE($C$5:$C$17,B23)</f>
        <v>99.114615203577316</v>
      </c>
      <c r="D23" s="77">
        <f t="shared" ref="D23:D35" si="2">LARGE($D$5:$D$17,B23)</f>
        <v>98.691570123425649</v>
      </c>
      <c r="E23" s="77">
        <f t="shared" ref="E23:E35" si="3">LARGE($E$5:$E$17,B23)</f>
        <v>98.140614434778996</v>
      </c>
      <c r="F23" s="77">
        <f t="shared" ref="F23:F35" si="4">LARGE($F$5:$F$17,B23)</f>
        <v>97.599023252642723</v>
      </c>
      <c r="G23" s="77">
        <f t="shared" ref="G23:G35" si="5">LARGE($G$5:$G$17,B23)</f>
        <v>97.066559007683864</v>
      </c>
      <c r="H23" s="77">
        <f t="shared" ref="H23:H35" si="6">LARGE($H$5:$H$17,B23)</f>
        <v>97.257988499818111</v>
      </c>
      <c r="I23" s="77">
        <f t="shared" ref="I23:I32" si="7">LARGE($I$5:$I$17,B23)</f>
        <v>97.738701841907471</v>
      </c>
      <c r="J23" s="77">
        <f t="shared" ref="J23:J35" si="8">LARGE($J$5:$J$17,B23)</f>
        <v>98.222340582441532</v>
      </c>
      <c r="K23" s="77">
        <f t="shared" ref="K23:K35" si="9">LARGE($K$5:$K$17,B23)</f>
        <v>98.708931506849325</v>
      </c>
      <c r="L23" s="77">
        <f t="shared" ref="L23:L35" si="10">LARGE($L$5:$L$17,B23)</f>
        <v>99.198501728563343</v>
      </c>
      <c r="M23" s="77">
        <f t="shared" ref="M23:M35" si="11">LARGE($M$5:$M$17,B23)</f>
        <v>99.691078694055761</v>
      </c>
      <c r="N23" s="77">
        <f t="shared" ref="N23:N35" si="12">LARGE($N$5:$N$17,B23)</f>
        <v>100</v>
      </c>
      <c r="O23" s="77">
        <f t="shared" ref="O23:O35" si="13">LARGE($O$5:$O$17,B23)</f>
        <v>100</v>
      </c>
      <c r="P23" s="77">
        <f t="shared" ref="P23:P35" si="14">LARGE($P$5:$P$17,B23)</f>
        <v>100</v>
      </c>
      <c r="Q23" s="77">
        <f t="shared" ref="Q23:Q35" si="15">LARGE($Q$5:$Q$17,B23)</f>
        <v>100</v>
      </c>
      <c r="R23" s="77">
        <f t="shared" ref="R23:R35" si="16">LARGE($R$5:$R$17,B23)</f>
        <v>100</v>
      </c>
      <c r="S23" s="77">
        <f t="shared" ref="S23:S35" si="17">LARGE($S$5:$S$17,B23)</f>
        <v>100</v>
      </c>
      <c r="T23" s="77">
        <f t="shared" ref="T23:T35" si="18">LARGE($T$5:$T$17,B23)</f>
        <v>100</v>
      </c>
      <c r="U23" s="77">
        <f t="shared" ref="U23:U35" si="19">LARGE($U$5:$U$17,B23)</f>
        <v>100</v>
      </c>
      <c r="V23" s="77">
        <f t="shared" ref="V23:V35" si="20">LARGE($V$5:$V$17,B23)</f>
        <v>100</v>
      </c>
      <c r="W23" s="77">
        <f t="shared" ref="W23:W35" si="21">LARGE($W$5:$W$17,B23)</f>
        <v>100</v>
      </c>
      <c r="X23" s="77">
        <f t="shared" ref="X23:X35" si="22">LARGE($X$5:$X$17,B23)</f>
        <v>100</v>
      </c>
      <c r="Y23" s="77">
        <f t="shared" ref="Y23:Y35" si="23">LARGE($Y$5:$Y$17,B23)</f>
        <v>100</v>
      </c>
      <c r="Z23" s="77">
        <f t="shared" ref="Z23:Z35" si="24">LARGE($Z$5:$Z$17,B23)</f>
        <v>100</v>
      </c>
      <c r="AA23" s="77">
        <f t="shared" ref="AA23:AA35" si="25">LARGE($AA$5:$AA$17,B23)</f>
        <v>100</v>
      </c>
      <c r="AB23" s="77">
        <f t="shared" ref="AB23:AB35" si="26">LARGE($AB$5:$AB$17,B23)</f>
        <v>100</v>
      </c>
      <c r="AC23" s="77">
        <f t="shared" ref="AC23:AC35" si="27">LARGE($AC$5:$AC$17,B23)</f>
        <v>100</v>
      </c>
      <c r="AD23" s="77">
        <f t="shared" ref="AD23:AD35" si="28">LARGE($AD$5:$AD$17,B23)</f>
        <v>100</v>
      </c>
      <c r="AE23" s="77">
        <f t="shared" ref="AE23:AE35" si="29">LARGE($AE$5:$AE$17,B23)</f>
        <v>100</v>
      </c>
      <c r="AF23" s="77">
        <f t="shared" ref="AF23:AF35" si="30">LARGE($AF$5:$AF$17,B23)</f>
        <v>100</v>
      </c>
      <c r="AG23" s="77">
        <f t="shared" ref="AG23:AG35" si="31">LARGE($AG$5:$AG$17,B23)</f>
        <v>100</v>
      </c>
      <c r="AH23" s="77">
        <f t="shared" ref="AH23:AH35" si="32">LARGE($AH$5:$AH$17,B23)</f>
        <v>100</v>
      </c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</row>
    <row r="24" spans="1:82">
      <c r="A24" s="1"/>
      <c r="B24" s="118">
        <v>2</v>
      </c>
      <c r="C24" s="77">
        <f t="shared" si="1"/>
        <v>94.758633248016366</v>
      </c>
      <c r="D24" s="77">
        <f t="shared" si="2"/>
        <v>95.363864613007593</v>
      </c>
      <c r="E24" s="77">
        <f t="shared" si="3"/>
        <v>95.833137826756058</v>
      </c>
      <c r="F24" s="77">
        <f t="shared" si="4"/>
        <v>96.305232479693444</v>
      </c>
      <c r="G24" s="77">
        <f t="shared" si="5"/>
        <v>96.780174093802771</v>
      </c>
      <c r="H24" s="77">
        <f t="shared" si="6"/>
        <v>96.542992089179023</v>
      </c>
      <c r="I24" s="77">
        <f t="shared" si="7"/>
        <v>96.028100514366372</v>
      </c>
      <c r="J24" s="77">
        <f t="shared" si="8"/>
        <v>95.521669614143761</v>
      </c>
      <c r="K24" s="77">
        <f t="shared" si="9"/>
        <v>95.023491734177384</v>
      </c>
      <c r="L24" s="77">
        <f t="shared" si="10"/>
        <v>94.533365950547278</v>
      </c>
      <c r="M24" s="77">
        <f t="shared" si="11"/>
        <v>94.051097799110607</v>
      </c>
      <c r="N24" s="77">
        <f t="shared" si="12"/>
        <v>97.708162908499375</v>
      </c>
      <c r="O24" s="77">
        <f t="shared" si="13"/>
        <v>97.703157704007182</v>
      </c>
      <c r="P24" s="77">
        <f t="shared" si="14"/>
        <v>97.698046788558486</v>
      </c>
      <c r="Q24" s="77">
        <f t="shared" si="15"/>
        <v>97.692829591267156</v>
      </c>
      <c r="R24" s="77">
        <f t="shared" si="16"/>
        <v>97.687505536782467</v>
      </c>
      <c r="S24" s="77">
        <f t="shared" si="17"/>
        <v>97.682074045245685</v>
      </c>
      <c r="T24" s="77">
        <f t="shared" si="18"/>
        <v>97.676534532246137</v>
      </c>
      <c r="U24" s="77">
        <f t="shared" si="19"/>
        <v>97.670886408776809</v>
      </c>
      <c r="V24" s="77">
        <f t="shared" si="20"/>
        <v>97.665129081189335</v>
      </c>
      <c r="W24" s="77">
        <f t="shared" si="21"/>
        <v>97.659261951148522</v>
      </c>
      <c r="X24" s="77">
        <f t="shared" si="22"/>
        <v>97.653284415586398</v>
      </c>
      <c r="Y24" s="77">
        <f t="shared" si="23"/>
        <v>97.647195866655522</v>
      </c>
      <c r="Z24" s="77">
        <f t="shared" si="24"/>
        <v>97.640995691681979</v>
      </c>
      <c r="AA24" s="77">
        <f t="shared" si="25"/>
        <v>97.634683273117645</v>
      </c>
      <c r="AB24" s="77">
        <f t="shared" si="26"/>
        <v>97.628257988491953</v>
      </c>
      <c r="AC24" s="77">
        <f t="shared" si="27"/>
        <v>97.62171921036304</v>
      </c>
      <c r="AD24" s="77">
        <f t="shared" si="28"/>
        <v>97.615066306268432</v>
      </c>
      <c r="AE24" s="77">
        <f t="shared" si="29"/>
        <v>97.608298638674995</v>
      </c>
      <c r="AF24" s="77">
        <f t="shared" si="30"/>
        <v>97.601415564928345</v>
      </c>
      <c r="AG24" s="77">
        <f t="shared" si="31"/>
        <v>97.594416437201644</v>
      </c>
      <c r="AH24" s="77">
        <f t="shared" si="32"/>
        <v>97.587300602443804</v>
      </c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</row>
    <row r="25" spans="1:82">
      <c r="A25" s="1"/>
      <c r="B25" s="118">
        <v>3</v>
      </c>
      <c r="C25" s="77">
        <f t="shared" si="1"/>
        <v>93.011776437333623</v>
      </c>
      <c r="D25" s="77">
        <f t="shared" si="2"/>
        <v>92.703695621421517</v>
      </c>
      <c r="E25" s="77">
        <f t="shared" si="3"/>
        <v>92.268641586539331</v>
      </c>
      <c r="F25" s="77">
        <f t="shared" si="4"/>
        <v>91.838123870644907</v>
      </c>
      <c r="G25" s="77">
        <f t="shared" si="5"/>
        <v>91.412067406932891</v>
      </c>
      <c r="H25" s="77">
        <f t="shared" si="6"/>
        <v>90.990397061054864</v>
      </c>
      <c r="I25" s="77">
        <f t="shared" si="7"/>
        <v>90.573037770927215</v>
      </c>
      <c r="J25" s="77">
        <f t="shared" si="8"/>
        <v>90.159914670144772</v>
      </c>
      <c r="K25" s="77">
        <f t="shared" si="9"/>
        <v>89.750953196674644</v>
      </c>
      <c r="L25" s="77">
        <f t="shared" si="10"/>
        <v>89.346079188331501</v>
      </c>
      <c r="M25" s="77">
        <f t="shared" si="11"/>
        <v>88.945218966380224</v>
      </c>
      <c r="N25" s="77">
        <f t="shared" si="12"/>
        <v>92.6696172439907</v>
      </c>
      <c r="O25" s="77">
        <f t="shared" si="13"/>
        <v>92.577939005273734</v>
      </c>
      <c r="P25" s="77">
        <f t="shared" si="14"/>
        <v>92.485697998006685</v>
      </c>
      <c r="Q25" s="77">
        <f t="shared" si="15"/>
        <v>92.392897240534651</v>
      </c>
      <c r="R25" s="77">
        <f t="shared" si="16"/>
        <v>92.29953962587453</v>
      </c>
      <c r="S25" s="77">
        <f t="shared" si="17"/>
        <v>92.205627924817932</v>
      </c>
      <c r="T25" s="77">
        <f t="shared" si="18"/>
        <v>92.111164788920462</v>
      </c>
      <c r="U25" s="77">
        <f t="shared" si="19"/>
        <v>92.016152753382173</v>
      </c>
      <c r="V25" s="77">
        <f t="shared" si="20"/>
        <v>91.920594239823188</v>
      </c>
      <c r="W25" s="77">
        <f t="shared" si="21"/>
        <v>91.824491558958627</v>
      </c>
      <c r="X25" s="77">
        <f t="shared" si="22"/>
        <v>91.727846913176876</v>
      </c>
      <c r="Y25" s="77">
        <f t="shared" si="23"/>
        <v>91.630662399024658</v>
      </c>
      <c r="Z25" s="77">
        <f t="shared" si="24"/>
        <v>91.532940009602612</v>
      </c>
      <c r="AA25" s="77">
        <f t="shared" si="25"/>
        <v>91.434681636874743</v>
      </c>
      <c r="AB25" s="77">
        <f t="shared" si="26"/>
        <v>91.335889073894862</v>
      </c>
      <c r="AC25" s="77">
        <f t="shared" si="27"/>
        <v>91.236564016953423</v>
      </c>
      <c r="AD25" s="77">
        <f t="shared" si="28"/>
        <v>91.136708067647106</v>
      </c>
      <c r="AE25" s="77">
        <f t="shared" si="29"/>
        <v>91.036322734874801</v>
      </c>
      <c r="AF25" s="77">
        <f t="shared" si="30"/>
        <v>90.935409436761873</v>
      </c>
      <c r="AG25" s="77">
        <f t="shared" si="31"/>
        <v>90.833969502515799</v>
      </c>
      <c r="AH25" s="77">
        <f t="shared" si="32"/>
        <v>90.732004174215575</v>
      </c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</row>
    <row r="26" spans="1:82">
      <c r="A26" s="1"/>
      <c r="B26" s="118">
        <v>4</v>
      </c>
      <c r="C26" s="77">
        <f t="shared" si="1"/>
        <v>75.212986407667344</v>
      </c>
      <c r="D26" s="77">
        <f t="shared" si="2"/>
        <v>75.009768065791746</v>
      </c>
      <c r="E26" s="77">
        <f t="shared" si="3"/>
        <v>74.689646687230606</v>
      </c>
      <c r="F26" s="77">
        <f t="shared" si="4"/>
        <v>74.376590526330503</v>
      </c>
      <c r="G26" s="77">
        <f t="shared" si="5"/>
        <v>74.070433628391811</v>
      </c>
      <c r="H26" s="77">
        <f t="shared" si="6"/>
        <v>73.771015801742351</v>
      </c>
      <c r="I26" s="77">
        <f t="shared" si="7"/>
        <v>73.478182379527681</v>
      </c>
      <c r="J26" s="77">
        <f t="shared" si="8"/>
        <v>73.191783993390828</v>
      </c>
      <c r="K26" s="77">
        <f t="shared" si="9"/>
        <v>72.911676358358363</v>
      </c>
      <c r="L26" s="77">
        <f t="shared" si="10"/>
        <v>72.637720068294527</v>
      </c>
      <c r="M26" s="77">
        <f t="shared" si="11"/>
        <v>72.369780401326153</v>
      </c>
      <c r="N26" s="77">
        <f t="shared" si="12"/>
        <v>76.007440104916213</v>
      </c>
      <c r="O26" s="77">
        <f t="shared" si="13"/>
        <v>75.904924445950357</v>
      </c>
      <c r="P26" s="77">
        <f t="shared" si="14"/>
        <v>75.80215669269883</v>
      </c>
      <c r="Q26" s="77">
        <f t="shared" si="15"/>
        <v>75.699135305825365</v>
      </c>
      <c r="R26" s="77">
        <f t="shared" si="16"/>
        <v>75.595858734085027</v>
      </c>
      <c r="S26" s="77">
        <f t="shared" si="17"/>
        <v>75.492325414208253</v>
      </c>
      <c r="T26" s="77">
        <f t="shared" si="18"/>
        <v>75.388533770783681</v>
      </c>
      <c r="U26" s="77">
        <f t="shared" si="19"/>
        <v>75.284482216139452</v>
      </c>
      <c r="V26" s="77">
        <f t="shared" si="20"/>
        <v>75.180169150223122</v>
      </c>
      <c r="W26" s="77">
        <f t="shared" si="21"/>
        <v>75.075592960480364</v>
      </c>
      <c r="X26" s="77">
        <f t="shared" si="22"/>
        <v>74.970752021731926</v>
      </c>
      <c r="Y26" s="77">
        <f t="shared" si="23"/>
        <v>74.912802893718919</v>
      </c>
      <c r="Z26" s="77">
        <f t="shared" si="24"/>
        <v>74.901397385522912</v>
      </c>
      <c r="AA26" s="77">
        <f t="shared" si="25"/>
        <v>74.889996349094119</v>
      </c>
      <c r="AB26" s="77">
        <f t="shared" si="26"/>
        <v>74.878599785888682</v>
      </c>
      <c r="AC26" s="77">
        <f t="shared" si="27"/>
        <v>74.867207697391194</v>
      </c>
      <c r="AD26" s="77">
        <f t="shared" si="28"/>
        <v>74.855820085115113</v>
      </c>
      <c r="AE26" s="77">
        <f t="shared" si="29"/>
        <v>74.844436950602926</v>
      </c>
      <c r="AF26" s="77">
        <f t="shared" si="30"/>
        <v>74.833058295426468</v>
      </c>
      <c r="AG26" s="77">
        <f t="shared" si="31"/>
        <v>74.821684121187218</v>
      </c>
      <c r="AH26" s="77">
        <f t="shared" si="32"/>
        <v>74.810314429516495</v>
      </c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</row>
    <row r="27" spans="1:82">
      <c r="A27" s="1"/>
      <c r="B27" s="118">
        <v>5</v>
      </c>
      <c r="C27" s="77">
        <f t="shared" si="1"/>
        <v>74.724515009252173</v>
      </c>
      <c r="D27" s="77">
        <f t="shared" si="2"/>
        <v>74.490099689040619</v>
      </c>
      <c r="E27" s="77">
        <f t="shared" si="3"/>
        <v>74.142874884832864</v>
      </c>
      <c r="F27" s="77">
        <f t="shared" si="4"/>
        <v>73.802069613337153</v>
      </c>
      <c r="G27" s="77">
        <f t="shared" si="5"/>
        <v>73.46752442217398</v>
      </c>
      <c r="H27" s="77">
        <f t="shared" si="6"/>
        <v>73.139085283392973</v>
      </c>
      <c r="I27" s="77">
        <f t="shared" si="7"/>
        <v>72.816603367612402</v>
      </c>
      <c r="J27" s="77">
        <f t="shared" si="8"/>
        <v>72.499934829401411</v>
      </c>
      <c r="K27" s="77">
        <f t="shared" si="9"/>
        <v>72.188940603258814</v>
      </c>
      <c r="L27" s="77">
        <f t="shared" si="10"/>
        <v>71.883486209583779</v>
      </c>
      <c r="M27" s="77">
        <f t="shared" si="11"/>
        <v>71.58344157007366</v>
      </c>
      <c r="N27" s="77">
        <f t="shared" si="12"/>
        <v>75.03855823183261</v>
      </c>
      <c r="O27" s="77">
        <f t="shared" si="13"/>
        <v>75.027103622402876</v>
      </c>
      <c r="P27" s="77">
        <f t="shared" si="14"/>
        <v>75.015653470531817</v>
      </c>
      <c r="Q27" s="77">
        <f t="shared" si="15"/>
        <v>75.004207777378667</v>
      </c>
      <c r="R27" s="77">
        <f t="shared" si="16"/>
        <v>74.992766544128401</v>
      </c>
      <c r="S27" s="77">
        <f t="shared" si="17"/>
        <v>74.981329771992037</v>
      </c>
      <c r="T27" s="77">
        <f t="shared" si="18"/>
        <v>74.969897462206831</v>
      </c>
      <c r="U27" s="77">
        <f t="shared" si="19"/>
        <v>74.958469616036496</v>
      </c>
      <c r="V27" s="77">
        <f t="shared" si="20"/>
        <v>74.947046234771477</v>
      </c>
      <c r="W27" s="77">
        <f t="shared" si="21"/>
        <v>74.935627319729221</v>
      </c>
      <c r="X27" s="77">
        <f t="shared" si="22"/>
        <v>74.924212872254316</v>
      </c>
      <c r="Y27" s="77">
        <f t="shared" si="23"/>
        <v>74.865644696049429</v>
      </c>
      <c r="Z27" s="77">
        <f t="shared" si="24"/>
        <v>74.760269332629562</v>
      </c>
      <c r="AA27" s="77">
        <f t="shared" si="25"/>
        <v>74.654624267666662</v>
      </c>
      <c r="AB27" s="77">
        <f t="shared" si="26"/>
        <v>74.548707824224081</v>
      </c>
      <c r="AC27" s="77">
        <f t="shared" si="27"/>
        <v>74.442518312103715</v>
      </c>
      <c r="AD27" s="77">
        <f t="shared" si="28"/>
        <v>74.336054027714226</v>
      </c>
      <c r="AE27" s="77">
        <f t="shared" si="29"/>
        <v>74.229313253937477</v>
      </c>
      <c r="AF27" s="77">
        <f t="shared" si="30"/>
        <v>74.122294259993495</v>
      </c>
      <c r="AG27" s="77">
        <f t="shared" si="31"/>
        <v>74.014995301303827</v>
      </c>
      <c r="AH27" s="77">
        <f t="shared" si="32"/>
        <v>73.907414619353133</v>
      </c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</row>
    <row r="28" spans="1:82">
      <c r="A28" s="1"/>
      <c r="B28" s="118">
        <v>6</v>
      </c>
      <c r="C28" s="77">
        <f t="shared" si="1"/>
        <v>68.844457888052801</v>
      </c>
      <c r="D28" s="77">
        <f t="shared" si="2"/>
        <v>68.512931891799653</v>
      </c>
      <c r="E28" s="77">
        <f t="shared" si="3"/>
        <v>68.058568341821172</v>
      </c>
      <c r="F28" s="77">
        <f t="shared" si="4"/>
        <v>67.611164451472192</v>
      </c>
      <c r="G28" s="77">
        <f t="shared" si="5"/>
        <v>67.170535373013337</v>
      </c>
      <c r="H28" s="77">
        <f t="shared" si="6"/>
        <v>66.736502399581667</v>
      </c>
      <c r="I28" s="77">
        <f t="shared" si="7"/>
        <v>66.308892707301084</v>
      </c>
      <c r="J28" s="77">
        <f t="shared" si="8"/>
        <v>65.887539110190431</v>
      </c>
      <c r="K28" s="77">
        <f t="shared" si="9"/>
        <v>65.4722798271317</v>
      </c>
      <c r="L28" s="77">
        <f t="shared" si="10"/>
        <v>65.062958260210664</v>
      </c>
      <c r="M28" s="77">
        <f t="shared" si="11"/>
        <v>64.659422783784748</v>
      </c>
      <c r="N28" s="77">
        <f t="shared" si="12"/>
        <v>68.992733074227772</v>
      </c>
      <c r="O28" s="77">
        <f t="shared" si="13"/>
        <v>69.186117706440825</v>
      </c>
      <c r="P28" s="77">
        <f t="shared" si="14"/>
        <v>69.379453539009802</v>
      </c>
      <c r="Q28" s="77">
        <f t="shared" si="15"/>
        <v>69.572745487241122</v>
      </c>
      <c r="R28" s="77">
        <f t="shared" si="16"/>
        <v>69.765998467441619</v>
      </c>
      <c r="S28" s="77">
        <f t="shared" si="17"/>
        <v>69.959217397254818</v>
      </c>
      <c r="T28" s="77">
        <f t="shared" si="18"/>
        <v>70.152407195997597</v>
      </c>
      <c r="U28" s="77">
        <f t="shared" si="19"/>
        <v>70.34557278499733</v>
      </c>
      <c r="V28" s="77">
        <f t="shared" si="20"/>
        <v>70.53871908792982</v>
      </c>
      <c r="W28" s="77">
        <f t="shared" si="21"/>
        <v>70.731851031157618</v>
      </c>
      <c r="X28" s="77">
        <f t="shared" si="22"/>
        <v>70.92497354406936</v>
      </c>
      <c r="Y28" s="77">
        <f t="shared" si="23"/>
        <v>71.118091559419582</v>
      </c>
      <c r="Z28" s="77">
        <f t="shared" si="24"/>
        <v>71.311210013669509</v>
      </c>
      <c r="AA28" s="77">
        <f t="shared" si="25"/>
        <v>71.50433384732861</v>
      </c>
      <c r="AB28" s="77">
        <f t="shared" si="26"/>
        <v>71.697468005297068</v>
      </c>
      <c r="AC28" s="77">
        <f t="shared" si="27"/>
        <v>71.890617437209201</v>
      </c>
      <c r="AD28" s="77">
        <f t="shared" si="28"/>
        <v>72.083787097777957</v>
      </c>
      <c r="AE28" s="77">
        <f t="shared" si="29"/>
        <v>72.276981947140342</v>
      </c>
      <c r="AF28" s="77">
        <f t="shared" si="30"/>
        <v>72.470206951204048</v>
      </c>
      <c r="AG28" s="77">
        <f t="shared" si="31"/>
        <v>72.663467081995179</v>
      </c>
      <c r="AH28" s="77">
        <f t="shared" si="32"/>
        <v>72.856767318007201</v>
      </c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</row>
    <row r="29" spans="1:82">
      <c r="A29" s="1"/>
      <c r="B29" s="118">
        <v>7</v>
      </c>
      <c r="C29" s="77">
        <f t="shared" si="1"/>
        <v>67.130617824158932</v>
      </c>
      <c r="D29" s="77">
        <f t="shared" si="2"/>
        <v>66.860769401245363</v>
      </c>
      <c r="E29" s="77">
        <f t="shared" si="3"/>
        <v>66.465675995641277</v>
      </c>
      <c r="F29" s="77">
        <f t="shared" si="4"/>
        <v>66.077957756012808</v>
      </c>
      <c r="G29" s="77">
        <f t="shared" si="5"/>
        <v>65.697432080685303</v>
      </c>
      <c r="H29" s="77">
        <f t="shared" si="6"/>
        <v>65.323922587162571</v>
      </c>
      <c r="I29" s="77">
        <f t="shared" si="7"/>
        <v>64.957258853282482</v>
      </c>
      <c r="J29" s="77">
        <f t="shared" si="8"/>
        <v>64.597276171259409</v>
      </c>
      <c r="K29" s="77">
        <f t="shared" si="9"/>
        <v>64.243815313872304</v>
      </c>
      <c r="L29" s="77">
        <f t="shared" si="10"/>
        <v>63.896722312105908</v>
      </c>
      <c r="M29" s="77">
        <f t="shared" si="11"/>
        <v>64.515673138225168</v>
      </c>
      <c r="N29" s="77">
        <f t="shared" si="12"/>
        <v>68.374235198332428</v>
      </c>
      <c r="O29" s="77">
        <f t="shared" si="13"/>
        <v>68.300447176823383</v>
      </c>
      <c r="P29" s="77">
        <f t="shared" si="14"/>
        <v>68.226486409738172</v>
      </c>
      <c r="Q29" s="77">
        <f t="shared" si="15"/>
        <v>68.152351835305822</v>
      </c>
      <c r="R29" s="77">
        <f t="shared" si="16"/>
        <v>68.078042383545778</v>
      </c>
      <c r="S29" s="77">
        <f t="shared" si="17"/>
        <v>68.003556976187838</v>
      </c>
      <c r="T29" s="77">
        <f t="shared" si="18"/>
        <v>68.010336219390723</v>
      </c>
      <c r="U29" s="77">
        <f t="shared" si="19"/>
        <v>68.106924720723214</v>
      </c>
      <c r="V29" s="77">
        <f t="shared" si="20"/>
        <v>68.203910662428726</v>
      </c>
      <c r="W29" s="77">
        <f t="shared" si="21"/>
        <v>68.301296373050818</v>
      </c>
      <c r="X29" s="77">
        <f t="shared" si="22"/>
        <v>68.399084199442228</v>
      </c>
      <c r="Y29" s="77">
        <f t="shared" si="23"/>
        <v>68.497276506945155</v>
      </c>
      <c r="Z29" s="77">
        <f t="shared" si="24"/>
        <v>68.595875679573609</v>
      </c>
      <c r="AA29" s="77">
        <f t="shared" si="25"/>
        <v>68.694884120197983</v>
      </c>
      <c r="AB29" s="77">
        <f t="shared" si="26"/>
        <v>68.794304250731727</v>
      </c>
      <c r="AC29" s="77">
        <f t="shared" si="27"/>
        <v>68.894138512320382</v>
      </c>
      <c r="AD29" s="77">
        <f t="shared" si="28"/>
        <v>68.994389365532669</v>
      </c>
      <c r="AE29" s="77">
        <f t="shared" si="29"/>
        <v>69.095059290554104</v>
      </c>
      <c r="AF29" s="77">
        <f t="shared" si="30"/>
        <v>69.196150787382663</v>
      </c>
      <c r="AG29" s="77">
        <f t="shared" si="31"/>
        <v>69.297666376027166</v>
      </c>
      <c r="AH29" s="77">
        <f t="shared" si="32"/>
        <v>69.399608596707523</v>
      </c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</row>
    <row r="30" spans="1:82">
      <c r="B30" s="118">
        <v>8</v>
      </c>
      <c r="C30" s="77">
        <f t="shared" si="1"/>
        <v>65.083458428113374</v>
      </c>
      <c r="D30" s="77">
        <f t="shared" si="2"/>
        <v>64.924220342066434</v>
      </c>
      <c r="E30" s="77">
        <f t="shared" si="3"/>
        <v>64.645995326934965</v>
      </c>
      <c r="F30" s="77">
        <f t="shared" si="4"/>
        <v>64.37390397754497</v>
      </c>
      <c r="G30" s="77">
        <f t="shared" si="5"/>
        <v>64.10780217246419</v>
      </c>
      <c r="H30" s="77">
        <f t="shared" si="6"/>
        <v>63.847550794470649</v>
      </c>
      <c r="I30" s="77">
        <f t="shared" si="7"/>
        <v>63.593015523698909</v>
      </c>
      <c r="J30" s="77">
        <f t="shared" si="8"/>
        <v>63.344066641110558</v>
      </c>
      <c r="K30" s="77">
        <f t="shared" si="9"/>
        <v>63.100578841695693</v>
      </c>
      <c r="L30" s="77">
        <f t="shared" si="10"/>
        <v>63.462570835531508</v>
      </c>
      <c r="M30" s="77">
        <f t="shared" si="11"/>
        <v>63.555848243597424</v>
      </c>
      <c r="N30" s="77">
        <f t="shared" si="12"/>
        <v>67.439023323295075</v>
      </c>
      <c r="O30" s="77">
        <f t="shared" si="13"/>
        <v>67.533275078673412</v>
      </c>
      <c r="P30" s="77">
        <f t="shared" si="14"/>
        <v>67.62791067782527</v>
      </c>
      <c r="Q30" s="77">
        <f t="shared" si="15"/>
        <v>67.722932343107999</v>
      </c>
      <c r="R30" s="77">
        <f t="shared" si="16"/>
        <v>67.818342314150058</v>
      </c>
      <c r="S30" s="77">
        <f t="shared" si="17"/>
        <v>67.914142848018827</v>
      </c>
      <c r="T30" s="77">
        <f t="shared" si="18"/>
        <v>67.928894526591463</v>
      </c>
      <c r="U30" s="77">
        <f t="shared" si="19"/>
        <v>67.854053939663942</v>
      </c>
      <c r="V30" s="77">
        <f t="shared" si="20"/>
        <v>67.779034111777605</v>
      </c>
      <c r="W30" s="77">
        <f t="shared" si="21"/>
        <v>67.70383393068613</v>
      </c>
      <c r="X30" s="77">
        <f t="shared" si="22"/>
        <v>67.628452275439813</v>
      </c>
      <c r="Y30" s="77">
        <f t="shared" si="23"/>
        <v>67.552888016299889</v>
      </c>
      <c r="Z30" s="77">
        <f t="shared" si="24"/>
        <v>67.477140014651795</v>
      </c>
      <c r="AA30" s="77">
        <f t="shared" si="25"/>
        <v>67.401207122917313</v>
      </c>
      <c r="AB30" s="77">
        <f t="shared" si="26"/>
        <v>67.325088184465969</v>
      </c>
      <c r="AC30" s="77">
        <f t="shared" si="27"/>
        <v>67.248782033525003</v>
      </c>
      <c r="AD30" s="77">
        <f t="shared" si="28"/>
        <v>67.172287495088483</v>
      </c>
      <c r="AE30" s="77">
        <f t="shared" si="29"/>
        <v>67.095603384825395</v>
      </c>
      <c r="AF30" s="77">
        <f t="shared" si="30"/>
        <v>67.018728508986356</v>
      </c>
      <c r="AG30" s="77">
        <f t="shared" si="31"/>
        <v>67.230765829252306</v>
      </c>
      <c r="AH30" s="77">
        <f t="shared" si="32"/>
        <v>67.581227964432983</v>
      </c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</row>
    <row r="31" spans="1:82">
      <c r="B31" s="118">
        <v>9</v>
      </c>
      <c r="C31" s="77">
        <f t="shared" si="1"/>
        <v>53.813554376645016</v>
      </c>
      <c r="D31" s="77">
        <f t="shared" si="2"/>
        <v>54.978288282875937</v>
      </c>
      <c r="E31" s="77">
        <f t="shared" si="3"/>
        <v>56.047024866254745</v>
      </c>
      <c r="F31" s="77">
        <f t="shared" si="4"/>
        <v>57.112874481552083</v>
      </c>
      <c r="G31" s="77">
        <f t="shared" si="5"/>
        <v>58.176118511654984</v>
      </c>
      <c r="H31" s="77">
        <f t="shared" si="6"/>
        <v>59.237030445391198</v>
      </c>
      <c r="I31" s="77">
        <f t="shared" si="7"/>
        <v>60.295876245873266</v>
      </c>
      <c r="J31" s="77">
        <f t="shared" si="8"/>
        <v>61.352914700943373</v>
      </c>
      <c r="K31" s="77">
        <f t="shared" si="9"/>
        <v>62.408397756764103</v>
      </c>
      <c r="L31" s="77">
        <f t="shared" si="10"/>
        <v>62.862431056851371</v>
      </c>
      <c r="M31" s="77">
        <f t="shared" si="11"/>
        <v>62.629506285418017</v>
      </c>
      <c r="N31" s="77">
        <f t="shared" si="12"/>
        <v>66.43398491678326</v>
      </c>
      <c r="O31" s="77">
        <f t="shared" si="13"/>
        <v>66.311426303040633</v>
      </c>
      <c r="P31" s="77">
        <f t="shared" si="14"/>
        <v>66.188631764826141</v>
      </c>
      <c r="Q31" s="77">
        <f t="shared" si="15"/>
        <v>66.065599809255815</v>
      </c>
      <c r="R31" s="77">
        <f t="shared" si="16"/>
        <v>65.942328931930021</v>
      </c>
      <c r="S31" s="77">
        <f t="shared" si="17"/>
        <v>65.818817616821377</v>
      </c>
      <c r="T31" s="77">
        <f t="shared" si="18"/>
        <v>65.695064336161437</v>
      </c>
      <c r="U31" s="77">
        <f t="shared" si="19"/>
        <v>65.571067550325708</v>
      </c>
      <c r="V31" s="77">
        <f t="shared" si="20"/>
        <v>65.446825707717835</v>
      </c>
      <c r="W31" s="77">
        <f t="shared" si="21"/>
        <v>65.322337244651891</v>
      </c>
      <c r="X31" s="77">
        <f t="shared" si="22"/>
        <v>65.197600585233687</v>
      </c>
      <c r="Y31" s="77">
        <f t="shared" si="23"/>
        <v>65.072614141240408</v>
      </c>
      <c r="Z31" s="77">
        <f t="shared" si="24"/>
        <v>64.947376311999065</v>
      </c>
      <c r="AA31" s="77">
        <f t="shared" si="25"/>
        <v>65.149348090422706</v>
      </c>
      <c r="AB31" s="77">
        <f t="shared" si="26"/>
        <v>65.493739921476475</v>
      </c>
      <c r="AC31" s="77">
        <f t="shared" si="27"/>
        <v>65.83912797954099</v>
      </c>
      <c r="AD31" s="77">
        <f t="shared" si="28"/>
        <v>66.185518395287545</v>
      </c>
      <c r="AE31" s="77">
        <f t="shared" si="29"/>
        <v>66.532917348120435</v>
      </c>
      <c r="AF31" s="77">
        <f t="shared" si="30"/>
        <v>66.881331066663449</v>
      </c>
      <c r="AG31" s="77">
        <f t="shared" si="31"/>
        <v>66.941661664309493</v>
      </c>
      <c r="AH31" s="77">
        <f t="shared" si="32"/>
        <v>66.864401637925056</v>
      </c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</row>
    <row r="32" spans="1:82">
      <c r="B32" s="118">
        <v>10</v>
      </c>
      <c r="C32" s="77">
        <f t="shared" si="1"/>
        <v>45.593177870592392</v>
      </c>
      <c r="D32" s="77">
        <f t="shared" si="2"/>
        <v>46.715538051367751</v>
      </c>
      <c r="E32" s="77">
        <f t="shared" si="3"/>
        <v>47.742001765777033</v>
      </c>
      <c r="F32" s="77">
        <f t="shared" si="4"/>
        <v>48.772984818044151</v>
      </c>
      <c r="G32" s="77">
        <f t="shared" si="5"/>
        <v>49.808570332580658</v>
      </c>
      <c r="H32" s="77">
        <f t="shared" si="6"/>
        <v>50.84884101132937</v>
      </c>
      <c r="I32" s="77">
        <f t="shared" si="7"/>
        <v>51.893879187198017</v>
      </c>
      <c r="J32" s="77">
        <f t="shared" si="8"/>
        <v>52.943766875484151</v>
      </c>
      <c r="K32" s="77">
        <f t="shared" si="9"/>
        <v>53.998585823420711</v>
      </c>
      <c r="L32" s="77">
        <f t="shared" si="10"/>
        <v>55.058417557963324</v>
      </c>
      <c r="M32" s="77">
        <f t="shared" si="11"/>
        <v>56.123343431933023</v>
      </c>
      <c r="N32" s="77">
        <f t="shared" si="12"/>
        <v>60.760207276846238</v>
      </c>
      <c r="O32" s="77">
        <f t="shared" si="13"/>
        <v>61.092184725214167</v>
      </c>
      <c r="P32" s="77">
        <f t="shared" si="14"/>
        <v>61.425082925324674</v>
      </c>
      <c r="Q32" s="77">
        <f t="shared" si="15"/>
        <v>61.758907416081954</v>
      </c>
      <c r="R32" s="77">
        <f t="shared" si="16"/>
        <v>62.093663779294218</v>
      </c>
      <c r="S32" s="77">
        <f t="shared" si="17"/>
        <v>62.429357640091304</v>
      </c>
      <c r="T32" s="77">
        <f t="shared" si="18"/>
        <v>62.765994667347115</v>
      </c>
      <c r="U32" s="77">
        <f t="shared" si="19"/>
        <v>63.1035805741069</v>
      </c>
      <c r="V32" s="77">
        <f t="shared" si="20"/>
        <v>63.442121118019742</v>
      </c>
      <c r="W32" s="77">
        <f t="shared" si="21"/>
        <v>63.781622101776009</v>
      </c>
      <c r="X32" s="77">
        <f t="shared" si="22"/>
        <v>64.122089373550011</v>
      </c>
      <c r="Y32" s="77">
        <f t="shared" si="23"/>
        <v>64.463528827447803</v>
      </c>
      <c r="Z32" s="77">
        <f t="shared" si="24"/>
        <v>64.805946403960519</v>
      </c>
      <c r="AA32" s="77">
        <f t="shared" si="25"/>
        <v>64.821885484263234</v>
      </c>
      <c r="AB32" s="77">
        <f t="shared" si="26"/>
        <v>64.696140032088536</v>
      </c>
      <c r="AC32" s="77">
        <f t="shared" si="27"/>
        <v>64.570138316706618</v>
      </c>
      <c r="AD32" s="77">
        <f t="shared" si="28"/>
        <v>64.443878686397454</v>
      </c>
      <c r="AE32" s="77">
        <f t="shared" si="29"/>
        <v>64.317359476360437</v>
      </c>
      <c r="AF32" s="77">
        <f t="shared" si="30"/>
        <v>64.190579008583541</v>
      </c>
      <c r="AG32" s="77">
        <f t="shared" si="31"/>
        <v>64.063535591711229</v>
      </c>
      <c r="AH32" s="77">
        <f t="shared" si="32"/>
        <v>63.936227520910613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</row>
    <row r="33" spans="1:82">
      <c r="A33" s="1"/>
      <c r="B33" s="118">
        <v>11</v>
      </c>
      <c r="C33" s="77">
        <f t="shared" si="1"/>
        <v>1</v>
      </c>
      <c r="D33" s="77">
        <f t="shared" si="2"/>
        <v>1</v>
      </c>
      <c r="E33" s="77">
        <f t="shared" si="3"/>
        <v>1</v>
      </c>
      <c r="F33" s="77">
        <f t="shared" si="4"/>
        <v>1</v>
      </c>
      <c r="G33" s="77">
        <f t="shared" si="5"/>
        <v>1</v>
      </c>
      <c r="H33" s="77">
        <f t="shared" si="6"/>
        <v>1</v>
      </c>
      <c r="I33" s="77">
        <f>LARGE($I$5:$I$17,B33)</f>
        <v>1</v>
      </c>
      <c r="J33" s="77">
        <f t="shared" si="8"/>
        <v>1</v>
      </c>
      <c r="K33" s="77">
        <f t="shared" si="9"/>
        <v>1</v>
      </c>
      <c r="L33" s="77">
        <f t="shared" si="10"/>
        <v>1</v>
      </c>
      <c r="M33" s="77">
        <f t="shared" si="11"/>
        <v>1</v>
      </c>
      <c r="N33" s="77">
        <f t="shared" si="12"/>
        <v>1</v>
      </c>
      <c r="O33" s="77">
        <f t="shared" si="13"/>
        <v>1</v>
      </c>
      <c r="P33" s="77">
        <f t="shared" si="14"/>
        <v>1</v>
      </c>
      <c r="Q33" s="77">
        <f t="shared" si="15"/>
        <v>1</v>
      </c>
      <c r="R33" s="77">
        <f t="shared" si="16"/>
        <v>1</v>
      </c>
      <c r="S33" s="77">
        <f t="shared" si="17"/>
        <v>1</v>
      </c>
      <c r="T33" s="77">
        <f t="shared" si="18"/>
        <v>1</v>
      </c>
      <c r="U33" s="77">
        <f t="shared" si="19"/>
        <v>1</v>
      </c>
      <c r="V33" s="77">
        <f t="shared" si="20"/>
        <v>1</v>
      </c>
      <c r="W33" s="77">
        <f t="shared" si="21"/>
        <v>1</v>
      </c>
      <c r="X33" s="77">
        <f t="shared" si="22"/>
        <v>1</v>
      </c>
      <c r="Y33" s="77">
        <f t="shared" si="23"/>
        <v>1</v>
      </c>
      <c r="Z33" s="77">
        <f t="shared" si="24"/>
        <v>1</v>
      </c>
      <c r="AA33" s="77">
        <f t="shared" si="25"/>
        <v>1</v>
      </c>
      <c r="AB33" s="77">
        <f t="shared" si="26"/>
        <v>1</v>
      </c>
      <c r="AC33" s="77">
        <f t="shared" si="27"/>
        <v>1</v>
      </c>
      <c r="AD33" s="77">
        <f t="shared" si="28"/>
        <v>1</v>
      </c>
      <c r="AE33" s="77">
        <f t="shared" si="29"/>
        <v>1</v>
      </c>
      <c r="AF33" s="77">
        <f t="shared" si="30"/>
        <v>1</v>
      </c>
      <c r="AG33" s="77">
        <f t="shared" si="31"/>
        <v>1</v>
      </c>
      <c r="AH33" s="77">
        <f t="shared" si="32"/>
        <v>1</v>
      </c>
      <c r="AI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</row>
    <row r="34" spans="1:82">
      <c r="A34" s="1"/>
      <c r="B34" s="118">
        <v>12</v>
      </c>
      <c r="C34" s="77">
        <f t="shared" si="1"/>
        <v>0.01</v>
      </c>
      <c r="D34" s="77">
        <f t="shared" si="2"/>
        <v>0.01</v>
      </c>
      <c r="E34" s="77">
        <f t="shared" si="3"/>
        <v>0.01</v>
      </c>
      <c r="F34" s="77">
        <f t="shared" si="4"/>
        <v>0.01</v>
      </c>
      <c r="G34" s="77">
        <f t="shared" si="5"/>
        <v>0.01</v>
      </c>
      <c r="H34" s="77">
        <f t="shared" si="6"/>
        <v>0.01</v>
      </c>
      <c r="I34" s="77">
        <f t="shared" ref="I34:I35" si="33">LARGE($I$5:$I$17,B34)</f>
        <v>0.01</v>
      </c>
      <c r="J34" s="77">
        <f t="shared" si="8"/>
        <v>0.01</v>
      </c>
      <c r="K34" s="77">
        <f t="shared" si="9"/>
        <v>0.01</v>
      </c>
      <c r="L34" s="77">
        <f t="shared" si="10"/>
        <v>0.01</v>
      </c>
      <c r="M34" s="77">
        <f t="shared" si="11"/>
        <v>0.01</v>
      </c>
      <c r="N34" s="77">
        <f t="shared" si="12"/>
        <v>0.01</v>
      </c>
      <c r="O34" s="77">
        <f t="shared" si="13"/>
        <v>0.01</v>
      </c>
      <c r="P34" s="77">
        <f t="shared" si="14"/>
        <v>0.01</v>
      </c>
      <c r="Q34" s="77">
        <f t="shared" si="15"/>
        <v>0.01</v>
      </c>
      <c r="R34" s="77">
        <f t="shared" si="16"/>
        <v>0.01</v>
      </c>
      <c r="S34" s="77">
        <f t="shared" si="17"/>
        <v>0.01</v>
      </c>
      <c r="T34" s="77">
        <f t="shared" si="18"/>
        <v>0.01</v>
      </c>
      <c r="U34" s="77">
        <f t="shared" si="19"/>
        <v>0.01</v>
      </c>
      <c r="V34" s="77">
        <f t="shared" si="20"/>
        <v>0.01</v>
      </c>
      <c r="W34" s="77">
        <f t="shared" si="21"/>
        <v>0.01</v>
      </c>
      <c r="X34" s="77">
        <f t="shared" si="22"/>
        <v>0.01</v>
      </c>
      <c r="Y34" s="77">
        <f t="shared" si="23"/>
        <v>0.01</v>
      </c>
      <c r="Z34" s="77">
        <f t="shared" si="24"/>
        <v>0.01</v>
      </c>
      <c r="AA34" s="77">
        <f t="shared" si="25"/>
        <v>0.01</v>
      </c>
      <c r="AB34" s="77">
        <f t="shared" si="26"/>
        <v>0.01</v>
      </c>
      <c r="AC34" s="77">
        <f t="shared" si="27"/>
        <v>0.01</v>
      </c>
      <c r="AD34" s="77">
        <f t="shared" si="28"/>
        <v>0.01</v>
      </c>
      <c r="AE34" s="77">
        <f t="shared" si="29"/>
        <v>0.01</v>
      </c>
      <c r="AF34" s="77">
        <f t="shared" si="30"/>
        <v>0.01</v>
      </c>
      <c r="AG34" s="77">
        <f t="shared" si="31"/>
        <v>0.01</v>
      </c>
      <c r="AH34" s="77">
        <f t="shared" si="32"/>
        <v>0.01</v>
      </c>
      <c r="AI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</row>
    <row r="35" spans="1:82">
      <c r="A35" s="1"/>
      <c r="B35" s="118">
        <v>13</v>
      </c>
      <c r="C35" s="77">
        <f t="shared" si="1"/>
        <v>0</v>
      </c>
      <c r="D35" s="77">
        <f t="shared" si="2"/>
        <v>0</v>
      </c>
      <c r="E35" s="77">
        <f t="shared" si="3"/>
        <v>0</v>
      </c>
      <c r="F35" s="77">
        <f t="shared" si="4"/>
        <v>0</v>
      </c>
      <c r="G35" s="77">
        <f t="shared" si="5"/>
        <v>0</v>
      </c>
      <c r="H35" s="77">
        <f t="shared" si="6"/>
        <v>0</v>
      </c>
      <c r="I35" s="77">
        <f t="shared" si="33"/>
        <v>0</v>
      </c>
      <c r="J35" s="77">
        <f t="shared" si="8"/>
        <v>0</v>
      </c>
      <c r="K35" s="77">
        <f t="shared" si="9"/>
        <v>0</v>
      </c>
      <c r="L35" s="77">
        <f t="shared" si="10"/>
        <v>0</v>
      </c>
      <c r="M35" s="77">
        <f t="shared" si="11"/>
        <v>0</v>
      </c>
      <c r="N35" s="77">
        <f t="shared" si="12"/>
        <v>0</v>
      </c>
      <c r="O35" s="77">
        <f t="shared" si="13"/>
        <v>0</v>
      </c>
      <c r="P35" s="77">
        <f t="shared" si="14"/>
        <v>0</v>
      </c>
      <c r="Q35" s="77">
        <f t="shared" si="15"/>
        <v>0</v>
      </c>
      <c r="R35" s="77">
        <f t="shared" si="16"/>
        <v>0</v>
      </c>
      <c r="S35" s="77">
        <f t="shared" si="17"/>
        <v>0</v>
      </c>
      <c r="T35" s="77">
        <f t="shared" si="18"/>
        <v>0</v>
      </c>
      <c r="U35" s="77">
        <f t="shared" si="19"/>
        <v>0</v>
      </c>
      <c r="V35" s="77">
        <f t="shared" si="20"/>
        <v>0</v>
      </c>
      <c r="W35" s="77">
        <f t="shared" si="21"/>
        <v>0</v>
      </c>
      <c r="X35" s="77">
        <f t="shared" si="22"/>
        <v>0</v>
      </c>
      <c r="Y35" s="77">
        <f t="shared" si="23"/>
        <v>0</v>
      </c>
      <c r="Z35" s="77">
        <f t="shared" si="24"/>
        <v>0</v>
      </c>
      <c r="AA35" s="77">
        <f t="shared" si="25"/>
        <v>0</v>
      </c>
      <c r="AB35" s="77">
        <f t="shared" si="26"/>
        <v>0</v>
      </c>
      <c r="AC35" s="77">
        <f t="shared" si="27"/>
        <v>0</v>
      </c>
      <c r="AD35" s="77">
        <f t="shared" si="28"/>
        <v>0</v>
      </c>
      <c r="AE35" s="77">
        <f t="shared" si="29"/>
        <v>0</v>
      </c>
      <c r="AF35" s="77">
        <f t="shared" si="30"/>
        <v>0</v>
      </c>
      <c r="AG35" s="77">
        <f t="shared" si="31"/>
        <v>0</v>
      </c>
      <c r="AH35" s="77">
        <f t="shared" si="32"/>
        <v>0</v>
      </c>
      <c r="AI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</row>
    <row r="36" spans="1:82">
      <c r="A36" s="1"/>
      <c r="B36" s="118" t="s">
        <v>174</v>
      </c>
      <c r="C36" s="118">
        <v>2019</v>
      </c>
      <c r="D36" s="118">
        <v>2020</v>
      </c>
      <c r="E36" s="118">
        <v>2021</v>
      </c>
      <c r="F36" s="118">
        <v>2022</v>
      </c>
      <c r="G36" s="118">
        <v>2023</v>
      </c>
      <c r="H36" s="118">
        <v>2024</v>
      </c>
      <c r="I36" s="118">
        <v>2025</v>
      </c>
      <c r="J36" s="118">
        <v>2026</v>
      </c>
      <c r="K36" s="118">
        <v>2027</v>
      </c>
      <c r="L36" s="118">
        <v>2028</v>
      </c>
      <c r="M36" s="118">
        <v>2029</v>
      </c>
      <c r="N36" s="118">
        <v>2030</v>
      </c>
      <c r="O36" s="118">
        <v>2031</v>
      </c>
      <c r="P36" s="118">
        <v>2032</v>
      </c>
      <c r="Q36" s="118">
        <v>2033</v>
      </c>
      <c r="R36" s="118">
        <v>2034</v>
      </c>
      <c r="S36" s="118">
        <v>2035</v>
      </c>
      <c r="T36" s="118">
        <v>2036</v>
      </c>
      <c r="U36" s="118">
        <v>2037</v>
      </c>
      <c r="V36" s="118">
        <v>2038</v>
      </c>
      <c r="W36" s="118">
        <v>2039</v>
      </c>
      <c r="X36" s="118">
        <v>2040</v>
      </c>
      <c r="Y36" s="118">
        <v>2041</v>
      </c>
      <c r="Z36" s="118">
        <v>2042</v>
      </c>
      <c r="AA36" s="118">
        <v>2043</v>
      </c>
      <c r="AB36" s="118">
        <v>2044</v>
      </c>
      <c r="AC36" s="118">
        <v>2045</v>
      </c>
      <c r="AD36" s="118">
        <v>2046</v>
      </c>
      <c r="AE36" s="118">
        <v>2047</v>
      </c>
      <c r="AF36" s="118">
        <v>2048</v>
      </c>
      <c r="AG36" s="118">
        <v>2049</v>
      </c>
      <c r="AH36" s="118">
        <v>2050</v>
      </c>
      <c r="AI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</row>
    <row r="37" spans="1:82">
      <c r="A37" s="1"/>
      <c r="B37" s="118">
        <v>1</v>
      </c>
      <c r="C37" s="132">
        <f>VLOOKUP(VLOOKUP(LARGE($C$5:$C$17,B73),$C$5:$AI$17,33,FALSE),$B$133:$AH$145,2,FALSE)</f>
        <v>212.20500000000001</v>
      </c>
      <c r="D37" s="132">
        <f>VLOOKUP(VLOOKUP(LARGE($D$5:$D$17,B73),$D$5:$AI$17,32,FALSE),$B$133:$AH$145,3,FALSE)</f>
        <v>212.20500000000001</v>
      </c>
      <c r="E37" s="132">
        <f t="shared" ref="E37:E47" si="34">VLOOKUP(VLOOKUP(LARGE($E$5:$E$17,B73),$E$5:$AI$17,31,FALSE),$B$133:$AH$145,4,FALSE)</f>
        <v>212.20500000000001</v>
      </c>
      <c r="F37" s="132">
        <f t="shared" ref="F37:F47" si="35">VLOOKUP(VLOOKUP(LARGE($F$5:$F$17,B73),$F$5:$AI$17,30,FALSE),$B$133:$AH$145,5,FALSE)</f>
        <v>212.20500000000001</v>
      </c>
      <c r="G37" s="132">
        <f t="shared" ref="G37:G47" si="36">VLOOKUP(VLOOKUP(LARGE($G$5:$G$17,B73),$G$5:$AI$17,29,FALSE),$B$133:$AH$145,6,FALSE)</f>
        <v>212.20500000000001</v>
      </c>
      <c r="H37" s="132">
        <f t="shared" ref="H37:H47" si="37">VLOOKUP(VLOOKUP(LARGE($H$5:$H$17,B73),$H$5:$AI$17,28,FALSE),$B$133:$AH$145,7,FALSE)</f>
        <v>62.0972352</v>
      </c>
      <c r="I37" s="132">
        <f t="shared" ref="I37:I47" si="38">VLOOKUP(VLOOKUP(LARGE($I$5:$I$17,B73),$I$5:$AI$17,27,FALSE),$B$133:$AH$145,8,FALSE)</f>
        <v>99.355576320000011</v>
      </c>
      <c r="J37" s="132">
        <f t="shared" ref="J37:J47" si="39">VLOOKUP(VLOOKUP(LARGE($J$5:$J$17,B73),$J$5:$AI$17,26,FALSE),$B$133:$AH$145,9,FALSE)</f>
        <v>100</v>
      </c>
      <c r="K37" s="132">
        <f t="shared" ref="K37:K47" si="40">VLOOKUP(VLOOKUP(LARGE($K$5:$K$17,B73),$K$5:$AI$17,25,FALSE),$B$133:$AH$145,10,FALSE)</f>
        <v>100</v>
      </c>
      <c r="L37" s="132">
        <f t="shared" ref="L37:L47" si="41">VLOOKUP(VLOOKUP(LARGE($L$5:$L$17,B73),$L$5:$AI$17,24,FALSE),$B$133:$AH$145,11,FALSE)</f>
        <v>100</v>
      </c>
      <c r="M37" s="132">
        <f t="shared" ref="M37:M47" si="42">VLOOKUP(VLOOKUP(LARGE($M$5:$M$17,B73),$M$5:$AI$17,23,FALSE),$B$133:$AH$145,12,FALSE)</f>
        <v>100</v>
      </c>
      <c r="N37" s="132">
        <f t="shared" ref="N37:N47" si="43">VLOOKUP(VLOOKUP(LARGE($N$5:$N$17,B73),$N$5:$AI$17,22,FALSE),$B$133:$AH$145,13,FALSE)</f>
        <v>100</v>
      </c>
      <c r="O37" s="132">
        <f t="shared" ref="O37:O47" si="44">VLOOKUP(VLOOKUP(LARGE($O$5:$O$17,B73),$O$5:$AI$17,21,FALSE),$B$133:$AH$145,14,FALSE)</f>
        <v>100</v>
      </c>
      <c r="P37" s="132">
        <f t="shared" ref="P37:P47" si="45">VLOOKUP(VLOOKUP(LARGE($P$5:$P$17,B73),$P$5:$AI$17,20,FALSE),$B$133:$AH$145,15,FALSE)</f>
        <v>100</v>
      </c>
      <c r="Q37" s="132">
        <f t="shared" ref="Q37:Q47" si="46">VLOOKUP(VLOOKUP(LARGE($Q$5:$Q$17,B73),$Q$5:$AI$17,19,FALSE),$B$133:$AH$145,16,FALSE)</f>
        <v>100</v>
      </c>
      <c r="R37" s="132">
        <f t="shared" ref="R37:R47" si="47">VLOOKUP(VLOOKUP(LARGE($R$5:$R$17,B73),$R$5:$AI$17,18,FALSE),$B$133:$AH$145,17,FALSE)</f>
        <v>100</v>
      </c>
      <c r="S37" s="132">
        <f t="shared" ref="S37:S47" si="48">VLOOKUP(VLOOKUP(LARGE($S$5:$S$17,B73),$S$5:$AI$17,17,FALSE),$B$133:$AH$145,18,FALSE)</f>
        <v>100</v>
      </c>
      <c r="T37" s="132">
        <f t="shared" ref="T37:T47" si="49">VLOOKUP(VLOOKUP(LARGE($T$5:$T$17,B73),$T$5:$AI$17,16,FALSE),$B$133:$AH$145,19,FALSE)</f>
        <v>100</v>
      </c>
      <c r="U37" s="132">
        <f t="shared" ref="U37:U47" si="50">VLOOKUP(VLOOKUP(LARGE($U$5:$U$17,B73),$U$5:$AI$17,15,FALSE),$B$133:$AH$145,20,FALSE)</f>
        <v>100</v>
      </c>
      <c r="V37" s="132">
        <f t="shared" ref="V37:V47" si="51">VLOOKUP(VLOOKUP(LARGE($V$5:$V$17,B73),$V$5:$AI$17,14,FALSE),$B$133:$AH$145,21,FALSE)</f>
        <v>100</v>
      </c>
      <c r="W37" s="132">
        <f t="shared" ref="W37:W47" si="52">VLOOKUP(VLOOKUP(LARGE($W$5:$W$17,B73),$W$5:$AI$17,13,FALSE),$B$133:$AH$145,22,FALSE)</f>
        <v>100</v>
      </c>
      <c r="X37" s="132">
        <f t="shared" ref="X37:X47" si="53">VLOOKUP(VLOOKUP(LARGE($X$5:$X$17,B73),$X$5:$AI$17,12,FALSE),$B$133:$AH$145,23,FALSE)</f>
        <v>100</v>
      </c>
      <c r="Y37" s="132">
        <f t="shared" ref="Y37:Y47" si="54">VLOOKUP(VLOOKUP(LARGE($Y$5:$Y$17,B73),$Y$5:$AI$17,11,FALSE),$B$133:$AH$145,24,FALSE)</f>
        <v>100</v>
      </c>
      <c r="Z37" s="132">
        <f t="shared" ref="Z37:Z47" si="55">VLOOKUP(VLOOKUP(LARGE($Z$5:$Z$17,B73),$Z$5:$AI$17,10,FALSE),$B$133:$AH$145,25,FALSE)</f>
        <v>100</v>
      </c>
      <c r="AA37" s="132">
        <f t="shared" ref="AA37:AA47" si="56">VLOOKUP(VLOOKUP(LARGE($AA$5:$AA$17,B73),$AA$5:$AI$17,9,FALSE),$B$133:$AH$145,26,FALSE)</f>
        <v>100</v>
      </c>
      <c r="AB37" s="132">
        <f t="shared" ref="AB37:AB47" si="57">VLOOKUP(VLOOKUP(LARGE($AB$5:$AB$17,B73),$AB$5:$AI$17,8,FALSE),$B$133:$AH$145,27,FALSE)</f>
        <v>100</v>
      </c>
      <c r="AC37" s="132">
        <f t="shared" ref="AC37:AC47" si="58">VLOOKUP(VLOOKUP(LARGE($AC$5:$AC$17,B73),$AC$5:$AI$17,7,FALSE),$B$133:$AH$145,28,FALSE)</f>
        <v>100</v>
      </c>
      <c r="AD37" s="132">
        <f t="shared" ref="AD37:AD47" si="59">VLOOKUP(VLOOKUP(LARGE($AD$5:$AD$17,B73),$AD$5:$AI$17,6,FALSE),$B$133:$AH$145,29,FALSE)</f>
        <v>100</v>
      </c>
      <c r="AE37" s="132">
        <f t="shared" ref="AE37:AE47" si="60">VLOOKUP(VLOOKUP(LARGE($AE$5:$AE$17,B73),$AE$5:$AI$17,5,FALSE),$B$133:$AH$145,30,FALSE)</f>
        <v>100</v>
      </c>
      <c r="AF37" s="132">
        <f t="shared" ref="AF37:AF47" si="61">VLOOKUP(VLOOKUP(LARGE($AF$5:$AF$17,B73),$AF$5:$AI$17,4,FALSE),$B$133:$AH$145,31,FALSE)</f>
        <v>100</v>
      </c>
      <c r="AG37" s="132">
        <f t="shared" ref="AG37:AG47" si="62">VLOOKUP(VLOOKUP(LARGE($AG$5:$AG$17,B73),$AG$5:$AI$17,3,FALSE),$B$133:$AH$145,32,FALSE)</f>
        <v>100</v>
      </c>
      <c r="AH37" s="132">
        <f t="shared" ref="AH37:AH47" si="63">VLOOKUP(VLOOKUP(LARGE($AH$5:$AH$17,B73),$AH$5:$AI$17,2,FALSE),$B$133:$AH$145,33,FALSE)</f>
        <v>100</v>
      </c>
      <c r="AI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</row>
    <row r="38" spans="1:82">
      <c r="A38" s="1"/>
      <c r="B38" s="118">
        <v>2</v>
      </c>
      <c r="C38" s="132">
        <f t="shared" ref="C38:C49" si="64">VLOOKUP(VLOOKUP(LARGE($C$5:$C$17,B74),$C$5:$AI$17,33,FALSE),$B$133:$AH$145,2,FALSE)</f>
        <v>17.231999999999999</v>
      </c>
      <c r="D38" s="132">
        <f t="shared" ref="D38:D47" si="65">VLOOKUP(VLOOKUP(LARGE($D$5:$D$17,B74),$D$5:$AI$17,32,FALSE),$B$133:$AH$145,3,FALSE)</f>
        <v>18.955200000000001</v>
      </c>
      <c r="E38" s="132">
        <f t="shared" si="34"/>
        <v>22.74624</v>
      </c>
      <c r="F38" s="132">
        <f t="shared" si="35"/>
        <v>29.570112000000002</v>
      </c>
      <c r="G38" s="132">
        <f t="shared" si="36"/>
        <v>41.398156800000002</v>
      </c>
      <c r="H38" s="132">
        <f t="shared" si="37"/>
        <v>212.20500000000001</v>
      </c>
      <c r="I38" s="132">
        <f t="shared" si="38"/>
        <v>212.20500000000001</v>
      </c>
      <c r="J38" s="132">
        <f t="shared" si="39"/>
        <v>212.20500000000001</v>
      </c>
      <c r="K38" s="132">
        <f t="shared" si="40"/>
        <v>212.20500000000001</v>
      </c>
      <c r="L38" s="132">
        <f t="shared" si="41"/>
        <v>212.20500000000001</v>
      </c>
      <c r="M38" s="132">
        <f t="shared" si="42"/>
        <v>212.20500000000001</v>
      </c>
      <c r="N38" s="132">
        <f t="shared" si="43"/>
        <v>212.20500000000001</v>
      </c>
      <c r="O38" s="132">
        <f t="shared" si="44"/>
        <v>212.20500000000001</v>
      </c>
      <c r="P38" s="132">
        <f t="shared" si="45"/>
        <v>212.20500000000001</v>
      </c>
      <c r="Q38" s="132">
        <f t="shared" si="46"/>
        <v>212.20500000000001</v>
      </c>
      <c r="R38" s="132">
        <f t="shared" si="47"/>
        <v>212.20500000000001</v>
      </c>
      <c r="S38" s="132">
        <f t="shared" si="48"/>
        <v>212.20500000000001</v>
      </c>
      <c r="T38" s="132">
        <f t="shared" si="49"/>
        <v>212.20500000000001</v>
      </c>
      <c r="U38" s="132">
        <f t="shared" si="50"/>
        <v>212.20500000000001</v>
      </c>
      <c r="V38" s="132">
        <f t="shared" si="51"/>
        <v>212.20500000000001</v>
      </c>
      <c r="W38" s="132">
        <f t="shared" si="52"/>
        <v>212.20500000000001</v>
      </c>
      <c r="X38" s="132">
        <f t="shared" si="53"/>
        <v>212.20500000000001</v>
      </c>
      <c r="Y38" s="132">
        <f t="shared" si="54"/>
        <v>212.20500000000001</v>
      </c>
      <c r="Z38" s="132">
        <f t="shared" si="55"/>
        <v>212.20500000000001</v>
      </c>
      <c r="AA38" s="132">
        <f t="shared" si="56"/>
        <v>212.20500000000001</v>
      </c>
      <c r="AB38" s="132">
        <f t="shared" si="57"/>
        <v>212.20500000000001</v>
      </c>
      <c r="AC38" s="132">
        <f t="shared" si="58"/>
        <v>212.20500000000001</v>
      </c>
      <c r="AD38" s="132">
        <f t="shared" si="59"/>
        <v>212.20500000000001</v>
      </c>
      <c r="AE38" s="132">
        <f t="shared" si="60"/>
        <v>212.20500000000001</v>
      </c>
      <c r="AF38" s="132">
        <f t="shared" si="61"/>
        <v>212.20500000000001</v>
      </c>
      <c r="AG38" s="132">
        <f t="shared" si="62"/>
        <v>212.20500000000001</v>
      </c>
      <c r="AH38" s="132">
        <f t="shared" si="63"/>
        <v>212.20500000000001</v>
      </c>
      <c r="AI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</row>
    <row r="39" spans="1:82">
      <c r="A39" s="1"/>
      <c r="B39" s="118">
        <v>3</v>
      </c>
      <c r="C39" s="132">
        <f>VLOOKUP(VLOOKUP(LARGE($C$5:$C$17,B75),$C$5:$AI$17,33,FALSE),$B$133:$AH$145,2,FALSE)</f>
        <v>36.274000000000001</v>
      </c>
      <c r="D39" s="132">
        <f t="shared" si="65"/>
        <v>39.901400000000002</v>
      </c>
      <c r="E39" s="132">
        <f t="shared" si="34"/>
        <v>47.881680000000003</v>
      </c>
      <c r="F39" s="132">
        <f t="shared" si="35"/>
        <v>62.246184000000007</v>
      </c>
      <c r="G39" s="132">
        <f t="shared" si="36"/>
        <v>87.144657600000002</v>
      </c>
      <c r="H39" s="132">
        <f t="shared" si="37"/>
        <v>100</v>
      </c>
      <c r="I39" s="132">
        <f t="shared" si="38"/>
        <v>100</v>
      </c>
      <c r="J39" s="132">
        <f t="shared" si="39"/>
        <v>100</v>
      </c>
      <c r="K39" s="132">
        <f t="shared" si="40"/>
        <v>100</v>
      </c>
      <c r="L39" s="132">
        <f t="shared" si="41"/>
        <v>100</v>
      </c>
      <c r="M39" s="132">
        <f t="shared" si="42"/>
        <v>100</v>
      </c>
      <c r="N39" s="132">
        <f t="shared" si="43"/>
        <v>100</v>
      </c>
      <c r="O39" s="132">
        <f t="shared" si="44"/>
        <v>100</v>
      </c>
      <c r="P39" s="132">
        <f t="shared" si="45"/>
        <v>100</v>
      </c>
      <c r="Q39" s="132">
        <f t="shared" si="46"/>
        <v>100</v>
      </c>
      <c r="R39" s="132">
        <f t="shared" si="47"/>
        <v>100</v>
      </c>
      <c r="S39" s="132">
        <f t="shared" si="48"/>
        <v>100</v>
      </c>
      <c r="T39" s="132">
        <f t="shared" si="49"/>
        <v>100</v>
      </c>
      <c r="U39" s="132">
        <f t="shared" si="50"/>
        <v>100</v>
      </c>
      <c r="V39" s="132">
        <f t="shared" si="51"/>
        <v>100</v>
      </c>
      <c r="W39" s="132">
        <f t="shared" si="52"/>
        <v>100</v>
      </c>
      <c r="X39" s="132">
        <f t="shared" si="53"/>
        <v>100</v>
      </c>
      <c r="Y39" s="132">
        <f t="shared" si="54"/>
        <v>100</v>
      </c>
      <c r="Z39" s="132">
        <f t="shared" si="55"/>
        <v>100</v>
      </c>
      <c r="AA39" s="132">
        <f t="shared" si="56"/>
        <v>100</v>
      </c>
      <c r="AB39" s="132">
        <f t="shared" si="57"/>
        <v>100</v>
      </c>
      <c r="AC39" s="132">
        <f t="shared" si="58"/>
        <v>100</v>
      </c>
      <c r="AD39" s="132">
        <f t="shared" si="59"/>
        <v>100</v>
      </c>
      <c r="AE39" s="132">
        <f t="shared" si="60"/>
        <v>100</v>
      </c>
      <c r="AF39" s="132">
        <f t="shared" si="61"/>
        <v>100</v>
      </c>
      <c r="AG39" s="132">
        <f t="shared" si="62"/>
        <v>100</v>
      </c>
      <c r="AH39" s="132">
        <f t="shared" si="63"/>
        <v>100</v>
      </c>
      <c r="AI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</row>
    <row r="40" spans="1:82">
      <c r="A40" s="1"/>
      <c r="B40" s="118">
        <v>4</v>
      </c>
      <c r="C40" s="132">
        <f t="shared" si="64"/>
        <v>0</v>
      </c>
      <c r="D40" s="132">
        <f t="shared" si="65"/>
        <v>0</v>
      </c>
      <c r="E40" s="132">
        <f t="shared" si="34"/>
        <v>0</v>
      </c>
      <c r="F40" s="132">
        <f t="shared" si="35"/>
        <v>0</v>
      </c>
      <c r="G40" s="132">
        <f t="shared" si="36"/>
        <v>0</v>
      </c>
      <c r="H40" s="132">
        <f t="shared" si="37"/>
        <v>0</v>
      </c>
      <c r="I40" s="132">
        <f t="shared" si="38"/>
        <v>0</v>
      </c>
      <c r="J40" s="132">
        <f t="shared" si="39"/>
        <v>0</v>
      </c>
      <c r="K40" s="132">
        <f t="shared" si="40"/>
        <v>0</v>
      </c>
      <c r="L40" s="132">
        <f t="shared" si="41"/>
        <v>0</v>
      </c>
      <c r="M40" s="132">
        <f t="shared" si="42"/>
        <v>0</v>
      </c>
      <c r="N40" s="132">
        <f t="shared" si="43"/>
        <v>0</v>
      </c>
      <c r="O40" s="132">
        <f t="shared" si="44"/>
        <v>0</v>
      </c>
      <c r="P40" s="132">
        <f t="shared" si="45"/>
        <v>0</v>
      </c>
      <c r="Q40" s="132">
        <f t="shared" si="46"/>
        <v>0</v>
      </c>
      <c r="R40" s="132">
        <f t="shared" si="47"/>
        <v>0</v>
      </c>
      <c r="S40" s="132">
        <f t="shared" si="48"/>
        <v>0</v>
      </c>
      <c r="T40" s="132">
        <f t="shared" si="49"/>
        <v>0</v>
      </c>
      <c r="U40" s="132">
        <f t="shared" si="50"/>
        <v>0</v>
      </c>
      <c r="V40" s="132">
        <f t="shared" si="51"/>
        <v>0</v>
      </c>
      <c r="W40" s="132">
        <f t="shared" si="52"/>
        <v>0</v>
      </c>
      <c r="X40" s="132">
        <f t="shared" si="53"/>
        <v>0</v>
      </c>
      <c r="Y40" s="132">
        <f t="shared" si="54"/>
        <v>34.799999999999997</v>
      </c>
      <c r="Z40" s="132">
        <f t="shared" si="55"/>
        <v>34.799999999999997</v>
      </c>
      <c r="AA40" s="132">
        <f t="shared" si="56"/>
        <v>34.799999999999997</v>
      </c>
      <c r="AB40" s="132">
        <f t="shared" si="57"/>
        <v>34.799999999999997</v>
      </c>
      <c r="AC40" s="132">
        <f t="shared" si="58"/>
        <v>34.799999999999997</v>
      </c>
      <c r="AD40" s="132">
        <f t="shared" si="59"/>
        <v>34.799999999999997</v>
      </c>
      <c r="AE40" s="132">
        <f t="shared" si="60"/>
        <v>34.799999999999997</v>
      </c>
      <c r="AF40" s="132">
        <f t="shared" si="61"/>
        <v>34.799999999999997</v>
      </c>
      <c r="AG40" s="132">
        <f t="shared" si="62"/>
        <v>34.799999999999997</v>
      </c>
      <c r="AH40" s="132">
        <f t="shared" si="63"/>
        <v>34.799999999999997</v>
      </c>
      <c r="AI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</row>
    <row r="41" spans="1:82">
      <c r="A41" s="1"/>
      <c r="B41" s="118">
        <v>5</v>
      </c>
      <c r="C41" s="132">
        <f t="shared" si="64"/>
        <v>34.799999999999997</v>
      </c>
      <c r="D41" s="132">
        <f t="shared" si="65"/>
        <v>34.799999999999997</v>
      </c>
      <c r="E41" s="132">
        <f t="shared" si="34"/>
        <v>34.799999999999997</v>
      </c>
      <c r="F41" s="132">
        <f t="shared" si="35"/>
        <v>34.799999999999997</v>
      </c>
      <c r="G41" s="132">
        <f t="shared" si="36"/>
        <v>34.799999999999997</v>
      </c>
      <c r="H41" s="132">
        <f t="shared" si="37"/>
        <v>34.799999999999997</v>
      </c>
      <c r="I41" s="132">
        <f t="shared" si="38"/>
        <v>34.799999999999997</v>
      </c>
      <c r="J41" s="132">
        <f t="shared" si="39"/>
        <v>34.799999999999997</v>
      </c>
      <c r="K41" s="132">
        <f t="shared" si="40"/>
        <v>34.799999999999997</v>
      </c>
      <c r="L41" s="132">
        <f t="shared" si="41"/>
        <v>34.799999999999997</v>
      </c>
      <c r="M41" s="132">
        <f t="shared" si="42"/>
        <v>34.799999999999997</v>
      </c>
      <c r="N41" s="132">
        <f t="shared" si="43"/>
        <v>34.799999999999997</v>
      </c>
      <c r="O41" s="132">
        <f t="shared" si="44"/>
        <v>34.799999999999997</v>
      </c>
      <c r="P41" s="132">
        <f t="shared" si="45"/>
        <v>34.799999999999997</v>
      </c>
      <c r="Q41" s="132">
        <f t="shared" si="46"/>
        <v>34.799999999999997</v>
      </c>
      <c r="R41" s="132">
        <f t="shared" si="47"/>
        <v>34.799999999999997</v>
      </c>
      <c r="S41" s="132">
        <f t="shared" si="48"/>
        <v>34.799999999999997</v>
      </c>
      <c r="T41" s="132">
        <f t="shared" si="49"/>
        <v>34.799999999999997</v>
      </c>
      <c r="U41" s="132">
        <f t="shared" si="50"/>
        <v>34.799999999999997</v>
      </c>
      <c r="V41" s="132">
        <f t="shared" si="51"/>
        <v>34.799999999999997</v>
      </c>
      <c r="W41" s="132">
        <f t="shared" si="52"/>
        <v>34.799999999999997</v>
      </c>
      <c r="X41" s="132">
        <f t="shared" si="53"/>
        <v>34.799999999999997</v>
      </c>
      <c r="Y41" s="132">
        <f t="shared" si="54"/>
        <v>0</v>
      </c>
      <c r="Z41" s="132">
        <f t="shared" si="55"/>
        <v>0</v>
      </c>
      <c r="AA41" s="132">
        <f t="shared" si="56"/>
        <v>0</v>
      </c>
      <c r="AB41" s="132">
        <f t="shared" si="57"/>
        <v>0</v>
      </c>
      <c r="AC41" s="132">
        <f t="shared" si="58"/>
        <v>0</v>
      </c>
      <c r="AD41" s="132">
        <f t="shared" si="59"/>
        <v>0</v>
      </c>
      <c r="AE41" s="132">
        <f t="shared" si="60"/>
        <v>0</v>
      </c>
      <c r="AF41" s="132">
        <f t="shared" si="61"/>
        <v>0</v>
      </c>
      <c r="AG41" s="132">
        <f t="shared" si="62"/>
        <v>0</v>
      </c>
      <c r="AH41" s="132">
        <f t="shared" si="63"/>
        <v>0</v>
      </c>
      <c r="AI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</row>
    <row r="42" spans="1:82">
      <c r="A42" s="1"/>
      <c r="B42" s="118">
        <v>6</v>
      </c>
      <c r="C42" s="132">
        <f t="shared" si="64"/>
        <v>59.9</v>
      </c>
      <c r="D42" s="132">
        <f t="shared" si="65"/>
        <v>59.9</v>
      </c>
      <c r="E42" s="132">
        <f t="shared" si="34"/>
        <v>59.9</v>
      </c>
      <c r="F42" s="132">
        <f t="shared" si="35"/>
        <v>59.9</v>
      </c>
      <c r="G42" s="132">
        <f t="shared" si="36"/>
        <v>59.9</v>
      </c>
      <c r="H42" s="132">
        <f t="shared" si="37"/>
        <v>59.9</v>
      </c>
      <c r="I42" s="132">
        <f t="shared" si="38"/>
        <v>59.9</v>
      </c>
      <c r="J42" s="132">
        <f t="shared" si="39"/>
        <v>59.9</v>
      </c>
      <c r="K42" s="132">
        <f t="shared" si="40"/>
        <v>59.9</v>
      </c>
      <c r="L42" s="132">
        <f t="shared" si="41"/>
        <v>59.9</v>
      </c>
      <c r="M42" s="132">
        <f t="shared" si="42"/>
        <v>59.9</v>
      </c>
      <c r="N42" s="132">
        <f t="shared" si="43"/>
        <v>0.9855505820160001</v>
      </c>
      <c r="O42" s="132">
        <f t="shared" si="44"/>
        <v>2.1682112804352003</v>
      </c>
      <c r="P42" s="132">
        <f t="shared" si="45"/>
        <v>4.9868859450009602</v>
      </c>
      <c r="Q42" s="132">
        <f t="shared" si="46"/>
        <v>11.968526268002304</v>
      </c>
      <c r="R42" s="132">
        <f t="shared" si="47"/>
        <v>29.921315670005761</v>
      </c>
      <c r="S42" s="132">
        <f t="shared" si="48"/>
        <v>77.795420742014983</v>
      </c>
      <c r="T42" s="132">
        <f t="shared" si="49"/>
        <v>100</v>
      </c>
      <c r="U42" s="132">
        <f t="shared" si="50"/>
        <v>100</v>
      </c>
      <c r="V42" s="132">
        <f t="shared" si="51"/>
        <v>100</v>
      </c>
      <c r="W42" s="132">
        <f t="shared" si="52"/>
        <v>100</v>
      </c>
      <c r="X42" s="132">
        <f t="shared" si="53"/>
        <v>100</v>
      </c>
      <c r="Y42" s="132">
        <f t="shared" si="54"/>
        <v>100</v>
      </c>
      <c r="Z42" s="132">
        <f t="shared" si="55"/>
        <v>100</v>
      </c>
      <c r="AA42" s="132">
        <f t="shared" si="56"/>
        <v>100</v>
      </c>
      <c r="AB42" s="132">
        <f t="shared" si="57"/>
        <v>0</v>
      </c>
      <c r="AC42" s="132">
        <f t="shared" si="58"/>
        <v>0</v>
      </c>
      <c r="AD42" s="132">
        <f t="shared" si="59"/>
        <v>0</v>
      </c>
      <c r="AE42" s="132">
        <f t="shared" si="60"/>
        <v>0</v>
      </c>
      <c r="AF42" s="132">
        <f t="shared" si="61"/>
        <v>0</v>
      </c>
      <c r="AG42" s="132">
        <f t="shared" si="62"/>
        <v>0</v>
      </c>
      <c r="AH42" s="132">
        <f t="shared" si="63"/>
        <v>0</v>
      </c>
      <c r="AI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</row>
    <row r="43" spans="1:82">
      <c r="A43" s="1"/>
      <c r="B43" s="118">
        <v>7</v>
      </c>
      <c r="C43" s="132">
        <f t="shared" si="64"/>
        <v>71.7</v>
      </c>
      <c r="D43" s="132">
        <f t="shared" si="65"/>
        <v>71.7</v>
      </c>
      <c r="E43" s="132">
        <f t="shared" si="34"/>
        <v>71.7</v>
      </c>
      <c r="F43" s="132">
        <f t="shared" si="35"/>
        <v>71.7</v>
      </c>
      <c r="G43" s="132">
        <f t="shared" si="36"/>
        <v>71.7</v>
      </c>
      <c r="H43" s="132">
        <f t="shared" si="37"/>
        <v>71.7</v>
      </c>
      <c r="I43" s="132">
        <f t="shared" si="38"/>
        <v>71.7</v>
      </c>
      <c r="J43" s="132">
        <f t="shared" si="39"/>
        <v>71.7</v>
      </c>
      <c r="K43" s="132">
        <f t="shared" si="40"/>
        <v>71.7</v>
      </c>
      <c r="L43" s="132">
        <f t="shared" si="41"/>
        <v>71.7</v>
      </c>
      <c r="M43" s="132">
        <f t="shared" si="42"/>
        <v>0.46930980096000002</v>
      </c>
      <c r="N43" s="132">
        <f t="shared" si="43"/>
        <v>59.9</v>
      </c>
      <c r="O43" s="132">
        <f t="shared" si="44"/>
        <v>59.9</v>
      </c>
      <c r="P43" s="132">
        <f t="shared" si="45"/>
        <v>59.9</v>
      </c>
      <c r="Q43" s="132">
        <f t="shared" si="46"/>
        <v>59.9</v>
      </c>
      <c r="R43" s="132">
        <f t="shared" si="47"/>
        <v>59.9</v>
      </c>
      <c r="S43" s="132">
        <f t="shared" si="48"/>
        <v>59.9</v>
      </c>
      <c r="T43" s="132">
        <f t="shared" si="49"/>
        <v>71.7</v>
      </c>
      <c r="U43" s="132">
        <f t="shared" si="50"/>
        <v>71.7</v>
      </c>
      <c r="V43" s="132">
        <f t="shared" si="51"/>
        <v>71.7</v>
      </c>
      <c r="W43" s="132">
        <f t="shared" si="52"/>
        <v>71.7</v>
      </c>
      <c r="X43" s="132">
        <f t="shared" si="53"/>
        <v>71.7</v>
      </c>
      <c r="Y43" s="132">
        <f t="shared" si="54"/>
        <v>71.7</v>
      </c>
      <c r="Z43" s="132">
        <f t="shared" si="55"/>
        <v>71.7</v>
      </c>
      <c r="AA43" s="132">
        <f t="shared" si="56"/>
        <v>71.7</v>
      </c>
      <c r="AB43" s="132">
        <f t="shared" si="57"/>
        <v>71.7</v>
      </c>
      <c r="AC43" s="132">
        <f t="shared" si="58"/>
        <v>71.7</v>
      </c>
      <c r="AD43" s="132">
        <f t="shared" si="59"/>
        <v>71.7</v>
      </c>
      <c r="AE43" s="132">
        <f t="shared" si="60"/>
        <v>71.7</v>
      </c>
      <c r="AF43" s="132">
        <f t="shared" si="61"/>
        <v>71.7</v>
      </c>
      <c r="AG43" s="132">
        <f t="shared" si="62"/>
        <v>71.7</v>
      </c>
      <c r="AH43" s="132">
        <f t="shared" si="63"/>
        <v>71.7</v>
      </c>
      <c r="AI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</row>
    <row r="44" spans="1:82">
      <c r="A44" s="1"/>
      <c r="B44" s="118">
        <v>8</v>
      </c>
      <c r="C44" s="132">
        <f t="shared" si="64"/>
        <v>99.3</v>
      </c>
      <c r="D44" s="132">
        <f t="shared" si="65"/>
        <v>99.3</v>
      </c>
      <c r="E44" s="132">
        <f t="shared" si="34"/>
        <v>99.3</v>
      </c>
      <c r="F44" s="132">
        <f t="shared" si="35"/>
        <v>99.3</v>
      </c>
      <c r="G44" s="132">
        <f t="shared" si="36"/>
        <v>99.3</v>
      </c>
      <c r="H44" s="132">
        <f t="shared" si="37"/>
        <v>99.3</v>
      </c>
      <c r="I44" s="132">
        <f t="shared" si="38"/>
        <v>99.3</v>
      </c>
      <c r="J44" s="132">
        <f t="shared" si="39"/>
        <v>99.3</v>
      </c>
      <c r="K44" s="132">
        <f t="shared" si="40"/>
        <v>99.3</v>
      </c>
      <c r="L44" s="132">
        <f t="shared" si="41"/>
        <v>0.23465490048000001</v>
      </c>
      <c r="M44" s="132">
        <f t="shared" si="42"/>
        <v>71.7</v>
      </c>
      <c r="N44" s="132">
        <f t="shared" si="43"/>
        <v>71.7</v>
      </c>
      <c r="O44" s="132">
        <f t="shared" si="44"/>
        <v>71.7</v>
      </c>
      <c r="P44" s="132">
        <f t="shared" si="45"/>
        <v>71.7</v>
      </c>
      <c r="Q44" s="132">
        <f t="shared" si="46"/>
        <v>71.7</v>
      </c>
      <c r="R44" s="132">
        <f t="shared" si="47"/>
        <v>71.7</v>
      </c>
      <c r="S44" s="132">
        <f t="shared" si="48"/>
        <v>71.7</v>
      </c>
      <c r="T44" s="132">
        <f t="shared" si="49"/>
        <v>59.9</v>
      </c>
      <c r="U44" s="132">
        <f t="shared" si="50"/>
        <v>59.9</v>
      </c>
      <c r="V44" s="132">
        <f t="shared" si="51"/>
        <v>59.9</v>
      </c>
      <c r="W44" s="132">
        <f t="shared" si="52"/>
        <v>59.9</v>
      </c>
      <c r="X44" s="132">
        <f t="shared" si="53"/>
        <v>59.9</v>
      </c>
      <c r="Y44" s="132">
        <f t="shared" si="54"/>
        <v>59.9</v>
      </c>
      <c r="Z44" s="132">
        <f t="shared" si="55"/>
        <v>59.9</v>
      </c>
      <c r="AA44" s="132">
        <f t="shared" si="56"/>
        <v>59.9</v>
      </c>
      <c r="AB44" s="132">
        <f t="shared" si="57"/>
        <v>59.9</v>
      </c>
      <c r="AC44" s="132">
        <f t="shared" si="58"/>
        <v>59.9</v>
      </c>
      <c r="AD44" s="132">
        <f t="shared" si="59"/>
        <v>59.9</v>
      </c>
      <c r="AE44" s="132">
        <f t="shared" si="60"/>
        <v>59.9</v>
      </c>
      <c r="AF44" s="132">
        <f t="shared" si="61"/>
        <v>59.9</v>
      </c>
      <c r="AG44" s="132">
        <f t="shared" si="62"/>
        <v>0</v>
      </c>
      <c r="AH44" s="132">
        <f t="shared" si="63"/>
        <v>0</v>
      </c>
      <c r="AI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</row>
    <row r="45" spans="1:82">
      <c r="A45" s="1"/>
      <c r="B45" s="118">
        <v>9</v>
      </c>
      <c r="C45" s="132">
        <f t="shared" si="64"/>
        <v>7.0000000000000001E-3</v>
      </c>
      <c r="D45" s="132">
        <f t="shared" si="65"/>
        <v>7.7000000000000011E-3</v>
      </c>
      <c r="E45" s="132">
        <f t="shared" si="34"/>
        <v>9.2400000000000017E-3</v>
      </c>
      <c r="F45" s="132">
        <f t="shared" si="35"/>
        <v>1.2012000000000002E-2</v>
      </c>
      <c r="G45" s="132">
        <f t="shared" si="36"/>
        <v>1.68168E-2</v>
      </c>
      <c r="H45" s="132">
        <f t="shared" si="37"/>
        <v>2.52252E-2</v>
      </c>
      <c r="I45" s="132">
        <f t="shared" si="38"/>
        <v>4.0360320000000005E-2</v>
      </c>
      <c r="J45" s="132">
        <f t="shared" si="39"/>
        <v>6.8612544000000011E-2</v>
      </c>
      <c r="K45" s="132">
        <f t="shared" si="40"/>
        <v>0.12350257920000002</v>
      </c>
      <c r="L45" s="132">
        <f t="shared" si="41"/>
        <v>99.3</v>
      </c>
      <c r="M45" s="132">
        <f t="shared" si="42"/>
        <v>99.3</v>
      </c>
      <c r="N45" s="132">
        <f t="shared" si="43"/>
        <v>99.3</v>
      </c>
      <c r="O45" s="132">
        <f t="shared" si="44"/>
        <v>99.3</v>
      </c>
      <c r="P45" s="132">
        <f t="shared" si="45"/>
        <v>99.3</v>
      </c>
      <c r="Q45" s="132">
        <f t="shared" si="46"/>
        <v>99.3</v>
      </c>
      <c r="R45" s="132">
        <f t="shared" si="47"/>
        <v>99.3</v>
      </c>
      <c r="S45" s="132">
        <f t="shared" si="48"/>
        <v>99.3</v>
      </c>
      <c r="T45" s="132">
        <f t="shared" si="49"/>
        <v>99.3</v>
      </c>
      <c r="U45" s="132">
        <f t="shared" si="50"/>
        <v>99.3</v>
      </c>
      <c r="V45" s="132">
        <f t="shared" si="51"/>
        <v>99.3</v>
      </c>
      <c r="W45" s="132">
        <f t="shared" si="52"/>
        <v>99.3</v>
      </c>
      <c r="X45" s="132">
        <f t="shared" si="53"/>
        <v>99.3</v>
      </c>
      <c r="Y45" s="132">
        <f t="shared" si="54"/>
        <v>99.3</v>
      </c>
      <c r="Z45" s="132">
        <f t="shared" si="55"/>
        <v>99.3</v>
      </c>
      <c r="AA45" s="132">
        <f t="shared" si="56"/>
        <v>0</v>
      </c>
      <c r="AB45" s="132">
        <f t="shared" si="57"/>
        <v>0</v>
      </c>
      <c r="AC45" s="132">
        <f t="shared" si="58"/>
        <v>0</v>
      </c>
      <c r="AD45" s="132">
        <f t="shared" si="59"/>
        <v>0</v>
      </c>
      <c r="AE45" s="132">
        <f t="shared" si="60"/>
        <v>0</v>
      </c>
      <c r="AF45" s="132">
        <f t="shared" si="61"/>
        <v>0</v>
      </c>
      <c r="AG45" s="132">
        <f t="shared" si="62"/>
        <v>59.9</v>
      </c>
      <c r="AH45" s="132">
        <f t="shared" si="63"/>
        <v>59.9</v>
      </c>
      <c r="AI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</row>
    <row r="46" spans="1:82">
      <c r="A46" s="1"/>
      <c r="B46" s="118">
        <v>10</v>
      </c>
      <c r="C46" s="132">
        <f t="shared" si="64"/>
        <v>0</v>
      </c>
      <c r="D46" s="132">
        <f t="shared" si="65"/>
        <v>0</v>
      </c>
      <c r="E46" s="132">
        <f t="shared" si="34"/>
        <v>0</v>
      </c>
      <c r="F46" s="132">
        <f t="shared" si="35"/>
        <v>0</v>
      </c>
      <c r="G46" s="132">
        <f t="shared" si="36"/>
        <v>0</v>
      </c>
      <c r="H46" s="132">
        <f t="shared" si="37"/>
        <v>0</v>
      </c>
      <c r="I46" s="132">
        <f t="shared" si="38"/>
        <v>0</v>
      </c>
      <c r="J46" s="132">
        <f t="shared" si="39"/>
        <v>0</v>
      </c>
      <c r="K46" s="132">
        <f t="shared" si="40"/>
        <v>0</v>
      </c>
      <c r="L46" s="132">
        <f t="shared" si="41"/>
        <v>0</v>
      </c>
      <c r="M46" s="132">
        <f t="shared" si="42"/>
        <v>0</v>
      </c>
      <c r="N46" s="132">
        <f t="shared" si="43"/>
        <v>0</v>
      </c>
      <c r="O46" s="132">
        <f t="shared" si="44"/>
        <v>0</v>
      </c>
      <c r="P46" s="132">
        <f t="shared" si="45"/>
        <v>0</v>
      </c>
      <c r="Q46" s="132">
        <f t="shared" si="46"/>
        <v>0</v>
      </c>
      <c r="R46" s="132">
        <f t="shared" si="47"/>
        <v>0</v>
      </c>
      <c r="S46" s="132">
        <f t="shared" si="48"/>
        <v>0</v>
      </c>
      <c r="T46" s="132">
        <f t="shared" si="49"/>
        <v>0</v>
      </c>
      <c r="U46" s="132">
        <f t="shared" si="50"/>
        <v>0</v>
      </c>
      <c r="V46" s="132">
        <f t="shared" si="51"/>
        <v>0</v>
      </c>
      <c r="W46" s="132">
        <f t="shared" si="52"/>
        <v>0</v>
      </c>
      <c r="X46" s="132">
        <f t="shared" si="53"/>
        <v>0</v>
      </c>
      <c r="Y46" s="132">
        <f t="shared" si="54"/>
        <v>0</v>
      </c>
      <c r="Z46" s="132">
        <f t="shared" si="55"/>
        <v>0</v>
      </c>
      <c r="AA46" s="132">
        <f t="shared" si="56"/>
        <v>99.3</v>
      </c>
      <c r="AB46" s="132">
        <f t="shared" si="57"/>
        <v>99.3</v>
      </c>
      <c r="AC46" s="132">
        <f t="shared" si="58"/>
        <v>99.3</v>
      </c>
      <c r="AD46" s="132">
        <f t="shared" si="59"/>
        <v>99.3</v>
      </c>
      <c r="AE46" s="132">
        <f t="shared" si="60"/>
        <v>99.3</v>
      </c>
      <c r="AF46" s="132">
        <f t="shared" si="61"/>
        <v>99.3</v>
      </c>
      <c r="AG46" s="132">
        <f t="shared" si="62"/>
        <v>99.3</v>
      </c>
      <c r="AH46" s="132">
        <f t="shared" si="63"/>
        <v>99.3</v>
      </c>
      <c r="AI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</row>
    <row r="47" spans="1:82">
      <c r="A47" s="1"/>
      <c r="B47" s="118">
        <v>11</v>
      </c>
      <c r="C47" s="132">
        <f t="shared" si="64"/>
        <v>4.3</v>
      </c>
      <c r="D47" s="132">
        <f t="shared" si="65"/>
        <v>4.3</v>
      </c>
      <c r="E47" s="132">
        <f t="shared" si="34"/>
        <v>4.3</v>
      </c>
      <c r="F47" s="132">
        <f t="shared" si="35"/>
        <v>4.3</v>
      </c>
      <c r="G47" s="132">
        <f t="shared" si="36"/>
        <v>4.3</v>
      </c>
      <c r="H47" s="132">
        <f t="shared" si="37"/>
        <v>4.3</v>
      </c>
      <c r="I47" s="132">
        <f t="shared" si="38"/>
        <v>4.3</v>
      </c>
      <c r="J47" s="132">
        <f t="shared" si="39"/>
        <v>4.3</v>
      </c>
      <c r="K47" s="132">
        <f t="shared" si="40"/>
        <v>4.3</v>
      </c>
      <c r="L47" s="132">
        <f t="shared" si="41"/>
        <v>4.3</v>
      </c>
      <c r="M47" s="132">
        <f t="shared" si="42"/>
        <v>4.3</v>
      </c>
      <c r="N47" s="132">
        <f t="shared" si="43"/>
        <v>4.3</v>
      </c>
      <c r="O47" s="132">
        <f t="shared" si="44"/>
        <v>4.3</v>
      </c>
      <c r="P47" s="132">
        <f t="shared" si="45"/>
        <v>4.3</v>
      </c>
      <c r="Q47" s="132">
        <f t="shared" si="46"/>
        <v>4.3</v>
      </c>
      <c r="R47" s="132">
        <f t="shared" si="47"/>
        <v>4.3</v>
      </c>
      <c r="S47" s="132">
        <f t="shared" si="48"/>
        <v>4.3</v>
      </c>
      <c r="T47" s="132">
        <f t="shared" si="49"/>
        <v>4.3</v>
      </c>
      <c r="U47" s="132">
        <f t="shared" si="50"/>
        <v>4.3</v>
      </c>
      <c r="V47" s="132">
        <f t="shared" si="51"/>
        <v>4.3</v>
      </c>
      <c r="W47" s="132">
        <f t="shared" si="52"/>
        <v>4.3</v>
      </c>
      <c r="X47" s="132">
        <f t="shared" si="53"/>
        <v>4.3</v>
      </c>
      <c r="Y47" s="132">
        <f t="shared" si="54"/>
        <v>4.3</v>
      </c>
      <c r="Z47" s="132">
        <f t="shared" si="55"/>
        <v>4.3</v>
      </c>
      <c r="AA47" s="132">
        <f t="shared" si="56"/>
        <v>4.3</v>
      </c>
      <c r="AB47" s="132">
        <f t="shared" si="57"/>
        <v>4.3</v>
      </c>
      <c r="AC47" s="132">
        <f t="shared" si="58"/>
        <v>4.3</v>
      </c>
      <c r="AD47" s="132">
        <f t="shared" si="59"/>
        <v>4.3</v>
      </c>
      <c r="AE47" s="132">
        <f t="shared" si="60"/>
        <v>4.3</v>
      </c>
      <c r="AF47" s="132">
        <f t="shared" si="61"/>
        <v>4.3</v>
      </c>
      <c r="AG47" s="132">
        <f t="shared" si="62"/>
        <v>4.3</v>
      </c>
      <c r="AH47" s="132">
        <f t="shared" si="63"/>
        <v>4.3</v>
      </c>
      <c r="AI47" s="1"/>
      <c r="AJ47" s="1"/>
      <c r="AL47" s="1"/>
      <c r="AM47" s="1"/>
      <c r="AO47" s="1"/>
      <c r="AP47" s="1"/>
      <c r="AQ47" s="1"/>
      <c r="AR47" s="1"/>
      <c r="AT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</row>
    <row r="48" spans="1:82">
      <c r="A48" s="1"/>
      <c r="B48" s="118">
        <v>12</v>
      </c>
      <c r="C48" s="132" t="e">
        <f t="shared" si="64"/>
        <v>#VALUE!</v>
      </c>
      <c r="AH48" s="1"/>
      <c r="AI48" s="1"/>
      <c r="AJ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</row>
    <row r="49" spans="1:82">
      <c r="A49" s="1"/>
      <c r="B49" s="118">
        <v>13</v>
      </c>
      <c r="C49" s="132" t="e">
        <f t="shared" si="64"/>
        <v>#NUM!</v>
      </c>
      <c r="AI49" s="1"/>
      <c r="AJ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</row>
    <row r="50" spans="1:82">
      <c r="A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</row>
    <row r="51" spans="1:82">
      <c r="A51" s="1"/>
      <c r="B51" s="1"/>
      <c r="C51" s="137">
        <v>2019</v>
      </c>
      <c r="D51" s="137">
        <v>2020</v>
      </c>
      <c r="E51" s="137">
        <v>2021</v>
      </c>
      <c r="F51" s="137">
        <v>2022</v>
      </c>
      <c r="G51" s="137">
        <v>2023</v>
      </c>
      <c r="H51" s="137">
        <v>2024</v>
      </c>
      <c r="I51" s="137">
        <v>2025</v>
      </c>
      <c r="J51" s="137">
        <v>2026</v>
      </c>
      <c r="K51" s="137">
        <v>2027</v>
      </c>
      <c r="L51" s="137">
        <v>2028</v>
      </c>
      <c r="M51" s="137">
        <v>2029</v>
      </c>
      <c r="N51" s="137">
        <v>2030</v>
      </c>
      <c r="O51" s="137">
        <v>2031</v>
      </c>
      <c r="P51" s="137">
        <v>2032</v>
      </c>
      <c r="Q51" s="137">
        <v>2033</v>
      </c>
      <c r="R51" s="137">
        <v>2034</v>
      </c>
      <c r="S51" s="137">
        <v>2035</v>
      </c>
      <c r="T51" s="137">
        <v>2036</v>
      </c>
      <c r="U51" s="137">
        <v>2037</v>
      </c>
      <c r="V51" s="137">
        <v>2038</v>
      </c>
      <c r="W51" s="137">
        <v>2039</v>
      </c>
      <c r="X51" s="137">
        <v>2040</v>
      </c>
      <c r="Y51" s="137">
        <v>2041</v>
      </c>
      <c r="Z51" s="137">
        <v>2042</v>
      </c>
      <c r="AA51" s="137">
        <v>2043</v>
      </c>
      <c r="AB51" s="137">
        <v>2044</v>
      </c>
      <c r="AC51" s="137">
        <v>2045</v>
      </c>
      <c r="AD51" s="137">
        <v>2046</v>
      </c>
      <c r="AE51" s="137">
        <v>2047</v>
      </c>
      <c r="AF51" s="137">
        <v>2048</v>
      </c>
      <c r="AG51" s="137">
        <v>2049</v>
      </c>
      <c r="AH51" s="137">
        <v>2050</v>
      </c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</row>
    <row r="52" spans="1:82">
      <c r="B52" s="1" t="s">
        <v>140</v>
      </c>
      <c r="C52" s="17">
        <v>495.43129139999928</v>
      </c>
      <c r="D52" s="17">
        <v>91.214142000000265</v>
      </c>
      <c r="E52" s="17">
        <v>236.50513460000002</v>
      </c>
      <c r="F52" s="17">
        <v>173.54157588000044</v>
      </c>
      <c r="G52" s="17">
        <v>203.9313907199994</v>
      </c>
      <c r="H52" s="17">
        <v>178.03597520000039</v>
      </c>
      <c r="I52" s="17">
        <v>175.59480260000055</v>
      </c>
      <c r="J52" s="17">
        <v>129.86447795999948</v>
      </c>
      <c r="K52" s="17">
        <v>73.607054479999533</v>
      </c>
      <c r="L52" s="17">
        <v>61.529181080000399</v>
      </c>
      <c r="M52" s="17">
        <v>57.696809999999914</v>
      </c>
      <c r="N52" s="17">
        <v>57.389692600000217</v>
      </c>
      <c r="O52" s="17">
        <v>57.647715040000548</v>
      </c>
      <c r="P52" s="17">
        <v>87.540188599999965</v>
      </c>
      <c r="Q52" s="17">
        <v>29.55348339999955</v>
      </c>
      <c r="R52" s="17">
        <v>56.106887279999683</v>
      </c>
      <c r="S52" s="17">
        <v>38.064160000000356</v>
      </c>
      <c r="T52" s="17">
        <v>30.399783240000033</v>
      </c>
      <c r="U52" s="17">
        <v>34.986161079999874</v>
      </c>
      <c r="V52" s="17">
        <v>38.589882680000301</v>
      </c>
      <c r="W52" s="17">
        <v>25.718942519999928</v>
      </c>
      <c r="X52" s="17">
        <v>23.880023520000123</v>
      </c>
      <c r="Y52" s="17">
        <v>46.021115839999766</v>
      </c>
      <c r="Z52" s="17">
        <v>30.003085600000304</v>
      </c>
      <c r="AA52" s="17">
        <v>42.29556495999941</v>
      </c>
      <c r="AB52" s="17">
        <v>20.780273999999736</v>
      </c>
      <c r="AC52" s="17">
        <v>24.933124680000674</v>
      </c>
      <c r="AD52" s="17">
        <v>24.813352999999552</v>
      </c>
      <c r="AE52" s="17">
        <v>25.665030560000105</v>
      </c>
      <c r="AF52" s="17">
        <v>18.818847999999889</v>
      </c>
      <c r="AG52" s="17">
        <v>18.361327999999958</v>
      </c>
      <c r="AH52" s="17">
        <v>17.945547040000292</v>
      </c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</row>
    <row r="53" spans="1:82"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</row>
    <row r="54" spans="1:82">
      <c r="A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</row>
    <row r="55" spans="1:82">
      <c r="A55" s="1"/>
      <c r="B55" s="118" t="s">
        <v>115</v>
      </c>
      <c r="C55" s="118">
        <v>2019</v>
      </c>
      <c r="D55" s="118">
        <v>2019</v>
      </c>
      <c r="E55" s="118">
        <v>2020</v>
      </c>
      <c r="F55" s="118">
        <v>2020</v>
      </c>
      <c r="G55" s="118">
        <v>2021</v>
      </c>
      <c r="H55" s="118">
        <v>2021</v>
      </c>
      <c r="I55" s="118">
        <v>2022</v>
      </c>
      <c r="J55" s="118">
        <v>2022</v>
      </c>
      <c r="K55" s="118">
        <v>2023</v>
      </c>
      <c r="L55" s="118">
        <v>2023</v>
      </c>
      <c r="M55" s="118">
        <v>2024</v>
      </c>
      <c r="N55" s="118">
        <v>2024</v>
      </c>
      <c r="O55" s="118">
        <v>2025</v>
      </c>
      <c r="P55" s="118">
        <v>2025</v>
      </c>
      <c r="Q55" s="118">
        <v>2026</v>
      </c>
      <c r="R55" s="118">
        <v>2026</v>
      </c>
      <c r="S55" s="118">
        <v>2027</v>
      </c>
      <c r="T55" s="118">
        <v>2027</v>
      </c>
      <c r="U55" s="118">
        <v>2028</v>
      </c>
      <c r="V55" s="118">
        <v>2028</v>
      </c>
      <c r="W55" s="118">
        <v>2029</v>
      </c>
      <c r="X55" s="118">
        <v>2029</v>
      </c>
      <c r="Y55" s="118">
        <v>2030</v>
      </c>
      <c r="Z55" s="118">
        <v>2030</v>
      </c>
      <c r="AA55" s="118">
        <v>2031</v>
      </c>
      <c r="AB55" s="118">
        <v>2031</v>
      </c>
      <c r="AC55" s="118">
        <v>2032</v>
      </c>
      <c r="AD55" s="118">
        <v>2032</v>
      </c>
      <c r="AE55" s="118">
        <v>2033</v>
      </c>
      <c r="AF55" s="118">
        <v>2033</v>
      </c>
      <c r="AG55" s="118">
        <v>2034</v>
      </c>
      <c r="AH55" s="118">
        <v>2034</v>
      </c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</row>
    <row r="56" spans="1:82">
      <c r="A56" s="1"/>
      <c r="B56" s="118">
        <v>1</v>
      </c>
      <c r="C56" s="133" t="str">
        <f>VLOOKUP(LARGE($C$5:$C$17,B56),$C$5:$AI$17,33,FALSE)</f>
        <v>Gas CCS</v>
      </c>
      <c r="D56" s="134">
        <f>IF(IF((C52-C37)&gt;0,C37,C52)&lt;0,0,IF((C52-C37)&gt;0,C37,C52))</f>
        <v>212.20500000000001</v>
      </c>
      <c r="E56" s="133" t="str">
        <f>VLOOKUP(LARGE($D$5:$D$17,B56),$D$5:$AI$17,32,FALSE)</f>
        <v>Gas CCS</v>
      </c>
      <c r="F56" s="134">
        <f>IF(IF((D52-D37)&gt;0,D37,D52)&lt;0,0,IF((D52-D37)&gt;0,D37,D52))</f>
        <v>91.214142000000265</v>
      </c>
      <c r="G56" s="133" t="str">
        <f>VLOOKUP(LARGE($E$5:$E$17,1),$E$5:$AI$17,31,FALSE)</f>
        <v>Gas CCS</v>
      </c>
      <c r="H56" s="134">
        <f>IF(IF((E52-E37)&gt;0,E37,E52)&lt;0,0,IF((E52-E37)&gt;0,E37,E52))</f>
        <v>212.20500000000001</v>
      </c>
      <c r="I56" s="133" t="str">
        <f>VLOOKUP(LARGE($F$5:$F$17,1),$F$5:$AI$17,30,FALSE)</f>
        <v>Gas CCS</v>
      </c>
      <c r="J56" s="134">
        <f>IF(IF((F52-F37)&gt;0,F37,F52)&lt;0,0,IF((F52-F37)&gt;0,F37,F52))</f>
        <v>173.54157588000044</v>
      </c>
      <c r="K56" s="133" t="str">
        <f t="shared" ref="K56:K66" si="66">VLOOKUP(LARGE($G$5:$G$17,B56),$G$5:$AI$17,29,FALSE)</f>
        <v>Gas CCS</v>
      </c>
      <c r="L56" s="134">
        <f>IF(IF((G52-G37)&gt;0,G37,G52)&lt;0,0,IF((G52-G37)&gt;0,G37,G52))</f>
        <v>203.9313907199994</v>
      </c>
      <c r="M56" s="133" t="str">
        <f t="shared" ref="M56:M66" si="67">VLOOKUP(LARGE($H$5:$H$17,B56),$H$5:$AI$17,28,FALSE)</f>
        <v>Solar PV</v>
      </c>
      <c r="N56" s="134">
        <f>IF(IF((H52-H37)&gt;0,H37,H52)&lt;0,0,IF((H52-H37)&gt;0,H37,H52))</f>
        <v>62.0972352</v>
      </c>
      <c r="O56" s="133" t="str">
        <f t="shared" ref="O56:O66" si="68">VLOOKUP(LARGE($I$5:$I$17,B56),$I$5:$AI$17,27,FALSE)</f>
        <v>Solar PV</v>
      </c>
      <c r="P56" s="134">
        <f>IF(IF((I52-I37)&gt;0,I37,I52)&lt;0,0,IF((I52-I37)&gt;0,I37,I52))</f>
        <v>99.355576320000011</v>
      </c>
      <c r="Q56" s="133" t="str">
        <f t="shared" ref="Q56:Q66" si="69">VLOOKUP(LARGE($J$5:$J$17,B56),$J$5:$AI$17,26,FALSE)</f>
        <v>Solar PV</v>
      </c>
      <c r="R56" s="134">
        <f>IF(IF((J52-J37)&gt;0,J37,J52)&lt;0,0,IF((J52-J37)&gt;0,J37,J52))</f>
        <v>100</v>
      </c>
      <c r="S56" s="133" t="str">
        <f t="shared" ref="S56:S66" si="70">VLOOKUP(LARGE($K$5:$K$17,B56),$K$5:$AI$17,25,FALSE)</f>
        <v>Solar PV</v>
      </c>
      <c r="T56" s="134">
        <f>IF(IF((K52-K37)&gt;0,K37,K52)&lt;0,0,IF((K52-K37)&gt;0,K37,K52))</f>
        <v>73.607054479999533</v>
      </c>
      <c r="U56" s="133" t="str">
        <f t="shared" ref="U56:U66" si="71">VLOOKUP(LARGE($L$5:$L$17,B56),$L$5:$AI$17,24,FALSE)</f>
        <v>Solar PV</v>
      </c>
      <c r="V56" s="134">
        <f>IF(IF((L52-L37)&gt;0,L37,L52)&lt;0,0,IF((L52-L37)&gt;0,L37,L52))</f>
        <v>61.529181080000399</v>
      </c>
      <c r="W56" s="133" t="str">
        <f t="shared" ref="W56:W66" si="72">VLOOKUP(LARGE($M$5:$M$17,B56),$M$5:$AI$17,23,FALSE)</f>
        <v>Solar PV</v>
      </c>
      <c r="X56" s="134">
        <f>IF(IF((M52-M37)&gt;0,M37,M52)&lt;0,0,IF((M52-M37)&gt;0,M37,M52))</f>
        <v>57.696809999999914</v>
      </c>
      <c r="Y56" s="133" t="str">
        <f t="shared" ref="Y56:Y66" si="73">VLOOKUP(LARGE($N$5:$N$17,B56),$N$5:$AI$17,22,FALSE)</f>
        <v>Solar PV</v>
      </c>
      <c r="Z56" s="134">
        <f>IF(IF((N52-N37)&gt;0,N37,N52)&lt;0,0,IF((N52-N37)&gt;0,N37,N52))</f>
        <v>57.389692600000217</v>
      </c>
      <c r="AA56" s="133" t="str">
        <f t="shared" ref="AA56:AA66" si="74">VLOOKUP(LARGE($O$5:$O$17,B56),$O$5:$AI$17,21,FALSE)</f>
        <v>Solar PV</v>
      </c>
      <c r="AB56" s="134">
        <f>IF(IF((O52-O37)&gt;0,O37,O52)&lt;0,0,IF((O52-O37)&gt;0,O37,O52))</f>
        <v>57.647715040000548</v>
      </c>
      <c r="AC56" s="133" t="str">
        <f t="shared" ref="AC56:AC66" si="75">VLOOKUP(LARGE($P$5:$P$17,B56),$P$5:$AI$17,20,FALSE)</f>
        <v>Solar PV</v>
      </c>
      <c r="AD56" s="134">
        <f>IF(IF((P52-P37)&gt;0,P37,P52)&lt;0,0,IF((P52-P37)&gt;0,P37,P52))</f>
        <v>87.540188599999965</v>
      </c>
      <c r="AE56" s="133" t="str">
        <f t="shared" ref="AE56:AE66" si="76">VLOOKUP(LARGE($Q$5:$Q$17,B56),$Q$5:$AI$17,19,FALSE)</f>
        <v>Solar PV</v>
      </c>
      <c r="AF56" s="134">
        <f>IF(IF((Q52-Q37)&gt;0,Q37,Q52)&lt;0,0,IF((Q52-Q37)&gt;0,Q37,Q52))</f>
        <v>29.55348339999955</v>
      </c>
      <c r="AG56" s="133" t="str">
        <f t="shared" ref="AG56:AG66" si="77">VLOOKUP(LARGE($R$5:$R$17,B56),$R$5:$AI$17,18,FALSE)</f>
        <v>Solar PV</v>
      </c>
      <c r="AH56" s="134">
        <f>IF(IF((R52-R37)&gt;0,R37,R52)&lt;0,0,IF((R52-R37)&gt;0,R37,R52))</f>
        <v>56.106887279999683</v>
      </c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</row>
    <row r="57" spans="1:82">
      <c r="A57" s="1"/>
      <c r="B57" s="118">
        <v>2</v>
      </c>
      <c r="C57" s="133" t="str">
        <f t="shared" ref="C57:C65" si="78">VLOOKUP(LARGE($C$5:$C$17,B57),$C$5:$AI$17,33,FALSE)</f>
        <v>Solar PV</v>
      </c>
      <c r="D57" s="134">
        <f>IF(IF((C52-C38-C37)&gt;0,C38,C52-C37)&lt;0,0,IF((C52-C38-C37)&gt;0,C38,C52-C37))</f>
        <v>17.231999999999999</v>
      </c>
      <c r="E57" s="133" t="str">
        <f t="shared" ref="E57:E68" si="79">VLOOKUP(LARGE($D$5:$D$17,B57),$D$5:$AI$17,32,FALSE)</f>
        <v>Solar PV</v>
      </c>
      <c r="F57" s="134">
        <f>IF(IF((D52-D38-D37)&gt;0,D38,D52-D37)&lt;0,0,IF((D52-D38-D37)&gt;0,D38,D52-D37))</f>
        <v>0</v>
      </c>
      <c r="G57" s="133" t="str">
        <f>VLOOKUP(LARGE($E$5:$E$17,2),$E$5:$AI$17,31,FALSE)</f>
        <v>Solar PV</v>
      </c>
      <c r="H57" s="134">
        <f>IF(IF((E52-E38-E37)&gt;0,E38,E52-E37)&lt;0,0,IF((E52-E38-E37)&gt;0,E38,E52-E37))</f>
        <v>22.74624</v>
      </c>
      <c r="I57" s="133" t="str">
        <f>VLOOKUP(LARGE($F$5:$F$17,2),$F$5:$AI$17,30,FALSE)</f>
        <v>Solar PV</v>
      </c>
      <c r="J57" s="134">
        <f>IF(IF((F52-F38-F37)&gt;0,F38,F52-F37)&lt;0,0,IF((F52-F38-F37)&gt;0,F38,F52-F37))</f>
        <v>0</v>
      </c>
      <c r="K57" s="133" t="str">
        <f t="shared" si="66"/>
        <v>Solar PV</v>
      </c>
      <c r="L57" s="134">
        <f>IF(IF((G52-G38-G37)&gt;0,G38,G52-G37)&lt;0,0,IF((G52-G38-G37)&gt;0,G38,G52-G37))</f>
        <v>0</v>
      </c>
      <c r="M57" s="133" t="str">
        <f t="shared" si="67"/>
        <v>Gas CCS</v>
      </c>
      <c r="N57" s="134">
        <f>IF(IF((H52-H38-H37)&gt;0,H38,H52-H37)&lt;0,0,IF((H52-H38-H37)&gt;0,H38,H52-H37))</f>
        <v>115.93874000000039</v>
      </c>
      <c r="O57" s="133" t="str">
        <f t="shared" si="68"/>
        <v>Gas CCS</v>
      </c>
      <c r="P57" s="134">
        <f>IF(IF((I52-I38-I37)&gt;0,I38,I52-I37)&lt;0,0,IF((I52-I38-I37)&gt;0,I38,I52-I37))</f>
        <v>76.239226280000537</v>
      </c>
      <c r="Q57" s="133" t="str">
        <f t="shared" si="69"/>
        <v>Gas CCS</v>
      </c>
      <c r="R57" s="134">
        <f>IF(IF((J52-J38-J37)&gt;0,J38,J52-J37)&lt;0,0,IF((J52-J38-J37)&gt;0,J38,J52-J37))</f>
        <v>29.864477959999476</v>
      </c>
      <c r="S57" s="133" t="str">
        <f t="shared" si="70"/>
        <v>Gas CCS</v>
      </c>
      <c r="T57" s="134">
        <f>IF(IF((K52-K38-K37)&gt;0,K38,K52-K37)&lt;0,0,IF((K52-K38-K37)&gt;0,K38,K52-K37))</f>
        <v>0</v>
      </c>
      <c r="U57" s="133" t="str">
        <f t="shared" si="71"/>
        <v>Gas CCS</v>
      </c>
      <c r="V57" s="134">
        <f>IF(IF((L52-L38-L37)&gt;0,L38,L52-L37)&lt;0,0,IF((L52-L38-L37)&gt;0,L38,L52-L37))</f>
        <v>0</v>
      </c>
      <c r="W57" s="133" t="str">
        <f t="shared" si="72"/>
        <v>Gas CCS</v>
      </c>
      <c r="X57" s="134">
        <f>IF(IF((M52-M38-M37)&gt;0,M38,M52-M37)&lt;0,0,IF((M52-M38-M37)&gt;0,M38,M52-M37))</f>
        <v>0</v>
      </c>
      <c r="Y57" s="133" t="str">
        <f t="shared" si="73"/>
        <v>Gas CCS</v>
      </c>
      <c r="Z57" s="134">
        <f>IF(IF((N52-N38-N37)&gt;0,N38,N52-N37)&lt;0,0,IF((N52-N38-N37)&gt;0,N38,N52-N37))</f>
        <v>0</v>
      </c>
      <c r="AA57" s="133" t="str">
        <f t="shared" si="74"/>
        <v>Gas CCS</v>
      </c>
      <c r="AB57" s="134">
        <f>IF(IF((O52-O38-O37)&gt;0,O38,O52-O37)&lt;0,0,IF((O52-O38-O37)&gt;0,O38,O52-O37))</f>
        <v>0</v>
      </c>
      <c r="AC57" s="133" t="str">
        <f t="shared" si="75"/>
        <v>Gas CCS</v>
      </c>
      <c r="AD57" s="134">
        <f>IF(IF((P52-P38-P37)&gt;0,P38,P52-P37)&lt;0,0,IF((P52-P38-P37)&gt;0,P38,P52-P37))</f>
        <v>0</v>
      </c>
      <c r="AE57" s="133" t="str">
        <f t="shared" si="76"/>
        <v>Gas CCS</v>
      </c>
      <c r="AF57" s="134">
        <f>IF(IF((Q52-Q38-Q37)&gt;0,Q38,Q52-Q37)&lt;0,0,IF((Q52-Q38-Q37)&gt;0,Q38,Q52-Q37))</f>
        <v>0</v>
      </c>
      <c r="AG57" s="133" t="str">
        <f t="shared" si="77"/>
        <v>Gas CCS</v>
      </c>
      <c r="AH57" s="134">
        <f>IF(IF((R52-R38-R37)&gt;0,R38,R52-R37)&lt;0,0,IF((R52-R38-R37)&gt;0,R38,R52-R37))</f>
        <v>0</v>
      </c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</row>
    <row r="58" spans="1:82">
      <c r="A58" s="1"/>
      <c r="B58" s="118">
        <v>3</v>
      </c>
      <c r="C58" s="133" t="str">
        <f t="shared" si="78"/>
        <v>Wind On</v>
      </c>
      <c r="D58" s="134">
        <f>IF(IF((C52-C37-C38-C39)&gt;0,C39,C52-C38-C37)&lt;0,0,IF((C52-C37-C38-C39)&gt;0,C39,C52-C38-C37))</f>
        <v>36.274000000000001</v>
      </c>
      <c r="E58" s="133" t="str">
        <f t="shared" si="79"/>
        <v>Wind On</v>
      </c>
      <c r="F58" s="134">
        <f>IF(IF((D52-D37-D38-D39)&gt;0,D39,D52-D38-D37)&lt;0,0,IF((D52-D37-D38-D39)&gt;0,D39,D52-D38-D37))</f>
        <v>0</v>
      </c>
      <c r="G58" s="133" t="str">
        <f>VLOOKUP(LARGE($E$5:$E$17,3),$E$5:$AI$17,31,FALSE)</f>
        <v>Wind On</v>
      </c>
      <c r="H58" s="134">
        <f>IF(IF((E52-E37-E38-E39)&gt;0,E39,E52-E38-E37)&lt;0,0,IF((E52-E37-E38-E39)&gt;0,E39,E52-E38-E37))</f>
        <v>1.5538946000000067</v>
      </c>
      <c r="I58" s="133" t="str">
        <f>VLOOKUP(LARGE($F$5:$F$17,3),$F$5:$AI$17,30,FALSE)</f>
        <v>Wind On</v>
      </c>
      <c r="J58" s="134">
        <f>IF(IF((F52-F37-F38-F39)&gt;0,F39,F52-F38-F37)&lt;0,0,IF((F52-F37-F38-F39)&gt;0,F39,F52-F38-F37))</f>
        <v>0</v>
      </c>
      <c r="K58" s="133" t="str">
        <f t="shared" si="66"/>
        <v>Wind On</v>
      </c>
      <c r="L58" s="134">
        <f>IF(IF((G52-G37-G38-G39)&gt;0,G39,G52-G38-G37)&lt;0,0,IF((G52-G37-G38-G39)&gt;0,G39,G52-G38-G37))</f>
        <v>0</v>
      </c>
      <c r="M58" s="133" t="str">
        <f t="shared" si="67"/>
        <v>Wind On</v>
      </c>
      <c r="N58" s="134">
        <f>IF(IF((H52-H37-H38-H39)&gt;0,H39,H52-H38-H37)&lt;0,0,IF((H52-H37-H38-H39)&gt;0,H39,H52-H38-H37))</f>
        <v>0</v>
      </c>
      <c r="O58" s="133" t="str">
        <f t="shared" si="68"/>
        <v>Wind On</v>
      </c>
      <c r="P58" s="134">
        <f>IF(IF((I52-I37-I38-I39)&gt;0,I39,I52-I38-I37)&lt;0,0,IF((I52-I37-I38-I39)&gt;0,I39,I52-I38-I37))</f>
        <v>0</v>
      </c>
      <c r="Q58" s="133" t="str">
        <f t="shared" si="69"/>
        <v>Wind On</v>
      </c>
      <c r="R58" s="134">
        <f>IF(IF((J52-J37-J38-J39)&gt;0,J39,J52-J38-J37)&lt;0,0,IF((J52-J37-J38-J39)&gt;0,J39,J52-J38-J37))</f>
        <v>0</v>
      </c>
      <c r="S58" s="133" t="str">
        <f t="shared" si="70"/>
        <v>Wind On</v>
      </c>
      <c r="T58" s="134">
        <f>IF(IF((K52-K37-K38-K39)&gt;0,K39,K52-K38-K37)&lt;0,0,IF((K52-K37-K38-K39)&gt;0,K39,K52-K38-K37))</f>
        <v>0</v>
      </c>
      <c r="U58" s="133" t="str">
        <f t="shared" si="71"/>
        <v>Wind On</v>
      </c>
      <c r="V58" s="134">
        <f>IF(IF((L52-L37-L38-L39)&gt;0,L39,L52-L38-L37)&lt;0,0,IF((L52-L37-L38-L39)&gt;0,L39,L52-L38-L37))</f>
        <v>0</v>
      </c>
      <c r="W58" s="133" t="str">
        <f t="shared" si="72"/>
        <v>Wind On</v>
      </c>
      <c r="X58" s="134">
        <f>IF(IF((M52-M37-M38-M39)&gt;0,M39,M52-M38-M37)&lt;0,0,IF((M52-M37-M38-M39)&gt;0,M39,M52-M38-M37))</f>
        <v>0</v>
      </c>
      <c r="Y58" s="133" t="str">
        <f t="shared" si="73"/>
        <v>Wind On</v>
      </c>
      <c r="Z58" s="134">
        <f>IF(IF((N52-N37-N38-N39)&gt;0,N39,N52-N38-N37)&lt;0,0,IF((N52-N37-N38-N39)&gt;0,N39,N52-N38-N37))</f>
        <v>0</v>
      </c>
      <c r="AA58" s="133" t="str">
        <f t="shared" si="74"/>
        <v>Wind On</v>
      </c>
      <c r="AB58" s="134">
        <f>IF(IF((O52-O37-O38-O39)&gt;0,O39,O52-O38-O37)&lt;0,0,IF((O52-O37-O38-O39)&gt;0,O39,O52-O38-O37))</f>
        <v>0</v>
      </c>
      <c r="AC58" s="133" t="str">
        <f t="shared" si="75"/>
        <v>Wind On</v>
      </c>
      <c r="AD58" s="134">
        <f>IF(IF((P52-P37-P38-P39)&gt;0,P39,P52-P38-P37)&lt;0,0,IF((P52-P37-P38-P39)&gt;0,P39,P52-P38-P37))</f>
        <v>0</v>
      </c>
      <c r="AE58" s="133" t="str">
        <f t="shared" si="76"/>
        <v>Wind On</v>
      </c>
      <c r="AF58" s="134">
        <f>IF(IF((Q52-Q37-Q38-Q39)&gt;0,Q39,Q52-Q38-Q37)&lt;0,0,IF((Q52-Q37-Q38-Q39)&gt;0,Q39,Q52-Q38-Q37))</f>
        <v>0</v>
      </c>
      <c r="AG58" s="133" t="str">
        <f t="shared" si="77"/>
        <v>Wind On</v>
      </c>
      <c r="AH58" s="134">
        <f>IF(IF((R52-R37-R38-R39)&gt;0,R39,R52-R38-R37)&lt;0,0,IF((R52-R37-R38-R39)&gt;0,R39,R52-R38-R37))</f>
        <v>0</v>
      </c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</row>
    <row r="59" spans="1:82">
      <c r="A59" s="1"/>
      <c r="B59" s="118">
        <v>4</v>
      </c>
      <c r="C59" s="133" t="str">
        <f t="shared" si="78"/>
        <v xml:space="preserve">Coal </v>
      </c>
      <c r="D59" s="134">
        <f>IF(IF((C52-C37-C38-C39-C40)&gt;0,C40,C52-C37-C38-C39)&lt;0,0,IF((C52-C37-C38-C39-C40)&gt;0,C40,C52-C37-C38-C39))</f>
        <v>0</v>
      </c>
      <c r="E59" s="133" t="str">
        <f t="shared" si="79"/>
        <v xml:space="preserve">Coal </v>
      </c>
      <c r="F59" s="134">
        <f>IF(IF((D52-D37-D38-D39-D40)&gt;0,D40,D52-D37-D38-D39)&lt;0,0,IF((D52-D37-D38-D39-D40)&gt;0,D40,D52-D37-D38-D39))</f>
        <v>0</v>
      </c>
      <c r="G59" s="133" t="str">
        <f>VLOOKUP(LARGE($E$5:$E$17,4),$E$5:$AI$17,31,FALSE)</f>
        <v xml:space="preserve">Coal </v>
      </c>
      <c r="H59" s="134">
        <f>IF(IF((E52-E37-E38-E39-E40)&gt;0,E40,E52-E37-E38-E39)&lt;0,0,IF((E52-E37-E38-E39-E40)&gt;0,E40,E52-E37-E38-E39))</f>
        <v>0</v>
      </c>
      <c r="I59" s="133" t="str">
        <f>VLOOKUP(LARGE($F$5:$F$17,4),$F$5:$AI$17,30,FALSE)</f>
        <v xml:space="preserve">Coal </v>
      </c>
      <c r="J59" s="134">
        <f>IF(IF((F52-F37-F38-F39-F40)&gt;0,F40,F52-F37-F38-F39)&lt;0,0,IF((F52-F37-F38-F39-F40)&gt;0,F40,F52-F37-F38-F39))</f>
        <v>0</v>
      </c>
      <c r="K59" s="133" t="str">
        <f t="shared" si="66"/>
        <v xml:space="preserve">Coal </v>
      </c>
      <c r="L59" s="134">
        <f>IF(IF((G52-G37-G38-G39-G40)&gt;0,G40,G52-G37-G38-G39)&lt;0,0,IF((G52-G37-G38-G39-G40)&gt;0,G40,G52-G37-G38-G39))</f>
        <v>0</v>
      </c>
      <c r="M59" s="133" t="str">
        <f t="shared" si="67"/>
        <v xml:space="preserve">Coal </v>
      </c>
      <c r="N59" s="134">
        <f>IF(IF((H52-H37-H38-H39-H40)&gt;0,H40,H52-H37-H38-H39)&lt;0,0,IF((H52-H37-H38-H39-H40)&gt;0,H40,H52-H37-H38-H39))</f>
        <v>0</v>
      </c>
      <c r="O59" s="133" t="str">
        <f t="shared" si="68"/>
        <v xml:space="preserve">Coal </v>
      </c>
      <c r="P59" s="134">
        <f>IF(IF((I52-I37-I38-I39-I40)&gt;0,I40,I52-I37-I38-I39)&lt;0,0,IF((I52-I37-I38-I39-I40)&gt;0,I40,I52-I37-I38-I39))</f>
        <v>0</v>
      </c>
      <c r="Q59" s="133" t="str">
        <f t="shared" si="69"/>
        <v xml:space="preserve">Coal </v>
      </c>
      <c r="R59" s="134">
        <f>IF(IF((J52-J37-J38-J39-J40)&gt;0,J40,J52-J37-J38-J39)&lt;0,0,IF((J52-J37-J38-J39-J40)&gt;0,J40,J52-J37-J38-J39))</f>
        <v>0</v>
      </c>
      <c r="S59" s="133" t="str">
        <f t="shared" si="70"/>
        <v xml:space="preserve">Coal </v>
      </c>
      <c r="T59" s="134">
        <f>IF(IF((K52-K37-K38-K39-K40)&gt;0,K40,K52-K37-K38-K39)&lt;0,0,IF((K52-K37-K38-K39-K40)&gt;0,K40,K52-K37-K38-K39))</f>
        <v>0</v>
      </c>
      <c r="U59" s="133" t="str">
        <f t="shared" si="71"/>
        <v xml:space="preserve">Coal </v>
      </c>
      <c r="V59" s="134">
        <f>IF(IF((L52-L37-L38-L39-L40)&gt;0,L40,L52-L37-L38-L39)&lt;0,0,IF((L52-L37-L38-L39-L40)&gt;0,L40,L52-L37-L38-L39))</f>
        <v>0</v>
      </c>
      <c r="W59" s="133" t="str">
        <f t="shared" si="72"/>
        <v xml:space="preserve">Coal </v>
      </c>
      <c r="X59" s="134">
        <f>IF(IF((M52-M37-M38-M39-M40)&gt;0,M40,M52-M37-M38-M39)&lt;0,0,IF((M52-M37-M38-M39-M40)&gt;0,M40,M52-M37-M38-M39))</f>
        <v>0</v>
      </c>
      <c r="Y59" s="133" t="str">
        <f t="shared" si="73"/>
        <v xml:space="preserve">Coal </v>
      </c>
      <c r="Z59" s="134">
        <f>IF(IF((N52-N37-N38-N39-N40)&gt;0,N40,N52-N37-N38-N39)&lt;0,0,IF((N52-N37-N38-N39-N40)&gt;0,N40,N52-N37-N38-N39))</f>
        <v>0</v>
      </c>
      <c r="AA59" s="133" t="str">
        <f t="shared" si="74"/>
        <v xml:space="preserve">Coal </v>
      </c>
      <c r="AB59" s="134">
        <f>IF(IF((O52-O37-O38-O39-O40)&gt;0,O40,O52-O37-O38-O39)&lt;0,0,IF((O52-O37-O38-O39-O40)&gt;0,O40,O52-O37-O38-O39))</f>
        <v>0</v>
      </c>
      <c r="AC59" s="133" t="str">
        <f t="shared" si="75"/>
        <v xml:space="preserve">Coal </v>
      </c>
      <c r="AD59" s="134">
        <f>IF(IF((P52-P37-P38-P39-P40)&gt;0,P40,P52-P37-P38-P39)&lt;0,0,IF((P52-P37-P38-P39-P40)&gt;0,P40,P52-P37-P38-P39))</f>
        <v>0</v>
      </c>
      <c r="AE59" s="133" t="str">
        <f t="shared" si="76"/>
        <v xml:space="preserve">Coal </v>
      </c>
      <c r="AF59" s="134">
        <f>IF(IF((Q52-Q37-Q38-Q39-Q40)&gt;0,Q40,Q52-Q37-Q38-Q39)&lt;0,0,IF((Q52-Q37-Q38-Q39-Q40)&gt;0,Q40,Q52-Q37-Q38-Q39))</f>
        <v>0</v>
      </c>
      <c r="AG59" s="133" t="str">
        <f t="shared" si="77"/>
        <v xml:space="preserve">Coal </v>
      </c>
      <c r="AH59" s="134">
        <f>IF(IF((R52-R37-R38-R39-R40)&gt;0,R40,R52-R37-R38-R39)&lt;0,0,IF((R52-R37-R38-R39-R40)&gt;0,R40,R52-R37-R38-R39))</f>
        <v>0</v>
      </c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</row>
    <row r="60" spans="1:82">
      <c r="A60" s="1"/>
      <c r="B60" s="118">
        <v>5</v>
      </c>
      <c r="C60" s="133" t="str">
        <f t="shared" si="78"/>
        <v>Biomass</v>
      </c>
      <c r="D60" s="134">
        <f>IF(IF((C52-SUM(C37:C41))&gt;0,C41,C52-SUM(C37:C40))&lt;0,0,IF((C52-SUM(C37:C41))&gt;0,C41,C52-SUM(C37:C40)))</f>
        <v>34.799999999999997</v>
      </c>
      <c r="E60" s="133" t="str">
        <f t="shared" si="79"/>
        <v>Biomass</v>
      </c>
      <c r="F60" s="134">
        <f>IF(IF((D52-D37-D38-D39-D40-D41)&gt;0,D41,D52-D37-D38-D39-D40)&lt;0,0,IF((D52-D37-D38-D39-D40-D41)&gt;0,D41,D52-D37-D38-D39-D40-D41))</f>
        <v>0</v>
      </c>
      <c r="G60" s="133" t="str">
        <f>VLOOKUP(LARGE($E$5:$E$17,5),$E$5:$AI$17,31,FALSE)</f>
        <v>Biomass</v>
      </c>
      <c r="H60" s="134">
        <f>IF(IF((E52-E37-E38-E39-E40-E41)&gt;0,E41,E52-E37-E38-E39-E40)&lt;0,0,IF((E52-E37-E38-E39-E40-E41)&gt;0,E41,E52-E37-E38-E39-E40))</f>
        <v>0</v>
      </c>
      <c r="I60" s="133" t="str">
        <f>VLOOKUP(LARGE($F$5:$F$17,5),$F$5:$AI$17,30,FALSE)</f>
        <v>Biomass</v>
      </c>
      <c r="J60" s="134">
        <f>IF(IF((F52-F37-F38-F39-F40-F41)&gt;0,F41,F52-F37-F38-F39-F40)&lt;0,0,IF((F52-F37-F38-F39-F40-F41)&gt;0,F41,F52-F37-F38-F39-F40))</f>
        <v>0</v>
      </c>
      <c r="K60" s="133" t="str">
        <f t="shared" si="66"/>
        <v>Biomass</v>
      </c>
      <c r="L60" s="134">
        <f>IF(IF((G52-G37-G38-G39-G40-G41)&gt;0,G41,G52-G37-G38-G39-G40)&lt;0,0,IF((G52-G37-G38-G39-G40-G41)&gt;0,G41,G52-G37-G38-G39-G40))</f>
        <v>0</v>
      </c>
      <c r="M60" s="133" t="str">
        <f t="shared" si="67"/>
        <v>Biomass</v>
      </c>
      <c r="N60" s="134">
        <f>IF(IF((H52-H37-H38-H39-H40-H41)&gt;0,H41,H52-H37-H38-H39-H40)&lt;0,0,IF((H52-H37-H38-H39-H40-H41)&gt;0,H41,H52-H37-H38-H39-H40))</f>
        <v>0</v>
      </c>
      <c r="O60" s="133" t="str">
        <f t="shared" si="68"/>
        <v>Biomass</v>
      </c>
      <c r="P60" s="134">
        <f>IF(IF((I52-I37-I38-I39-I40-I41)&gt;0,I41,I52-I37-I38-I39-I40)&lt;0,0,IF((I52-I37-I38-I39-I40-I41)&gt;0,I41,I52-I37-I38-I39-I40))</f>
        <v>0</v>
      </c>
      <c r="Q60" s="133" t="str">
        <f t="shared" si="69"/>
        <v>Biomass</v>
      </c>
      <c r="R60" s="134">
        <f>IF(IF((J52-J37-J38-J39-J40-J41)&gt;0,J41,J52-J37-J38-J39-J40)&lt;0,0,IF((J52-J37-J38-J39-J40-J41)&gt;0,J41,J52-J37-J38-J39-J40))</f>
        <v>0</v>
      </c>
      <c r="S60" s="133" t="str">
        <f t="shared" si="70"/>
        <v>Biomass</v>
      </c>
      <c r="T60" s="134">
        <f>IF(IF((K52-K37-K38-K39-K40-K41)&gt;0,K41,K52-K37-K38-K39-K40)&lt;0,0,IF((K52-K37-K38-K39-K40-K41)&gt;0,K41,K52-K37-K38-K39-K40))</f>
        <v>0</v>
      </c>
      <c r="U60" s="133" t="str">
        <f t="shared" si="71"/>
        <v>Biomass</v>
      </c>
      <c r="V60" s="134">
        <f>IF(IF((L52-L37-L38-L39-L40-L41)&gt;0,L41,L52-L37-L38-L39-L40)&lt;0,0,IF((L52-L37-L38-L39-L40-L41)&gt;0,L41,L52-L37-L38-L39-L40))</f>
        <v>0</v>
      </c>
      <c r="W60" s="133" t="str">
        <f t="shared" si="72"/>
        <v>Biomass</v>
      </c>
      <c r="X60" s="134">
        <f>IF(IF((M52-M37-M38-M39-M40-M41)&gt;0,M41,M52-M37-M38-M39-M40)&lt;0,0,IF((M52-M37-M38-M39-M40-M41)&gt;0,M41,M52-M37-M38-M39-M40))</f>
        <v>0</v>
      </c>
      <c r="Y60" s="133" t="str">
        <f t="shared" si="73"/>
        <v>Biomass</v>
      </c>
      <c r="Z60" s="134">
        <f>IF(IF((N52-N37-N38-N39-N40-N41)&gt;0,N41,N52-N37-N38-N39-N40)&lt;0,0,IF((N52-N37-N38-N39-N40-N41)&gt;0,N41,N52-N37-N38-N39-N40))</f>
        <v>0</v>
      </c>
      <c r="AA60" s="133" t="str">
        <f t="shared" si="74"/>
        <v>Biomass</v>
      </c>
      <c r="AB60" s="134">
        <f>IF(IF((O52-O37-O38-O39-O40-O41)&gt;0,O41,O52-O37-O38-O39-O40)&lt;0,0,IF((O52-O37-O38-O39-O40-O41)&gt;0,O41,O52-O37-O38-O39-O40))</f>
        <v>0</v>
      </c>
      <c r="AC60" s="133" t="str">
        <f t="shared" si="75"/>
        <v>Biomass</v>
      </c>
      <c r="AD60" s="134">
        <f>IF(IF((P52-P37-P38-P39-P40-P41)&gt;0,P41,P52-P37-P38-P39-P40)&lt;0,0,IF((P52-P37-P38-P39-P40-P41)&gt;0,P41,P52-P37-P38-P39-P40))</f>
        <v>0</v>
      </c>
      <c r="AE60" s="133" t="str">
        <f t="shared" si="76"/>
        <v>Biomass</v>
      </c>
      <c r="AF60" s="134">
        <f>IF(IF((Q52-Q37-Q38-Q39-Q40-Q41)&gt;0,Q41,Q52-Q37-Q38-Q39-Q40)&lt;0,0,IF((Q52-Q37-Q38-Q39-Q40-Q41)&gt;0,Q41,Q52-Q37-Q38-Q39-Q40))</f>
        <v>0</v>
      </c>
      <c r="AG60" s="133" t="str">
        <f t="shared" si="77"/>
        <v>Biomass</v>
      </c>
      <c r="AH60" s="134">
        <f>IF(IF((R52-R37-R38-R39-R40-R41)&gt;0,R41,R52-R37-R38-R39-R40)&lt;0,0,IF((R52-R37-R38-R39-R40-R41)&gt;0,R41,R52-R37-R38-R39-R40))</f>
        <v>0</v>
      </c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</row>
    <row r="61" spans="1:82">
      <c r="A61" s="1"/>
      <c r="B61" s="118">
        <v>6</v>
      </c>
      <c r="C61" s="133" t="str">
        <f t="shared" si="78"/>
        <v xml:space="preserve">Hydro </v>
      </c>
      <c r="D61" s="134">
        <f>IF(IF((C52-SUM(C37:C42))&gt;0,C42,C52-SUM(C37:C41))&lt;0,0,IF((C52-SUM(C37:C42))&gt;0,C42,C52-SUM(C37:C41)))</f>
        <v>59.9</v>
      </c>
      <c r="E61" s="133" t="str">
        <f t="shared" si="79"/>
        <v xml:space="preserve">Hydro </v>
      </c>
      <c r="F61" s="134">
        <f>IF(IF((D52-SUM(D37:D42))&gt;0,D42,D52-SUM(D37:D41))&lt;0,0,IF((D52-SUM(D37:D42))&gt;0,D42,D52-SUM(D37:D41)))</f>
        <v>0</v>
      </c>
      <c r="G61" s="133" t="str">
        <f>VLOOKUP(LARGE($E$5:$E$17,6),$E$5:$AI$17,31,FALSE)</f>
        <v xml:space="preserve">Hydro </v>
      </c>
      <c r="H61" s="134">
        <f>IF(IF((E52-SUM(E37:E42))&gt;0,E42,E52-SUM(E37:E41))&lt;0,0,IF((E52-SUM(E37:E42))&gt;0,E42,E52-SUM(E37:E41)))</f>
        <v>0</v>
      </c>
      <c r="I61" s="133" t="str">
        <f>VLOOKUP(LARGE($F$5:$F$17,6),$F$5:$AI$17,30,FALSE)</f>
        <v xml:space="preserve">Hydro </v>
      </c>
      <c r="J61" s="134">
        <f>IF(IF((F52-SUM(F37:F42))&gt;0,F42,F52-SUM(F37:F41))&lt;0,0,IF((F52-SUM(F37:F42))&gt;0,F42,F52-SUM(F37:F41)))</f>
        <v>0</v>
      </c>
      <c r="K61" s="133" t="str">
        <f t="shared" si="66"/>
        <v xml:space="preserve">Hydro </v>
      </c>
      <c r="L61" s="134">
        <f>IF(IF((G52-SUM(G37:G42))&gt;0,G42,G52-SUM(G37:G41))&lt;0,0,IF((G52-SUM(G37:G42))&gt;0,G42,G52-SUM(G37:G41)))</f>
        <v>0</v>
      </c>
      <c r="M61" s="133" t="str">
        <f t="shared" si="67"/>
        <v xml:space="preserve">Hydro </v>
      </c>
      <c r="N61" s="134">
        <f>IF(IF((H52-SUM(H37:H42))&gt;0,H42,H52-SUM(H37:H41))&lt;0,0,IF((H52-SUM(H37:H42))&gt;0,H42,H52-SUM(H37:H41)))</f>
        <v>0</v>
      </c>
      <c r="O61" s="133" t="str">
        <f t="shared" si="68"/>
        <v xml:space="preserve">Hydro </v>
      </c>
      <c r="P61" s="134">
        <f>IF(IF((I52-SUM(I37:I42))&gt;0,I42,I52-SUM(I37:I41))&lt;0,0,IF((I52-SUM(I37:I42))&gt;0,I42,I52-SUM(I37:I41)))</f>
        <v>0</v>
      </c>
      <c r="Q61" s="133" t="str">
        <f t="shared" si="69"/>
        <v xml:space="preserve">Hydro </v>
      </c>
      <c r="R61" s="134">
        <f>IF(IF((J52-SUM(J37:J42))&gt;0,J42,J52-SUM(J37:J41))&lt;0,0,IF((J52-SUM(J37:J42))&gt;0,J42,J52-SUM(J37:J41)))</f>
        <v>0</v>
      </c>
      <c r="S61" s="133" t="str">
        <f t="shared" si="70"/>
        <v xml:space="preserve">Hydro </v>
      </c>
      <c r="T61" s="134">
        <f>IF(IF((K52-SUM(K37:K42))&gt;0,K42,K52-SUM(K37:K41))&lt;0,0,IF((K52-SUM(K37:K42))&gt;0,K42,K52-SUM(K37:K41)))</f>
        <v>0</v>
      </c>
      <c r="U61" s="133" t="str">
        <f t="shared" si="71"/>
        <v xml:space="preserve">Hydro </v>
      </c>
      <c r="V61" s="134">
        <f>IF(IF((L52-SUM(L37:L42))&gt;0,L42,L52-SUM(L37:L41))&lt;0,0,IF((L52-SUM(L37:L42))&gt;0,L42,L52-SUM(L37:L41)))</f>
        <v>0</v>
      </c>
      <c r="W61" s="133" t="str">
        <f t="shared" si="72"/>
        <v xml:space="preserve">Hydro </v>
      </c>
      <c r="X61" s="134">
        <f>IF(IF((M52-SUM(M37:M42))&gt;0,M42,M52-SUM(M37:M41))&lt;0,0,IF((M52-SUM(M37:M42))&gt;0,M42,M52-SUM(M37:M41)))</f>
        <v>0</v>
      </c>
      <c r="Y61" s="133" t="str">
        <f t="shared" si="73"/>
        <v>Wind Off</v>
      </c>
      <c r="Z61" s="134">
        <f>IF(IF((N52-SUM(N37:N42))&gt;0,N42,N52-SUM(N37:N41))&lt;0,0,IF((N52-SUM(N37:N42))&gt;0,N42,N52-SUM(N37:N41)))</f>
        <v>0</v>
      </c>
      <c r="AA61" s="133" t="str">
        <f t="shared" si="74"/>
        <v>Wind Off</v>
      </c>
      <c r="AB61" s="134">
        <f>IF(IF((O52-SUM(O37:O42))&gt;0,O42,O52-SUM(O37:O41))&lt;0,0,IF((O52-SUM(O37:O42))&gt;0,O42,O52-SUM(O37:O41)))</f>
        <v>0</v>
      </c>
      <c r="AC61" s="133" t="str">
        <f t="shared" si="75"/>
        <v>Wind Off</v>
      </c>
      <c r="AD61" s="134">
        <f>IF(IF((P52-SUM(P37:P42))&gt;0,P42,P52-SUM(P37:P41))&lt;0,0,IF((P52-SUM(P37:P42))&gt;0,P42,P52-SUM(P37:P41)))</f>
        <v>0</v>
      </c>
      <c r="AE61" s="133" t="str">
        <f t="shared" si="76"/>
        <v>Wind Off</v>
      </c>
      <c r="AF61" s="134">
        <f>IF(IF((Q52-SUM(Q37:Q42))&gt;0,Q42,Q52-SUM(Q37:Q41))&lt;0,0,IF((Q52-SUM(Q37:Q42))&gt;0,Q42,Q52-SUM(Q37:Q41)))</f>
        <v>0</v>
      </c>
      <c r="AG61" s="133" t="str">
        <f t="shared" si="77"/>
        <v>Wind Off</v>
      </c>
      <c r="AH61" s="134">
        <f>IF(IF((R52-SUM(R37:R42))&gt;0,R42,R52-SUM(R37:R41))&lt;0,0,IF((R52-SUM(R37:R42))&gt;0,R42,R52-SUM(R37:R41)))</f>
        <v>0</v>
      </c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</row>
    <row r="62" spans="1:82">
      <c r="A62" s="1"/>
      <c r="B62" s="118">
        <v>7</v>
      </c>
      <c r="C62" s="133" t="str">
        <f t="shared" si="78"/>
        <v>Nuclear</v>
      </c>
      <c r="D62" s="134">
        <f>IF(IF((C52-SUM(C37:C43))&gt;0,C43,C52-SUM(C37:C42))&lt;0,0,IF((C52-SUM(C37:C43))&gt;0,C43,C52-SUM(C37:C42)))</f>
        <v>71.7</v>
      </c>
      <c r="E62" s="133" t="str">
        <f t="shared" si="79"/>
        <v>Nuclear</v>
      </c>
      <c r="F62" s="134">
        <f>IF(IF((D52-SUM(D37:D43))&gt;0,D43,D52-SUM(D37:D42))&lt;0,0,IF((D52-SUM(D37:D43))&gt;0,D43,D52-SUM(D37:D42)))</f>
        <v>0</v>
      </c>
      <c r="G62" s="133" t="str">
        <f>VLOOKUP(LARGE($E$5:$E$17,7),$E$5:$AI$17,31,FALSE)</f>
        <v>Nuclear</v>
      </c>
      <c r="H62" s="134">
        <f>IF(IF((E52-SUM(E37:E43))&gt;0,E43,E52-SUM(E37:E42))&lt;0,0,IF((E52-SUM(E37:E43))&gt;0,E43,E52-SUM(E37:E42)))</f>
        <v>0</v>
      </c>
      <c r="I62" s="133" t="str">
        <f>VLOOKUP(LARGE($F$5:$F$17,7),$F$5:$AI$17,30,FALSE)</f>
        <v>Nuclear</v>
      </c>
      <c r="J62" s="134">
        <f>IF(IF((F52-SUM(F37:F43))&gt;0,F43,F52-SUM(F37:F42))&lt;0,0,IF((F52-SUM(F37:F43))&gt;0,F43,F52-SUM(F37:F42)))</f>
        <v>0</v>
      </c>
      <c r="K62" s="133" t="str">
        <f t="shared" si="66"/>
        <v>Nuclear</v>
      </c>
      <c r="L62" s="134">
        <f>IF(IF((G52-SUM(G37:G43))&gt;0,G43,G52-SUM(G37:G42))&lt;0,0,IF((G52-SUM(G37:G43))&gt;0,G43,G52-SUM(G37:G42)))</f>
        <v>0</v>
      </c>
      <c r="M62" s="133" t="str">
        <f t="shared" si="67"/>
        <v>Nuclear</v>
      </c>
      <c r="N62" s="134">
        <f>IF(IF((H52-SUM(H37:H43))&gt;0,H43,H52-SUM(H37:H42))&lt;0,0,IF((H52-SUM(H37:H43))&gt;0,H43,H52-SUM(H37:H42)))</f>
        <v>0</v>
      </c>
      <c r="O62" s="133" t="str">
        <f t="shared" si="68"/>
        <v>Nuclear</v>
      </c>
      <c r="P62" s="134">
        <f>IF(IF((I52-SUM(I37:I43))&gt;0,I43,I52-SUM(I37:I42))&lt;0,0,IF((I52-SUM(I37:I43))&gt;0,I43,I52-SUM(I37:I42)))</f>
        <v>0</v>
      </c>
      <c r="Q62" s="133" t="str">
        <f t="shared" si="69"/>
        <v>Nuclear</v>
      </c>
      <c r="R62" s="134">
        <f>IF(IF((J52-SUM(J37:J43))&gt;0,J43,J52-SUM(J37:J42))&lt;0,0,IF((J52-SUM(J37:J43))&gt;0,J43,J52-SUM(J37:J42)))</f>
        <v>0</v>
      </c>
      <c r="S62" s="133" t="str">
        <f t="shared" si="70"/>
        <v>Nuclear</v>
      </c>
      <c r="T62" s="134">
        <f>IF(IF((K52-SUM(K37:K43))&gt;0,K43,K52-SUM(K37:K42))&lt;0,0,IF((K52-SUM(K37:K43))&gt;0,K43,K52-SUM(K37:K42)))</f>
        <v>0</v>
      </c>
      <c r="U62" s="133" t="str">
        <f t="shared" si="71"/>
        <v>Nuclear</v>
      </c>
      <c r="V62" s="134">
        <f>IF(IF((L52-SUM(L37:L43))&gt;0,L43,L52-SUM(L37:L42))&lt;0,0,IF((L52-SUM(L37:L43))&gt;0,L43,L52-SUM(L37:L42)))</f>
        <v>0</v>
      </c>
      <c r="W62" s="133" t="str">
        <f t="shared" si="72"/>
        <v>Wind Off</v>
      </c>
      <c r="X62" s="134">
        <f>IF(IF((M52-SUM(M37:M43))&gt;0,M43,M52-SUM(M37:M42))&lt;0,0,IF((M52-SUM(M37:M43))&gt;0,M43,M52-SUM(M37:M42)))</f>
        <v>0</v>
      </c>
      <c r="Y62" s="133" t="str">
        <f t="shared" si="73"/>
        <v xml:space="preserve">Hydro </v>
      </c>
      <c r="Z62" s="134">
        <f>IF(IF((N52-SUM(N37:N43))&gt;0,N43,N52-SUM(N37:N42))&lt;0,0,IF((N52-SUM(N37:N43))&gt;0,N43,N52-SUM(N37:N42)))</f>
        <v>0</v>
      </c>
      <c r="AA62" s="133" t="str">
        <f t="shared" si="74"/>
        <v xml:space="preserve">Hydro </v>
      </c>
      <c r="AB62" s="134">
        <f>IF(IF((O52-SUM(O37:O43))&gt;0,O43,O52-SUM(O37:O42))&lt;0,0,IF((O52-SUM(O37:O43))&gt;0,O43,O52-SUM(O37:O42)))</f>
        <v>0</v>
      </c>
      <c r="AC62" s="133" t="str">
        <f t="shared" si="75"/>
        <v xml:space="preserve">Hydro </v>
      </c>
      <c r="AD62" s="134">
        <f>IF(IF((P52-SUM(P37:P43))&gt;0,P43,P52-SUM(P37:P42))&lt;0,0,IF((P52-SUM(P37:P43))&gt;0,P43,P52-SUM(P37:P42)))</f>
        <v>0</v>
      </c>
      <c r="AE62" s="133" t="str">
        <f t="shared" si="76"/>
        <v xml:space="preserve">Hydro </v>
      </c>
      <c r="AF62" s="134">
        <f>IF(IF((Q52-SUM(Q37:Q43))&gt;0,Q43,Q52-SUM(Q37:Q42))&lt;0,0,IF((Q52-SUM(Q37:Q43))&gt;0,Q43,Q52-SUM(Q37:Q42)))</f>
        <v>0</v>
      </c>
      <c r="AG62" s="133" t="str">
        <f t="shared" si="77"/>
        <v xml:space="preserve">Hydro </v>
      </c>
      <c r="AH62" s="134">
        <f>IF(IF((R52-SUM(R37:R43))&gt;0,R43,R52-SUM(R37:R42))&lt;0,0,IF((R52-SUM(R37:R43))&gt;0,R43,R52-SUM(R37:R42)))</f>
        <v>0</v>
      </c>
      <c r="AI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</row>
    <row r="63" spans="1:82">
      <c r="A63" s="1"/>
      <c r="B63" s="118">
        <v>8</v>
      </c>
      <c r="C63" s="133" t="str">
        <f t="shared" si="78"/>
        <v>Coal CCS</v>
      </c>
      <c r="D63" s="134">
        <f>IF(IF((C52-SUM(C37:C44))&gt;0,C44,C52-SUM(C37:C43))&lt;0,0,IF((C52-SUM(C37:C44))&gt;0,C44,C52-SUM(C37:C43)))</f>
        <v>63.320291399999292</v>
      </c>
      <c r="E63" s="133" t="str">
        <f t="shared" si="79"/>
        <v>Coal CCS</v>
      </c>
      <c r="F63" s="134">
        <f>IF(IF((D52-SUM(D37:D44))&gt;0,D44,D52-SUM(D37:D43))&lt;0,0,IF((D52-SUM(D37:D44))&gt;0,D44,D52-SUM(D37:D43)))</f>
        <v>0</v>
      </c>
      <c r="G63" s="133" t="str">
        <f>VLOOKUP(LARGE($E$5:$E$17,8),$E$5:$AI$17,31,FALSE)</f>
        <v>Coal CCS</v>
      </c>
      <c r="H63" s="134">
        <f>IF(IF((E52-SUM(E37:E44))&gt;0,E44,E52-SUM(E37:E43))&lt;0,0,IF((E52-SUM(E37:E44))&gt;0,E44,E52-SUM(E37:E43)))</f>
        <v>0</v>
      </c>
      <c r="I63" s="133" t="str">
        <f>VLOOKUP(LARGE($F$5:$F$17,8),$F$5:$AI$17,30,FALSE)</f>
        <v>Coal CCS</v>
      </c>
      <c r="J63" s="134">
        <f>IF(IF((F52-SUM(F37:F44))&gt;0,F44,F52-SUM(F37:F43))&lt;0,0,IF((F52-SUM(F37:F44))&gt;0,F44,F52-SUM(F37:F43)))</f>
        <v>0</v>
      </c>
      <c r="K63" s="133" t="str">
        <f t="shared" si="66"/>
        <v>Coal CCS</v>
      </c>
      <c r="L63" s="134">
        <f>IF(IF((G52-SUM(G37:G44))&gt;0,G44,G52-SUM(G37:G43))&lt;0,0,IF((G52-SUM(G37:G44))&gt;0,G44,G52-SUM(G37:G43)))</f>
        <v>0</v>
      </c>
      <c r="M63" s="133" t="str">
        <f t="shared" si="67"/>
        <v>Coal CCS</v>
      </c>
      <c r="N63" s="134">
        <f>IF(IF((H52-SUM(H37:H44))&gt;0,H44,H52-SUM(H37:H43))&lt;0,0,IF((H52-SUM(H37:H44))&gt;0,H44,H52-SUM(H37:H43)))</f>
        <v>0</v>
      </c>
      <c r="O63" s="133" t="str">
        <f t="shared" si="68"/>
        <v>Coal CCS</v>
      </c>
      <c r="P63" s="134">
        <f>IF(IF((I52-SUM(I37:I44))&gt;0,I44,I52-SUM(I37:I43))&lt;0,0,IF((I52-SUM(I37:I44))&gt;0,I44,I52-SUM(I37:I43)))</f>
        <v>0</v>
      </c>
      <c r="Q63" s="133" t="str">
        <f t="shared" si="69"/>
        <v>Coal CCS</v>
      </c>
      <c r="R63" s="134">
        <f>IF(IF((J52-SUM(J37:J44))&gt;0,J44,J52-SUM(J37:J43))&lt;0,0,IF((J52-SUM(J37:J44))&gt;0,J44,J52-SUM(J37:J43)))</f>
        <v>0</v>
      </c>
      <c r="S63" s="133" t="str">
        <f t="shared" si="70"/>
        <v>Coal CCS</v>
      </c>
      <c r="T63" s="134">
        <f>IF(IF((K52-SUM(K37:K44))&gt;0,K44,K52-SUM(K37:K43))&lt;0,0,IF((K52-SUM(K37:K44))&gt;0,K44,K52-SUM(K37:K43)))</f>
        <v>0</v>
      </c>
      <c r="U63" s="133" t="str">
        <f t="shared" si="71"/>
        <v>Wind Off</v>
      </c>
      <c r="V63" s="134">
        <f>IF(IF((L52-SUM(L37:L44))&gt;0,L44,L52-SUM(L37:L43))&lt;0,0,IF((L52-SUM(L37:L44))&gt;0,L44,L52-SUM(L37:L43)))</f>
        <v>0</v>
      </c>
      <c r="W63" s="133" t="str">
        <f t="shared" si="72"/>
        <v>Nuclear</v>
      </c>
      <c r="X63" s="134">
        <f>IF(IF((M52-SUM(M37:M44))&gt;0,M44,M52-SUM(M37:M43))&lt;0,0,IF((M52-SUM(M37:M44))&gt;0,M44,M52-SUM(M37:M43)))</f>
        <v>0</v>
      </c>
      <c r="Y63" s="133" t="str">
        <f t="shared" si="73"/>
        <v>Nuclear</v>
      </c>
      <c r="Z63" s="134">
        <f>IF(IF((N52-SUM(N37:N44))&gt;0,N44,N52-SUM(N37:N43))&lt;0,0,IF((N52-SUM(N37:N44))&gt;0,N44,N52-SUM(N37:N43)))</f>
        <v>0</v>
      </c>
      <c r="AA63" s="133" t="str">
        <f t="shared" si="74"/>
        <v>Nuclear</v>
      </c>
      <c r="AB63" s="134">
        <f>IF(IF((O52-SUM(O37:O44))&gt;0,O44,O52-SUM(O37:O43))&lt;0,0,IF((O52-SUM(O37:O44))&gt;0,O44,O52-SUM(O37:O43)))</f>
        <v>0</v>
      </c>
      <c r="AC63" s="133" t="str">
        <f t="shared" si="75"/>
        <v>Nuclear</v>
      </c>
      <c r="AD63" s="134">
        <f>IF(IF((P52-SUM(P37:P44))&gt;0,P44,P52-SUM(P37:P43))&lt;0,0,IF((P52-SUM(P37:P44))&gt;0,P44,P52-SUM(P37:P43)))</f>
        <v>0</v>
      </c>
      <c r="AE63" s="133" t="str">
        <f t="shared" si="76"/>
        <v>Nuclear</v>
      </c>
      <c r="AF63" s="134">
        <f>IF(IF((Q52-SUM(Q37:Q44))&gt;0,Q44,Q52-SUM(Q37:Q43))&lt;0,0,IF((Q52-SUM(Q37:Q44))&gt;0,Q44,Q52-SUM(Q37:Q43)))</f>
        <v>0</v>
      </c>
      <c r="AG63" s="133" t="str">
        <f t="shared" si="77"/>
        <v>Nuclear</v>
      </c>
      <c r="AH63" s="134">
        <f>IF(IF((R52-SUM(R37:R44))&gt;0,R44,R52-SUM(R37:R43))&lt;0,0,IF((R52-SUM(R37:R44))&gt;0,R44,R52-SUM(R37:R43)))</f>
        <v>0</v>
      </c>
      <c r="AI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</row>
    <row r="64" spans="1:82">
      <c r="A64" s="135"/>
      <c r="B64" s="118">
        <v>9</v>
      </c>
      <c r="C64" s="133" t="str">
        <f t="shared" si="78"/>
        <v>Wind Off</v>
      </c>
      <c r="D64" s="134">
        <f>IF(IF((C52-SUM(C37:C45))&gt;0,C45,C52-SUM(C37:C44))&lt;0,0,IF((C52-SUM(C37:C45))&gt;0,C45,C52-SUM(C37:C44)))</f>
        <v>0</v>
      </c>
      <c r="E64" s="133" t="str">
        <f t="shared" si="79"/>
        <v>Wind Off</v>
      </c>
      <c r="F64" s="134">
        <f>IF(IF((D52-SUM(D37:D45))&gt;0,D45,D52-SUM(D37:D44))&lt;0,0,IF((D52-SUM(D37:D45))&gt;0,D45,D52-SUM(D37:D44)))</f>
        <v>0</v>
      </c>
      <c r="G64" s="133" t="str">
        <f>VLOOKUP(LARGE($E$5:$E$17,9),$E$5:$AI$17,31,FALSE)</f>
        <v>Wind Off</v>
      </c>
      <c r="H64" s="134">
        <f>IF(IF((E52-SUM(E37:E45))&gt;0,E45,E52-SUM(E37:E44))&lt;0,0,IF((E52-SUM(E37:E45))&gt;0,E45,E52-SUM(E37:E44)))</f>
        <v>0</v>
      </c>
      <c r="I64" s="133" t="str">
        <f>VLOOKUP(LARGE($F$5:$F$17,9),$F$5:$AI$17,30,FALSE)</f>
        <v>Wind Off</v>
      </c>
      <c r="J64" s="134">
        <f>IF(IF((F52-SUM(F37:F45))&gt;0,F45,F52-SUM(F37:F44))&lt;0,0,IF((F52-SUM(F37:F45))&gt;0,F45,F52-SUM(F37:F44)))</f>
        <v>0</v>
      </c>
      <c r="K64" s="133" t="str">
        <f t="shared" si="66"/>
        <v>Wind Off</v>
      </c>
      <c r="L64" s="134">
        <f>IF(IF((G52-SUM(G37:G45))&gt;0,G45,G52-SUM(G37:G44))&lt;0,0,IF((G52-SUM(G37:G45))&gt;0,G45,G52-SUM(G37:G44)))</f>
        <v>0</v>
      </c>
      <c r="M64" s="133" t="str">
        <f t="shared" si="67"/>
        <v>Wind Off</v>
      </c>
      <c r="N64" s="134">
        <f>IF(IF((H52-SUM(H37:H45))&gt;0,H45,H52-SUM(H37:H44))&lt;0,0,IF((H52-SUM(H37:H45))&gt;0,H45,H52-SUM(H37:H44)))</f>
        <v>0</v>
      </c>
      <c r="O64" s="133" t="str">
        <f t="shared" si="68"/>
        <v>Wind Off</v>
      </c>
      <c r="P64" s="134">
        <f>IF(IF((I52-SUM(I37:I45))&gt;0,I45,I52-SUM(I37:I44))&lt;0,0,IF((I52-SUM(I37:I45))&gt;0,I45,I52-SUM(I37:I44)))</f>
        <v>0</v>
      </c>
      <c r="Q64" s="133" t="str">
        <f t="shared" si="69"/>
        <v>Wind Off</v>
      </c>
      <c r="R64" s="134">
        <f>IF(IF((J52-SUM(J37:J45))&gt;0,J45,J52-SUM(J37:J44))&lt;0,0,IF((J52-SUM(J37:J45))&gt;0,J45,J52-SUM(J37:J44)))</f>
        <v>0</v>
      </c>
      <c r="S64" s="133" t="str">
        <f t="shared" si="70"/>
        <v>Wind Off</v>
      </c>
      <c r="T64" s="134">
        <f>IF(IF((K52-SUM(K37:K45))&gt;0,K45,K52-SUM(K37:K44))&lt;0,0,IF((K52-SUM(K37:K45))&gt;0,K45,K52-SUM(K37:K44)))</f>
        <v>0</v>
      </c>
      <c r="U64" s="133" t="str">
        <f t="shared" si="71"/>
        <v>Coal CCS</v>
      </c>
      <c r="V64" s="134">
        <f>IF(IF((L52-SUM(L37:L45))&gt;0,L45,L52-SUM(L37:L44))&lt;0,0,IF((L52-SUM(L37:L45))&gt;0,L45,L52-SUM(L37:L44)))</f>
        <v>0</v>
      </c>
      <c r="W64" s="133" t="str">
        <f t="shared" si="72"/>
        <v>Coal CCS</v>
      </c>
      <c r="X64" s="134">
        <f>IF(IF((M52-SUM(M37:M45))&gt;0,M45,M52-SUM(M37:M44))&lt;0,0,IF((M52-SUM(M37:M45))&gt;0,M45,M52-SUM(M37:M44)))</f>
        <v>0</v>
      </c>
      <c r="Y64" s="133" t="str">
        <f t="shared" si="73"/>
        <v>Coal CCS</v>
      </c>
      <c r="Z64" s="134">
        <f>IF(IF((N52-SUM(N37:N45))&gt;0,N45,N52-SUM(N37:N44))&lt;0,0,IF((N52-SUM(N37:N45))&gt;0,N45,N52-SUM(N37:N44)))</f>
        <v>0</v>
      </c>
      <c r="AA64" s="133" t="str">
        <f t="shared" si="74"/>
        <v>Coal CCS</v>
      </c>
      <c r="AB64" s="134">
        <f>IF(IF((O52-SUM(O37:O45))&gt;0,O45,O52-SUM(O37:O44))&lt;0,0,IF((O52-SUM(O37:O45))&gt;0,O45,O52-SUM(O37:O44)))</f>
        <v>0</v>
      </c>
      <c r="AC64" s="133" t="str">
        <f t="shared" si="75"/>
        <v>Coal CCS</v>
      </c>
      <c r="AD64" s="134">
        <f>IF(IF((P52-SUM(P37:P45))&gt;0,P45,P52-SUM(P37:P44))&lt;0,0,IF((P52-SUM(P37:P45))&gt;0,P45,P52-SUM(P37:P44)))</f>
        <v>0</v>
      </c>
      <c r="AE64" s="133" t="str">
        <f t="shared" si="76"/>
        <v>Coal CCS</v>
      </c>
      <c r="AF64" s="134">
        <f>IF(IF((Q52-SUM(Q37:Q45))&gt;0,Q45,Q52-SUM(Q37:Q44))&lt;0,0,IF((Q52-SUM(Q37:Q45))&gt;0,Q45,Q52-SUM(Q37:Q44)))</f>
        <v>0</v>
      </c>
      <c r="AG64" s="133" t="str">
        <f t="shared" si="77"/>
        <v>Coal CCS</v>
      </c>
      <c r="AH64" s="134">
        <f>IF(IF((R52-SUM(R37:R45))&gt;0,R45,R52-SUM(R37:R44))&lt;0,0,IF((R52-SUM(R37:R45))&gt;0,R45,R52-SUM(R37:R44)))</f>
        <v>0</v>
      </c>
      <c r="AI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</row>
    <row r="65" spans="1:82">
      <c r="A65" s="1"/>
      <c r="B65" s="118">
        <v>10</v>
      </c>
      <c r="C65" s="133" t="str">
        <f t="shared" si="78"/>
        <v>Solar CSP</v>
      </c>
      <c r="D65" s="134">
        <f>IF(IF((C52-SUM(C37:C46))&gt;0,C46,C52-SUM(C37:C45))&lt;0,0,IF((C52-SUM(C37:C46))&gt;0,C46,C52-SUM(C37:C45)))</f>
        <v>0</v>
      </c>
      <c r="E65" s="133" t="str">
        <f t="shared" si="79"/>
        <v>Solar CSP</v>
      </c>
      <c r="F65" s="134">
        <f>IF(IF((D52-SUM(D37:D46))&gt;0,D46,D52-SUM(D37:D45))&lt;0,0,IF((D52-SUM(D37:D46))&gt;0,D46,D52-SUM(D37:D45)))</f>
        <v>0</v>
      </c>
      <c r="G65" s="133" t="str">
        <f>VLOOKUP(LARGE($E$5:$E$17,10),$E$5:$AI$17,31,FALSE)</f>
        <v>Solar CSP</v>
      </c>
      <c r="H65" s="134">
        <f>IF(IF((E52-SUM(E37:E46))&gt;0,E46,E52-SUM(E37:E45))&lt;0,0,IF((E52-SUM(E37:E46))&gt;0,E46,E52-SUM(E37:E45)))</f>
        <v>0</v>
      </c>
      <c r="I65" s="133" t="str">
        <f>VLOOKUP(LARGE($F$5:$F$17,10),$F$5:$AI$17,30,FALSE)</f>
        <v>Solar CSP</v>
      </c>
      <c r="J65" s="134">
        <f>IF(IF((F52-SUM(F37:F46))&gt;0,F46,F52-SUM(F37:F45))&lt;0,0,IF((F52-SUM(F37:F46))&gt;0,F46,F52-SUM(F37:F45)))</f>
        <v>0</v>
      </c>
      <c r="K65" s="133" t="str">
        <f t="shared" si="66"/>
        <v>Solar CSP</v>
      </c>
      <c r="L65" s="134">
        <f>IF(IF((G52-SUM(G37:G46))&gt;0,G46,G52-SUM(G37:G45))&lt;0,0,IF((G52-SUM(G37:G46))&gt;0,G46,G52-SUM(G37:G45)))</f>
        <v>0</v>
      </c>
      <c r="M65" s="133" t="str">
        <f t="shared" si="67"/>
        <v>Solar CSP</v>
      </c>
      <c r="N65" s="134">
        <f>IF(IF((H52-SUM(H37:H46))&gt;0,H46,H52-SUM(H37:H45))&lt;0,0,IF((H52-SUM(H37:H46))&gt;0,H46,H52-SUM(H37:H45)))</f>
        <v>0</v>
      </c>
      <c r="O65" s="133" t="str">
        <f t="shared" si="68"/>
        <v>Solar CSP</v>
      </c>
      <c r="P65" s="134">
        <f>IF(IF((I52-SUM(I37:I46))&gt;0,I46,I52-SUM(I37:I45))&lt;0,0,IF((I52-SUM(I37:I46))&gt;0,I46,I52-SUM(I37:I45)))</f>
        <v>0</v>
      </c>
      <c r="Q65" s="133" t="str">
        <f t="shared" si="69"/>
        <v>Solar CSP</v>
      </c>
      <c r="R65" s="134">
        <f>IF(IF((J52-SUM(J37:J46))&gt;0,J46,J52-SUM(J37:J45))&lt;0,0,IF((J52-SUM(J37:J46))&gt;0,J46,J52-SUM(J37:J45)))</f>
        <v>0</v>
      </c>
      <c r="S65" s="133" t="str">
        <f t="shared" si="70"/>
        <v>Solar CSP</v>
      </c>
      <c r="T65" s="134">
        <f>IF(IF((K52-SUM(K37:K46))&gt;0,K46,K52-SUM(K37:K45))&lt;0,0,IF((K52-SUM(K37:K46))&gt;0,K46,K52-SUM(K37:K45)))</f>
        <v>0</v>
      </c>
      <c r="U65" s="133" t="str">
        <f t="shared" si="71"/>
        <v>Solar CSP</v>
      </c>
      <c r="V65" s="134">
        <f>IF(IF((L52-SUM(L37:L46))&gt;0,L46,L52-SUM(L37:L45))&lt;0,0,IF((L52-SUM(L37:L46))&gt;0,L46,L52-SUM(L37:L45)))</f>
        <v>0</v>
      </c>
      <c r="W65" s="133" t="str">
        <f t="shared" si="72"/>
        <v>Solar CSP</v>
      </c>
      <c r="X65" s="134">
        <f>IF(IF((M52-SUM(M37:M46))&gt;0,M46,M52-SUM(M37:M45))&lt;0,0,IF((M52-SUM(M37:M46))&gt;0,M46,M52-SUM(M37:M45)))</f>
        <v>0</v>
      </c>
      <c r="Y65" s="133" t="str">
        <f t="shared" si="73"/>
        <v>Solar CSP</v>
      </c>
      <c r="Z65" s="134">
        <f>IF(IF((N52-SUM(N37:N46))&gt;0,N46,N52-SUM(N37:N45))&lt;0,0,IF((N52-SUM(N37:N46))&gt;0,N46,N52-SUM(N37:N45)))</f>
        <v>0</v>
      </c>
      <c r="AA65" s="133" t="str">
        <f t="shared" si="74"/>
        <v>Solar CSP</v>
      </c>
      <c r="AB65" s="134">
        <f>IF(IF((O52-SUM(O37:O46))&gt;0,O46,O52-SUM(O37:O45))&lt;0,0,IF((O52-SUM(O37:O46))&gt;0,O46,O52-SUM(O37:O45)))</f>
        <v>0</v>
      </c>
      <c r="AC65" s="133" t="str">
        <f t="shared" si="75"/>
        <v>Solar CSP</v>
      </c>
      <c r="AD65" s="134">
        <f>IF(IF((P52-SUM(P37:P46))&gt;0,P46,P52-SUM(P37:P45))&lt;0,0,IF((P52-SUM(P37:P46))&gt;0,P46,P52-SUM(P37:P45)))</f>
        <v>0</v>
      </c>
      <c r="AE65" s="133" t="str">
        <f t="shared" si="76"/>
        <v>Solar CSP</v>
      </c>
      <c r="AF65" s="134">
        <f>IF(IF((Q52-SUM(Q37:Q46))&gt;0,Q46,Q52-SUM(Q37:Q45))&lt;0,0,IF((Q52-SUM(Q37:Q46))&gt;0,Q46,Q52-SUM(Q37:Q45)))</f>
        <v>0</v>
      </c>
      <c r="AG65" s="133" t="str">
        <f t="shared" si="77"/>
        <v>Solar CSP</v>
      </c>
      <c r="AH65" s="134">
        <f>IF(IF((R52-SUM(R37:R46))&gt;0,R46,R52-SUM(R37:R45))&lt;0,0,IF((R52-SUM(R37:R46))&gt;0,R46,R52-SUM(R37:R45)))</f>
        <v>0</v>
      </c>
      <c r="AI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</row>
    <row r="66" spans="1:82">
      <c r="A66" s="1"/>
      <c r="B66" s="118">
        <v>11</v>
      </c>
      <c r="C66" s="133" t="str">
        <f>VLOOKUP(LARGE($C$5:$C$17,B66),$C$5:$AI$17,33,FALSE)</f>
        <v>Geotherm</v>
      </c>
      <c r="D66" s="134">
        <f>IF(IF((C52-SUM(C37:C47))&gt;0,C47,C52-SUM(C37:C46))&lt;0,0,IF((C52-SUM(C37:C47))&gt;0,C47,C52-SUM(C37:C46)))</f>
        <v>0</v>
      </c>
      <c r="E66" s="133" t="str">
        <f t="shared" si="79"/>
        <v>Geotherm</v>
      </c>
      <c r="F66" s="134">
        <f>IF(IF((D52-SUM(D37:D47))&gt;0,D47,D52-SUM(D37:D46))&lt;0,0,IF((D52-SUM(D37:D47))&gt;0,D47,D52-SUM(D37:D46)))</f>
        <v>0</v>
      </c>
      <c r="G66" s="133" t="str">
        <f>VLOOKUP(LARGE($E$5:$E$17,11),$E$5:$AI$17,31,FALSE)</f>
        <v>Geotherm</v>
      </c>
      <c r="H66" s="134">
        <f>IF(IF((E52-SUM(E37:E47))&gt;0,E47,E52-SUM(E37:E46))&lt;0,0,IF((E52-SUM(E37:E47))&gt;0,E47,E52-SUM(E37:E46)))</f>
        <v>0</v>
      </c>
      <c r="I66" s="133" t="str">
        <f>VLOOKUP(LARGE($F$5:$F$17,11),$F$5:$AI$17,30,FALSE)</f>
        <v>Geotherm</v>
      </c>
      <c r="J66" s="134">
        <f>IF(IF((F52-SUM(F37:F47))&gt;0,F47,F52-SUM(F37:F46))&lt;0,0,IF((F52-SUM(F37:F47))&gt;0,F47,F52-SUM(F37:F46)))</f>
        <v>0</v>
      </c>
      <c r="K66" s="133" t="str">
        <f t="shared" si="66"/>
        <v>Geotherm</v>
      </c>
      <c r="L66" s="134">
        <f>IF(IF((G52-SUM(G37:G47))&gt;0,G47,G52-SUM(G37:G46))&lt;0,0,IF((G52-SUM(G37:G47))&gt;0,G47,G52-SUM(G37:G46)))</f>
        <v>0</v>
      </c>
      <c r="M66" s="133" t="str">
        <f t="shared" si="67"/>
        <v>Geotherm</v>
      </c>
      <c r="N66" s="134">
        <f>IF(IF((H52-SUM(H37:H47))&gt;0,H47,H52-SUM(H37:H46))&lt;0,0,IF((H52-SUM(H37:H47))&gt;0,H47,H52-SUM(H37:H46)))</f>
        <v>0</v>
      </c>
      <c r="O66" s="133" t="str">
        <f t="shared" si="68"/>
        <v>Geotherm</v>
      </c>
      <c r="P66" s="134">
        <f>IF(IF((I52-SUM(I37:I47))&gt;0,I47,I52-SUM(I37:I46))&lt;0,0,IF((I52-SUM(I37:I47))&gt;0,I47,I52-SUM(I37:I46)))</f>
        <v>0</v>
      </c>
      <c r="Q66" s="133" t="str">
        <f t="shared" si="69"/>
        <v>Geotherm</v>
      </c>
      <c r="R66" s="134">
        <f>IF(IF((J52-SUM(J37:J47))&gt;0,J47,J52-SUM(J37:J46))&lt;0,0,IF((J52-SUM(J37:J47))&gt;0,J47,J52-SUM(J37:J46)))</f>
        <v>0</v>
      </c>
      <c r="S66" s="133" t="str">
        <f t="shared" si="70"/>
        <v>Geotherm</v>
      </c>
      <c r="T66" s="134">
        <f>IF(IF((K52-SUM(K37:K47))&gt;0,K47,K52-SUM(K37:K46))&lt;0,0,IF((K52-SUM(K37:K47))&gt;0,K47,K52-SUM(K37:K46)))</f>
        <v>0</v>
      </c>
      <c r="U66" s="133" t="str">
        <f t="shared" si="71"/>
        <v>Geotherm</v>
      </c>
      <c r="V66" s="134">
        <f>IF(IF((L52-SUM(L37:L47))&gt;0,L47,L52-SUM(L37:L46))&lt;0,0,IF((L52-SUM(L37:L47))&gt;0,L47,L52-SUM(L37:L46)))</f>
        <v>0</v>
      </c>
      <c r="W66" s="133" t="str">
        <f t="shared" si="72"/>
        <v>Geotherm</v>
      </c>
      <c r="X66" s="134">
        <f>IF(IF((M52-SUM(M37:M47))&gt;0,M47,M52-SUM(M37:M46))&lt;0,0,IF((M52-SUM(M37:M47))&gt;0,M47,M52-SUM(M37:M46)))</f>
        <v>0</v>
      </c>
      <c r="Y66" s="133" t="str">
        <f t="shared" si="73"/>
        <v>Geotherm</v>
      </c>
      <c r="Z66" s="134">
        <f>IF(IF((N52-SUM(N37:N47))&gt;0,N47,N52-SUM(N37:N46))&lt;0,0,IF((N52-SUM(N37:N47))&gt;0,N47,N52-SUM(N37:N46)))</f>
        <v>0</v>
      </c>
      <c r="AA66" s="133" t="str">
        <f t="shared" si="74"/>
        <v>Geotherm</v>
      </c>
      <c r="AB66" s="134">
        <f>IF(IF((O52-SUM(O37:O47))&gt;0,O47,O52-SUM(O37:O46))&lt;0,0,IF((O52-SUM(O37:O47))&gt;0,O47,O52-SUM(O37:O46)))</f>
        <v>0</v>
      </c>
      <c r="AC66" s="133" t="str">
        <f t="shared" si="75"/>
        <v>Geotherm</v>
      </c>
      <c r="AD66" s="134">
        <f>IF(IF((P52-SUM(P37:P47))&gt;0,P47,P52-SUM(P37:P46))&lt;0,0,IF((P52-SUM(P37:P47))&gt;0,P47,P52-SUM(P37:P46)))</f>
        <v>0</v>
      </c>
      <c r="AE66" s="133" t="str">
        <f t="shared" si="76"/>
        <v>Geotherm</v>
      </c>
      <c r="AF66" s="134">
        <f>IF(IF((Q52-SUM(Q37:Q47))&gt;0,Q47,Q52-SUM(Q37:Q46))&lt;0,0,IF((Q52-SUM(Q37:Q47))&gt;0,Q47,Q52-SUM(Q37:Q46)))</f>
        <v>0</v>
      </c>
      <c r="AG66" s="133" t="str">
        <f t="shared" si="77"/>
        <v>Geotherm</v>
      </c>
      <c r="AH66" s="134">
        <f>IF(IF((R52-SUM(R37:R47))&gt;0,R47,R52-SUM(R37:R46))&lt;0,0,IF((R52-SUM(R37:R47))&gt;0,R47,R52-SUM(R37:R46)))</f>
        <v>0</v>
      </c>
      <c r="AI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</row>
    <row r="67" spans="1:82">
      <c r="A67" s="1"/>
      <c r="B67" s="118">
        <v>12</v>
      </c>
      <c r="C67" s="133" t="str">
        <f>VLOOKUP(LARGE($C$5:$C$17,B67),$C$5:$AI$17,33,FALSE)</f>
        <v>Gas - CC</v>
      </c>
      <c r="D67" s="134" t="e">
        <f>IF(IF((D53-SUM(C38:C48))&gt;0,C48,D53-SUM(C38:C47))&lt;0,0,IF((D53-SUM(C38:C48))&gt;0,C48,D53-SUM(C38:C47)))</f>
        <v>#VALUE!</v>
      </c>
      <c r="E67" s="133" t="str">
        <f t="shared" si="79"/>
        <v>Gas - CC</v>
      </c>
      <c r="F67" s="134" t="str">
        <f>IF(D52-SUM(D37:D47)&gt;0,"MORE","OK")</f>
        <v>OK</v>
      </c>
      <c r="H67" s="134" t="str">
        <f>IF(E52-SUM(E37:E47)&gt;0,"MORE","OK")</f>
        <v>OK</v>
      </c>
      <c r="J67" s="134" t="str">
        <f>IF(F52-SUM(F37:F47)&gt;0,"MORE","OK")</f>
        <v>OK</v>
      </c>
      <c r="L67" s="134" t="str">
        <f>IF(G52-SUM(G37:G47)&gt;0,"MORE","OK")</f>
        <v>OK</v>
      </c>
      <c r="N67" s="134" t="str">
        <f>IF(H52-SUM(H37:H47)&gt;0,"MORE","OK")</f>
        <v>OK</v>
      </c>
      <c r="P67" s="134" t="str">
        <f>IF(I52-SUM(I37:I47)&gt;0,"MORE","OK")</f>
        <v>OK</v>
      </c>
      <c r="R67" s="134" t="str">
        <f>IF(J52-SUM(J37:J47)&gt;0,"MORE","OK")</f>
        <v>OK</v>
      </c>
      <c r="T67" s="134" t="str">
        <f>IF(K52-SUM(K37:K47)&gt;0,"MORE","OK")</f>
        <v>OK</v>
      </c>
      <c r="V67" s="134" t="str">
        <f>IF(L52-SUM(L37:L47)&gt;0,"MORE","OK")</f>
        <v>OK</v>
      </c>
      <c r="X67" s="134" t="str">
        <f>IF(M52-SUM(M37:M47)&gt;0,"MORE","OK")</f>
        <v>OK</v>
      </c>
      <c r="Z67" s="134" t="str">
        <f>IF(N52-SUM(N37:N47)&gt;0,"MORE","OK")</f>
        <v>OK</v>
      </c>
      <c r="AB67" s="134" t="str">
        <f>IF(O52-SUM(O37:O47)&gt;0,"MORE","OK")</f>
        <v>OK</v>
      </c>
      <c r="AD67" s="134" t="str">
        <f>IF(P52-SUM(P37:P47)&gt;0,"MORE","OK")</f>
        <v>OK</v>
      </c>
      <c r="AF67" s="134" t="str">
        <f>IF(Q52-SUM(Q37:Q47)&gt;0,"MORE","OK")</f>
        <v>OK</v>
      </c>
      <c r="AG67" s="1"/>
      <c r="AH67" s="134" t="str">
        <f>IF(R52-SUM(R37:R47)&gt;0,"MORE","OK")</f>
        <v>OK</v>
      </c>
      <c r="AI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</row>
    <row r="68" spans="1:82">
      <c r="A68" s="1"/>
      <c r="B68" s="118">
        <v>13</v>
      </c>
      <c r="C68" s="133" t="str">
        <f>VLOOKUP(LARGE($C$5:$C$17,B68),$C$5:$AI$17,33,FALSE)</f>
        <v>Gas - CT</v>
      </c>
      <c r="D68" s="134" t="e">
        <f t="shared" ref="D68" si="80">IF(IF((D54-SUM(C39:C49))&gt;0,C49,D54-SUM(C39:C48))&lt;0,0,IF((D54-SUM(C39:C49))&gt;0,C49,D54-SUM(C39:C48)))</f>
        <v>#VALUE!</v>
      </c>
      <c r="E68" s="133" t="str">
        <f t="shared" si="79"/>
        <v>Gas - CT</v>
      </c>
      <c r="F68" s="1"/>
      <c r="G68" s="1"/>
      <c r="H68" s="1"/>
      <c r="I68" s="1"/>
      <c r="J68" s="1"/>
      <c r="K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AA68" s="1"/>
      <c r="AB68" s="1"/>
      <c r="AC68" s="1"/>
      <c r="AD68" s="1"/>
      <c r="AE68" s="1"/>
      <c r="AF68" s="1"/>
      <c r="AG68" s="1"/>
      <c r="AI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</row>
    <row r="69" spans="1:82">
      <c r="A69" s="1"/>
      <c r="B69" s="118" t="s">
        <v>152</v>
      </c>
      <c r="D69" s="134" t="str">
        <f>IF(C52-SUM(C37:C47)&gt;0,"MORE","OK")</f>
        <v>OK</v>
      </c>
      <c r="J69">
        <f>D56+F56+H56+J56+L56+N56+P56+R57</f>
        <v>1084.4143980799997</v>
      </c>
      <c r="O69">
        <f>D56+F56+H56+J56+L56+N57+P57+R57</f>
        <v>1115.1395528400005</v>
      </c>
      <c r="AI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</row>
    <row r="70" spans="1:82">
      <c r="A70" s="1"/>
      <c r="AI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</row>
    <row r="71" spans="1:82">
      <c r="A71" s="1"/>
      <c r="AI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</row>
    <row r="72" spans="1:82">
      <c r="A72" s="1"/>
      <c r="B72" s="118" t="s">
        <v>172</v>
      </c>
      <c r="C72" s="118">
        <v>2035</v>
      </c>
      <c r="D72" s="118">
        <v>2035</v>
      </c>
      <c r="E72" s="118">
        <v>2036</v>
      </c>
      <c r="F72" s="118">
        <v>2036</v>
      </c>
      <c r="G72" s="118">
        <v>2037</v>
      </c>
      <c r="H72" s="118">
        <v>2037</v>
      </c>
      <c r="I72" s="118">
        <v>2038</v>
      </c>
      <c r="J72" s="118">
        <v>2038</v>
      </c>
      <c r="K72" s="118">
        <v>2039</v>
      </c>
      <c r="L72" s="118">
        <v>2039</v>
      </c>
      <c r="M72" s="118">
        <v>2040</v>
      </c>
      <c r="N72" s="118">
        <v>2040</v>
      </c>
      <c r="O72" s="118">
        <v>2041</v>
      </c>
      <c r="P72" s="118">
        <v>2041</v>
      </c>
      <c r="Q72" s="118">
        <v>2042</v>
      </c>
      <c r="R72" s="118">
        <v>2042</v>
      </c>
      <c r="S72" s="118">
        <v>2043</v>
      </c>
      <c r="T72" s="118">
        <v>2043</v>
      </c>
      <c r="U72" s="118">
        <v>2044</v>
      </c>
      <c r="V72" s="118">
        <v>2044</v>
      </c>
      <c r="W72" s="118">
        <v>2045</v>
      </c>
      <c r="X72" s="118">
        <v>2045</v>
      </c>
      <c r="Y72" s="118">
        <v>2046</v>
      </c>
      <c r="Z72" s="118">
        <v>2046</v>
      </c>
      <c r="AA72" s="118">
        <v>2047</v>
      </c>
      <c r="AB72" s="118">
        <v>2047</v>
      </c>
      <c r="AC72" s="118">
        <v>2048</v>
      </c>
      <c r="AD72" s="118">
        <v>2048</v>
      </c>
      <c r="AE72" s="118">
        <v>2049</v>
      </c>
      <c r="AF72" s="118">
        <v>2049</v>
      </c>
      <c r="AG72" s="118">
        <v>2050</v>
      </c>
      <c r="AH72" s="118">
        <v>2050</v>
      </c>
      <c r="AI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</row>
    <row r="73" spans="1:82">
      <c r="A73" s="1"/>
      <c r="B73" s="118">
        <v>1</v>
      </c>
      <c r="C73" s="133" t="str">
        <f t="shared" ref="C73:C83" si="81">VLOOKUP(LARGE($S$5:$S$17,B56),$S$5:$AI$17,17,FALSE)</f>
        <v>Solar PV</v>
      </c>
      <c r="D73" s="134">
        <f>IF(IF((S52-S37)&gt;0,S37,S52)&lt;0,0,IF((S52-S37)&gt;0,S37,S52))</f>
        <v>38.064160000000356</v>
      </c>
      <c r="E73" s="133" t="str">
        <f t="shared" ref="E73:E83" si="82">VLOOKUP(LARGE($T$5:$T$17,B56),$T$5:$AI$17,16,FALSE)</f>
        <v>Solar PV</v>
      </c>
      <c r="F73" s="134">
        <f>IF(IF((T52-T37)&gt;0,T37,T52)&lt;0,0,IF((T52-T37)&gt;0,T37,T52))</f>
        <v>30.399783240000033</v>
      </c>
      <c r="G73" s="133" t="str">
        <f t="shared" ref="G73:G83" si="83">VLOOKUP(LARGE($U$5:$U$17,B56),$U$5:$AI$17,15,FALSE)</f>
        <v>Solar PV</v>
      </c>
      <c r="H73" s="134">
        <f>IF(IF((U52-U37)&gt;0,U37,U52)&lt;0,0,IF((U52-U37)&gt;0,U37,U52))</f>
        <v>34.986161079999874</v>
      </c>
      <c r="I73" s="133" t="str">
        <f t="shared" ref="I73:I83" si="84">VLOOKUP(LARGE($V$5:$V$17,B56),$V$5:$AI$17,14,FALSE)</f>
        <v>Solar PV</v>
      </c>
      <c r="J73" s="134">
        <f>IF(IF((V52-V37)&gt;0,V37,V52)&lt;0,0,IF((V52-V37)&gt;0,V37,V52))</f>
        <v>38.589882680000301</v>
      </c>
      <c r="K73" s="133" t="str">
        <f t="shared" ref="K73:K83" si="85">VLOOKUP(LARGE($W$5:$W$17,B56),$W$5:$AI$17,13,FALSE)</f>
        <v>Solar PV</v>
      </c>
      <c r="L73" s="134">
        <f>IF(IF((W52-W37)&gt;0,W37,W52)&lt;0,0,IF((W52-W37)&gt;0,W37,W52))</f>
        <v>25.718942519999928</v>
      </c>
      <c r="M73" s="133" t="str">
        <f t="shared" ref="M73:M83" si="86">VLOOKUP(LARGE($X$5:$X$17,B56),$X$5:$AI$17,12,FALSE)</f>
        <v>Solar PV</v>
      </c>
      <c r="N73" s="134">
        <f>IF(IF((X52-X37)&gt;0,X37,X52)&lt;0,0,IF((X52-X37)&gt;0,X37,X52))</f>
        <v>23.880023520000123</v>
      </c>
      <c r="O73" s="133" t="str">
        <f t="shared" ref="O73:O83" si="87">VLOOKUP(LARGE($Y$5:$Y$17,B56),$Y$5:$AI$17,11,FALSE)</f>
        <v>Solar PV</v>
      </c>
      <c r="P73" s="134">
        <f>IF(IF((Y52-Y37)&gt;0,Y37,Y52)&lt;0,0,IF((Y52-Y37)&gt;0,Y37,Y52))</f>
        <v>46.021115839999766</v>
      </c>
      <c r="Q73" s="133" t="str">
        <f t="shared" ref="Q73:Q83" si="88">VLOOKUP(LARGE($Z$5:$Z$17,B56),$Z$5:$AI$17,10,FALSE)</f>
        <v>Solar PV</v>
      </c>
      <c r="R73" s="134">
        <f>IF(IF((Z52-Z37)&gt;0,Z37,Z52)&lt;0,0,IF((Z52-Z37)&gt;0,Z37,Z52))</f>
        <v>30.003085600000304</v>
      </c>
      <c r="S73" s="133" t="str">
        <f t="shared" ref="S73:S83" si="89">VLOOKUP(LARGE($AA$5:$AA$17,B56),$AA$5:$AI$17,9,FALSE)</f>
        <v>Solar PV</v>
      </c>
      <c r="T73" s="134">
        <f>IF(IF((AA52-AA37)&gt;0,AA37,AA52)&lt;0,0,IF((AA52-AA37)&gt;0,AA37,AA52))</f>
        <v>42.29556495999941</v>
      </c>
      <c r="U73" s="133" t="str">
        <f t="shared" ref="U73:U83" si="90">VLOOKUP(LARGE($AB$5:$AB$17,B56),$AB$5:$AI$17,8,FALSE)</f>
        <v>Solar PV</v>
      </c>
      <c r="V73" s="134">
        <f>IF(IF((AB52-AB37)&gt;0,AB37,AB52)&lt;0,0,IF((AB52-AB37)&gt;0,AB37,AB52))</f>
        <v>20.780273999999736</v>
      </c>
      <c r="W73" s="133" t="str">
        <f t="shared" ref="W73:W83" si="91">VLOOKUP(LARGE($AC$5:$AC$17,B56),$AC$5:$AI$17,7,FALSE)</f>
        <v>Solar PV</v>
      </c>
      <c r="X73" s="134">
        <f>IF(IF((AC52-AC37)&gt;0,AC37,AC52)&lt;0,0,IF((AC52-AC37)&gt;0,AC37,AC52))</f>
        <v>24.933124680000674</v>
      </c>
      <c r="Y73" s="133" t="str">
        <f t="shared" ref="Y73:Y83" si="92">VLOOKUP(LARGE($AD$5:$AD$17,B56),$AD$5:$AI$17,6,FALSE)</f>
        <v>Solar PV</v>
      </c>
      <c r="Z73" s="134">
        <f>IF(IF((AD52-AD37)&gt;0,AD37,AD52)&lt;0,0,IF((AD52-AD37)&gt;0,AD37,AD52))</f>
        <v>24.813352999999552</v>
      </c>
      <c r="AA73" s="133" t="str">
        <f t="shared" ref="AA73:AA83" si="93">VLOOKUP(LARGE($AE$5:$AE$17,B56),$AE$5:$AI$17,5,FALSE)</f>
        <v>Solar PV</v>
      </c>
      <c r="AB73" s="134">
        <f>IF(IF((AE52-AE37)&gt;0,AE37,AE52)&lt;0,0,IF((AE52-AE37)&gt;0,AE37,AE52))</f>
        <v>25.665030560000105</v>
      </c>
      <c r="AC73" s="133" t="str">
        <f t="shared" ref="AC73:AC83" si="94">VLOOKUP(LARGE($AF$5:$AF$17,B56),$AF$5:$AI$17,4,FALSE)</f>
        <v>Solar PV</v>
      </c>
      <c r="AD73" s="134">
        <f>IF(IF((AF52-AF37)&gt;0,AF37,AF52)&lt;0,0,IF((AF52-AF37)&gt;0,AF37,AF52))</f>
        <v>18.818847999999889</v>
      </c>
      <c r="AE73" s="133" t="str">
        <f t="shared" ref="AE73:AE83" si="95">VLOOKUP(LARGE($AG$5:$AG$17,B56),$AG$5:$AI$17,3,FALSE)</f>
        <v>Solar PV</v>
      </c>
      <c r="AF73" s="134">
        <f>IF(IF((AG52-AG37)&gt;0,AG37,AG52)&lt;0,0,IF((AG52-AG37)&gt;0,AG37,AG52))</f>
        <v>18.361327999999958</v>
      </c>
      <c r="AG73" s="133" t="str">
        <f t="shared" ref="AG73:AG83" si="96">VLOOKUP(LARGE($AH$5:$AH$17,B56),$AH$5:$AI$17,2,FALSE)</f>
        <v>Solar PV</v>
      </c>
      <c r="AH73" s="134">
        <f>IF(IF((AH52-AH37)&gt;0,AH37,AH52)&lt;0,0,IF((AH52-AH37)&gt;0,AH37,AH52))</f>
        <v>17.945547040000292</v>
      </c>
      <c r="AI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</row>
    <row r="74" spans="1:82">
      <c r="A74" s="1"/>
      <c r="B74" s="118">
        <v>2</v>
      </c>
      <c r="C74" s="133" t="str">
        <f t="shared" si="81"/>
        <v>Gas CCS</v>
      </c>
      <c r="D74" s="134">
        <f>IF(IF((S52-S38-S37)&gt;0,S38,S52-S37)&lt;0,0,IF((S52-S38-S37)&gt;0,S38,S52-S37))</f>
        <v>0</v>
      </c>
      <c r="E74" s="133" t="str">
        <f t="shared" si="82"/>
        <v>Gas CCS</v>
      </c>
      <c r="F74" s="134">
        <f>IF(IF((T52-T38-T37)&gt;0,T38,T52-T37)&lt;0,0,IF((T52-T38-T37)&gt;0,T38,T52-T37))</f>
        <v>0</v>
      </c>
      <c r="G74" s="133" t="str">
        <f t="shared" si="83"/>
        <v>Gas CCS</v>
      </c>
      <c r="H74" s="134">
        <f>IF(IF((U52-U38-U37)&gt;0,U38,U52-U37)&lt;0,0,IF((U52-U38-U37)&gt;0,U38,U52-U37))</f>
        <v>0</v>
      </c>
      <c r="I74" s="133" t="str">
        <f t="shared" si="84"/>
        <v>Gas CCS</v>
      </c>
      <c r="J74" s="134">
        <f>IF(IF((V52-V38-V37)&gt;0,V38,V52-V37)&lt;0,0,IF((V52-V38-V37)&gt;0,V38,V52-V37))</f>
        <v>0</v>
      </c>
      <c r="K74" s="133" t="str">
        <f t="shared" si="85"/>
        <v>Gas CCS</v>
      </c>
      <c r="L74" s="134">
        <f>IF(IF((W52-W38-W37)&gt;0,W38,W52-W37)&lt;0,0,IF((W52-W38-W37)&gt;0,W38,W52-W37))</f>
        <v>0</v>
      </c>
      <c r="M74" s="133" t="str">
        <f t="shared" si="86"/>
        <v>Gas CCS</v>
      </c>
      <c r="N74" s="134">
        <f>IF(IF((X52-X38-X37)&gt;0,X38,X52-X37)&lt;0,0,IF((X52-X38-X37)&gt;0,X38,X52-X37))</f>
        <v>0</v>
      </c>
      <c r="O74" s="133" t="str">
        <f t="shared" si="87"/>
        <v>Gas CCS</v>
      </c>
      <c r="P74" s="134">
        <f>IF(IF((Y52-Y38-Y37)&gt;0,Y38,Y52-Y37)&lt;0,0,IF((Y52-Y38-Y37)&gt;0,Y38,Y52-Y37))</f>
        <v>0</v>
      </c>
      <c r="Q74" s="133" t="str">
        <f t="shared" si="88"/>
        <v>Gas CCS</v>
      </c>
      <c r="R74" s="134">
        <f>IF(IF((Z52-Z38-Z37)&gt;0,Z38,Z52-Z37)&lt;0,0,IF((Z52-Z38-Z37)&gt;0,Z38,Z52-Z37))</f>
        <v>0</v>
      </c>
      <c r="S74" s="133" t="str">
        <f t="shared" si="89"/>
        <v>Gas CCS</v>
      </c>
      <c r="T74" s="134">
        <f>IF(IF((AA52-AA38-AA37)&gt;0,AA38,AA52-AA37)&lt;0,0,IF((AA52-AA38-AA37)&gt;0,AA38,AA52-AA37))</f>
        <v>0</v>
      </c>
      <c r="U74" s="133" t="str">
        <f t="shared" si="90"/>
        <v>Gas CCS</v>
      </c>
      <c r="V74" s="134">
        <f>IF(IF((AB52-AB38-AB37)&gt;0,AB38,AB52-AB37)&lt;0,0,IF((AB52-AB38-AB37)&gt;0,AB38,AB52-AB37))</f>
        <v>0</v>
      </c>
      <c r="W74" s="133" t="str">
        <f t="shared" si="91"/>
        <v>Gas CCS</v>
      </c>
      <c r="X74" s="134">
        <f>IF(IF((AC52-AC38-AC37)&gt;0,AC38,AC52-AC37)&lt;0,0,IF((AC52-AC38-AC37)&gt;0,AC38,AC52-AC37))</f>
        <v>0</v>
      </c>
      <c r="Y74" s="133" t="str">
        <f t="shared" si="92"/>
        <v>Gas CCS</v>
      </c>
      <c r="Z74" s="134">
        <f>IF(IF((AD52-AD38-AD37)&gt;0,AD38,AD52-AD37)&lt;0,0,IF((AD52-AD38-AD37)&gt;0,AD38,AD52-AD37))</f>
        <v>0</v>
      </c>
      <c r="AA74" s="133" t="str">
        <f t="shared" si="93"/>
        <v>Gas CCS</v>
      </c>
      <c r="AB74" s="134">
        <f>IF(IF((AE52-AE38-AE37)&gt;0,AE38,AE52-AE37)&lt;0,0,IF((AE52-AE38-AE37)&gt;0,AE38,AE52-AE37))</f>
        <v>0</v>
      </c>
      <c r="AC74" s="133" t="str">
        <f t="shared" si="94"/>
        <v>Gas CCS</v>
      </c>
      <c r="AD74" s="134">
        <f>IF(IF((AF52-AF38-AF37)&gt;0,AF38,AF52-AF37)&lt;0,0,IF((AF52-AF38-AF37)&gt;0,AF38,AF52-AF37))</f>
        <v>0</v>
      </c>
      <c r="AE74" s="133" t="str">
        <f t="shared" si="95"/>
        <v>Gas CCS</v>
      </c>
      <c r="AF74" s="134">
        <f>IF(IF((AG52-AG38-AG37)&gt;0,AG38,AG52-AG37)&lt;0,0,IF((AG52-AG38-AG37)&gt;0,AG38,AG52-AG37))</f>
        <v>0</v>
      </c>
      <c r="AG74" s="133" t="str">
        <f t="shared" si="96"/>
        <v>Gas CCS</v>
      </c>
      <c r="AH74" s="134">
        <f>IF(IF((AH52-AH38-AH37)&gt;0,AH38,AH52-AH37)&lt;0,0,IF((AH52-AH38-AH37)&gt;0,AH38,AH52-AH37))</f>
        <v>0</v>
      </c>
      <c r="AI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</row>
    <row r="75" spans="1:82">
      <c r="A75" s="1"/>
      <c r="B75" s="118">
        <v>3</v>
      </c>
      <c r="C75" s="133" t="str">
        <f t="shared" si="81"/>
        <v>Wind On</v>
      </c>
      <c r="D75" s="134">
        <f>IF(IF((S52-S37-S38-S39)&gt;0,S39,S52-S38-S37)&lt;0,0,IF((S52-S37-S38-S39)&gt;0,S39,S52-S38-S37))</f>
        <v>0</v>
      </c>
      <c r="E75" s="133" t="str">
        <f t="shared" si="82"/>
        <v>Wind On</v>
      </c>
      <c r="F75" s="134">
        <f>IF(IF((T52-T37-T38-T39)&gt;0,T39,T52-T38-T37)&lt;0,0,IF((T52-T37-T38-T39)&gt;0,T39,T52-T38-T37))</f>
        <v>0</v>
      </c>
      <c r="G75" s="133" t="str">
        <f t="shared" si="83"/>
        <v>Wind On</v>
      </c>
      <c r="H75" s="134">
        <f>IF(IF((U52-U37-U38-U39)&gt;0,U39,U52-U38-U37)&lt;0,0,IF((U52-U37-U38-U39)&gt;0,U39,U52-U38-U37))</f>
        <v>0</v>
      </c>
      <c r="I75" s="133" t="str">
        <f t="shared" si="84"/>
        <v>Wind On</v>
      </c>
      <c r="J75" s="134">
        <f>IF(IF((V52-V37-V38-V39)&gt;0,V39,V52-V38-V37)&lt;0,0,IF((V52-V37-V38-V39)&gt;0,V39,V52-V38-V37))</f>
        <v>0</v>
      </c>
      <c r="K75" s="133" t="str">
        <f t="shared" si="85"/>
        <v>Wind On</v>
      </c>
      <c r="L75" s="134">
        <f>IF(IF((W52-W37-W38-W39)&gt;0,W39,W52-W38-W37)&lt;0,0,IF((W52-W37-W38-W39)&gt;0,W39,W52-W38-W37))</f>
        <v>0</v>
      </c>
      <c r="M75" s="133" t="str">
        <f t="shared" si="86"/>
        <v>Wind On</v>
      </c>
      <c r="N75" s="134">
        <f>IF(IF((X52-X37-X38-X39)&gt;0,X39,X52-X38-X37)&lt;0,0,IF((X52-X37-X38-X39)&gt;0,X39,X52-X38-X37))</f>
        <v>0</v>
      </c>
      <c r="O75" s="133" t="str">
        <f t="shared" si="87"/>
        <v>Wind On</v>
      </c>
      <c r="P75" s="134">
        <f>IF(IF((Y52-Y37-Y38-Y39)&gt;0,Y39,Y52-Y38-Y37)&lt;0,0,IF((Y52-Y37-Y38-Y39)&gt;0,Y39,Y52-Y38-Y37))</f>
        <v>0</v>
      </c>
      <c r="Q75" s="133" t="str">
        <f t="shared" si="88"/>
        <v>Wind On</v>
      </c>
      <c r="R75" s="134">
        <f>IF(IF((Z52-Z37-Z38-Z39)&gt;0,Z39,Z52-Z38-Z37)&lt;0,0,IF((Z52-Z37-Z38-Z39)&gt;0,Z39,Z52-Z38-Z37))</f>
        <v>0</v>
      </c>
      <c r="S75" s="133" t="str">
        <f t="shared" si="89"/>
        <v>Wind On</v>
      </c>
      <c r="T75" s="134">
        <f>IF(IF((AA52-AA37-AA38-AA39)&gt;0,AA39,AA52-AA38-AA37)&lt;0,0,IF((AA52-AA37-AA38-AA39)&gt;0,AA39,AA52-AA38-AA37))</f>
        <v>0</v>
      </c>
      <c r="U75" s="133" t="str">
        <f t="shared" si="90"/>
        <v>Wind On</v>
      </c>
      <c r="V75" s="134">
        <f>IF(IF((AB52-AB37-AB38-AB39)&gt;0,AB39,AB52-AB38-AB37)&lt;0,0,IF((AB52-AB37-AB38-AB39)&gt;0,AB39,AB52-AB38-AB37))</f>
        <v>0</v>
      </c>
      <c r="W75" s="133" t="str">
        <f t="shared" si="91"/>
        <v>Wind On</v>
      </c>
      <c r="X75" s="134">
        <f>IF(IF((AC52-AC37-AC38-AC39)&gt;0,AC39,AC52-AC38-AC37)&lt;0,0,IF((AC52-AC37-AC38-AC39)&gt;0,AC39,AC52-AC38-AC37))</f>
        <v>0</v>
      </c>
      <c r="Y75" s="133" t="str">
        <f t="shared" si="92"/>
        <v>Wind On</v>
      </c>
      <c r="Z75" s="134">
        <f>IF(IF((AD52-AD37-AD38-AD39)&gt;0,AD39,AD52-AD38-AD37)&lt;0,0,IF((AD52-AD37-AD38-AD39)&gt;0,AD39,AD52-AD38-AD37))</f>
        <v>0</v>
      </c>
      <c r="AA75" s="133" t="str">
        <f t="shared" si="93"/>
        <v>Wind On</v>
      </c>
      <c r="AB75" s="134">
        <f>IF(IF((AE52-AE37-AE38-AE39)&gt;0,AE39,AE52-AE38-AE37)&lt;0,0,IF((AE52-AE37-AE38-AE39)&gt;0,AE39,AE52-AE38-AE37))</f>
        <v>0</v>
      </c>
      <c r="AC75" s="133" t="str">
        <f t="shared" si="94"/>
        <v>Wind On</v>
      </c>
      <c r="AD75" s="134">
        <f>IF(IF((AF52-AF37-AF38-AF39)&gt;0,AF39,AF52-AF38-AF37)&lt;0,0,IF((AF52-AF37-AF38-AF39)&gt;0,AF39,AF52-AF38-AF37))</f>
        <v>0</v>
      </c>
      <c r="AE75" s="133" t="str">
        <f t="shared" si="95"/>
        <v>Wind On</v>
      </c>
      <c r="AF75" s="134">
        <f>IF(IF((AG52-AG37-AG38-AG39)&gt;0,AG39,AG52-AG38-AG37)&lt;0,0,IF((AG52-AG37-AG38-AG39)&gt;0,AG39,AG52-AG38-AG37))</f>
        <v>0</v>
      </c>
      <c r="AG75" s="133" t="str">
        <f t="shared" si="96"/>
        <v>Wind On</v>
      </c>
      <c r="AH75" s="134">
        <f>IF(IF((AH52-AH37-AH38-AH39)&gt;0,AH39,AH52-AH38-AH37)&lt;0,0,IF((AH52-AH37-AH38-AH39)&gt;0,AH39,AH52-AH38-AH37))</f>
        <v>0</v>
      </c>
      <c r="AI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</row>
    <row r="76" spans="1:82">
      <c r="A76" s="1"/>
      <c r="B76" s="118">
        <v>4</v>
      </c>
      <c r="C76" s="133" t="str">
        <f t="shared" si="81"/>
        <v xml:space="preserve">Coal </v>
      </c>
      <c r="D76" s="134">
        <f>IF(IF((S52-S37-S38-S39-S40)&gt;0,S40,S52-S37-S38-S39)&lt;0,0,IF((S52-S37-S38-S39-S40)&gt;0,S40,S52-S37-S38-S39))</f>
        <v>0</v>
      </c>
      <c r="E76" s="133" t="str">
        <f t="shared" si="82"/>
        <v xml:space="preserve">Coal </v>
      </c>
      <c r="F76" s="134">
        <f>IF(IF((T52-T37-T38-T39-T40)&gt;0,T40,T52-T37-T38-T39)&lt;0,0,IF((T52-T37-T38-T39-T40)&gt;0,T40,T52-T37-T38-T39))</f>
        <v>0</v>
      </c>
      <c r="G76" s="133" t="str">
        <f t="shared" si="83"/>
        <v xml:space="preserve">Coal </v>
      </c>
      <c r="H76" s="134">
        <f>IF(IF((U52-U37-U38-U39-U40)&gt;0,U40,U52-U37-U38-U39)&lt;0,0,IF((U52-U37-U38-U39-U40)&gt;0,U40,U52-U37-U38-U39))</f>
        <v>0</v>
      </c>
      <c r="I76" s="133" t="str">
        <f t="shared" si="84"/>
        <v xml:space="preserve">Coal </v>
      </c>
      <c r="J76" s="134">
        <f>IF(IF((V52-V37-V38-V39-V40)&gt;0,V40,V52-V37-V38-V39)&lt;0,0,IF((V52-V37-V38-V39-V40)&gt;0,V40,V52-V37-V38-V39))</f>
        <v>0</v>
      </c>
      <c r="K76" s="133" t="str">
        <f t="shared" si="85"/>
        <v xml:space="preserve">Coal </v>
      </c>
      <c r="L76" s="134">
        <f>IF(IF((W52-W37-W38-W39-W40)&gt;0,W40,W52-W37-W38-W39)&lt;0,0,IF((W52-W37-W38-W39-W40)&gt;0,W40,W52-W37-W38-W39))</f>
        <v>0</v>
      </c>
      <c r="M76" s="133" t="str">
        <f t="shared" si="86"/>
        <v xml:space="preserve">Coal </v>
      </c>
      <c r="N76" s="134">
        <f>IF(IF((X52-X37-X38-X39-X40)&gt;0,X40,X52-X37-X38-X39)&lt;0,0,IF((X52-X37-X38-X39-X40)&gt;0,X40,X52-X37-X38-X39))</f>
        <v>0</v>
      </c>
      <c r="O76" s="133" t="str">
        <f t="shared" si="87"/>
        <v>Biomass</v>
      </c>
      <c r="P76" s="134">
        <f>IF(IF((Y52-Y37-Y38-Y39-Y40)&gt;0,Y40,Y52-Y37-Y38-Y39)&lt;0,0,IF((Y52-Y37-Y38-Y39-Y40)&gt;0,Y40,Y52-Y37-Y38-Y39))</f>
        <v>0</v>
      </c>
      <c r="Q76" s="133" t="str">
        <f t="shared" si="88"/>
        <v>Biomass</v>
      </c>
      <c r="R76" s="134">
        <f>IF(IF((Z52-Z37-Z38-Z39-Z40)&gt;0,Z40,Z52-Z37-Z38-Z39)&lt;0,0,IF((Z52-Z37-Z38-Z39-Z40)&gt;0,Z40,Z52-Z37-Z38-Z39))</f>
        <v>0</v>
      </c>
      <c r="S76" s="133" t="str">
        <f t="shared" si="89"/>
        <v>Biomass</v>
      </c>
      <c r="T76" s="134">
        <f>IF(IF((AA52-AA37-AA38-AA39-AA40)&gt;0,AA40,AA52-AA37-AA38-AA39)&lt;0,0,IF((AA52-AA37-AA38-AA39-AA40)&gt;0,AA40,AA52-AA37-AA38-AA39))</f>
        <v>0</v>
      </c>
      <c r="U76" s="133" t="str">
        <f t="shared" si="90"/>
        <v>Biomass</v>
      </c>
      <c r="V76" s="134">
        <f>IF(IF((AB52-AB37-AB38-AB39-AB40)&gt;0,AB40,AB52-AB37-AB38-AB39)&lt;0,0,IF((AB52-AB37-AB38-AB39-AB40)&gt;0,AB40,AB52-AB37-AB38-AB39))</f>
        <v>0</v>
      </c>
      <c r="W76" s="133" t="str">
        <f t="shared" si="91"/>
        <v>Biomass</v>
      </c>
      <c r="X76" s="134">
        <f>IF(IF((AC52-AC37-AC38-AC39-AC40)&gt;0,AC40,AC52-AC37-AC38-AC39)&lt;0,0,IF((AC52-AC37-AC38-AC39-AC40)&gt;0,AC40,AC52-AC37-AC38-AC39))</f>
        <v>0</v>
      </c>
      <c r="Y76" s="133" t="str">
        <f t="shared" si="92"/>
        <v>Biomass</v>
      </c>
      <c r="Z76" s="134">
        <f>IF(IF((AD52-AD37-AD38-AD39-AD40)&gt;0,AD40,AD52-AD37-AD38-AD39)&lt;0,0,IF((AD52-AD37-AD38-AD39-AD40)&gt;0,AD40,AD52-AD37-AD38-AD39))</f>
        <v>0</v>
      </c>
      <c r="AA76" s="133" t="str">
        <f t="shared" si="93"/>
        <v>Biomass</v>
      </c>
      <c r="AB76" s="134">
        <f>IF(IF((AE52-AE37-AE38-AE39-AE40)&gt;0,AE40,AE52-AE37-AE38-AE39)&lt;0,0,IF((AE52-AE37-AE38-AE39-AE40)&gt;0,AE40,AE52-AE37-AE38-AE39))</f>
        <v>0</v>
      </c>
      <c r="AC76" s="133" t="str">
        <f t="shared" si="94"/>
        <v>Biomass</v>
      </c>
      <c r="AD76" s="134">
        <f>IF(IF((AF52-AF37-AF38-AF39-AF40)&gt;0,AF40,AF52-AF37-AF38-AF39)&lt;0,0,IF((AF52-AF37-AF38-AF39-AF40)&gt;0,AF40,AF52-AF37-AF38-AF39))</f>
        <v>0</v>
      </c>
      <c r="AE76" s="133" t="str">
        <f t="shared" si="95"/>
        <v>Biomass</v>
      </c>
      <c r="AF76" s="134">
        <f>IF(IF((AG52-AG37-AG38-AG39-AG40)&gt;0,AG40,AG52-AG37-AG38-AG39)&lt;0,0,IF((AG52-AG37-AG38-AG39-AG40)&gt;0,AG40,AG52-AG37-AG38-AG39))</f>
        <v>0</v>
      </c>
      <c r="AG76" s="133" t="str">
        <f t="shared" si="96"/>
        <v>Biomass</v>
      </c>
      <c r="AH76" s="134">
        <f>IF(IF((AH52-AH37-AH38-AH39-AH40)&gt;0,AH40,AH52-AH37-AH38-AH39)&lt;0,0,IF((AH52-AH37-AH38-AH39-AH40)&gt;0,AH40,AH52-AH37-AH38-AH39))</f>
        <v>0</v>
      </c>
      <c r="AI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</row>
    <row r="77" spans="1:82">
      <c r="A77" s="1"/>
      <c r="B77" s="118">
        <v>5</v>
      </c>
      <c r="C77" s="133" t="str">
        <f t="shared" si="81"/>
        <v>Biomass</v>
      </c>
      <c r="D77" s="134">
        <f>IF(IF((S52-S37-S38-S39-S40-S41)&gt;0,S41,S52-S37-S38-S39-S40)&lt;0,0,IF((S52-S37-S38-S39-S40-S41)&gt;0,S41,S52-S37-S38-S39-S40))</f>
        <v>0</v>
      </c>
      <c r="E77" s="133" t="str">
        <f t="shared" si="82"/>
        <v>Biomass</v>
      </c>
      <c r="F77" s="134">
        <f>IF(IF((T52-T37-T38-T39-T40-T41)&gt;0,T41,T52-T37-T38-T39-T40-T41)&lt;0,0,IF((T52-T37-T38-T39-T40-T41)&gt;0,T41,T52-T37-T38-T39-T40))</f>
        <v>0</v>
      </c>
      <c r="G77" s="133" t="str">
        <f t="shared" si="83"/>
        <v>Biomass</v>
      </c>
      <c r="H77" s="134">
        <f>IF(IF((U52-U37-U38-U39-U40-U41)&gt;0,U41,U52-U37-U38-U39-U40)&lt;0,0,IF((U52-U37-U38-U39-U40-U41)&gt;0,U41,U52-U37-U38-U39-U40))</f>
        <v>0</v>
      </c>
      <c r="I77" s="133" t="str">
        <f t="shared" si="84"/>
        <v>Biomass</v>
      </c>
      <c r="J77" s="134">
        <f>IF(IF((V52-V37-V38-V39-V40-V41)&gt;0,V41,V52-V37-V38-V39-V40)&lt;0,0,IF((V52-V37-V38-V39-V40-V41)&gt;0,V41,V52-V37-V38-V39-V40))</f>
        <v>0</v>
      </c>
      <c r="K77" s="133" t="str">
        <f t="shared" si="85"/>
        <v>Biomass</v>
      </c>
      <c r="L77" s="134">
        <f>IF(IF((W52-W37-W38-W39-W40-W41)&gt;0,W41,W52-W37-W38-W39-W40)&lt;0,0,IF((W52-W37-W38-W39-W40-W41)&gt;0,W41,W52-W37-W38-W39-W40))</f>
        <v>0</v>
      </c>
      <c r="M77" s="133" t="str">
        <f t="shared" si="86"/>
        <v>Biomass</v>
      </c>
      <c r="N77" s="134">
        <f>IF(IF((X52-X37-X38-X39-X40-X41)&gt;0,X41,X52-X37-X38-X39-X40)&lt;0,0,IF((X52-X37-X38-X39-X40-X41)&gt;0,X41,X52-X37-X38-X39-X40))</f>
        <v>0</v>
      </c>
      <c r="O77" s="133" t="str">
        <f t="shared" si="87"/>
        <v xml:space="preserve">Coal </v>
      </c>
      <c r="P77" s="134">
        <f>IF(IF((Y52-Y37-Y38-Y39-Y40-Y41)&gt;0,Y41,Y52-Y37-Y38-Y39-Y40-Y41)&lt;0,0,IF((Y52-Y37-Y38-Y39-Y40-Y41)&gt;0,Y41,Y52-Y37-Y38-Y39-Y40-Y41))</f>
        <v>0</v>
      </c>
      <c r="Q77" s="133" t="str">
        <f t="shared" si="88"/>
        <v xml:space="preserve">Coal </v>
      </c>
      <c r="R77" s="134">
        <f>IF(IF((Z52-Z37-Z38-Z39-Z40-Z41)&gt;0,Z41,Z52-Z37-Z38-Z39-Z40)&lt;0,0,IF((Z52-Z37-Z38-Z39-Z40-Z41)&gt;0,Z41,Z52-Z37-Z38-Z39-Z40))</f>
        <v>0</v>
      </c>
      <c r="S77" s="133" t="str">
        <f t="shared" si="89"/>
        <v xml:space="preserve">Coal </v>
      </c>
      <c r="T77" s="134">
        <f>IF(IF((AA52-AA37-AA38-AA39-AA40-AA41)&gt;0,AA41,AA52-AA37-AA38-AA39-AA40)&lt;0,0,IF((AA52-AA37-AA38-AA39-AA40-AA41)&gt;0,AA41,AA52-AA37-AA38-AA39-AA40))</f>
        <v>0</v>
      </c>
      <c r="U77" s="133" t="str">
        <f t="shared" si="90"/>
        <v xml:space="preserve">Coal </v>
      </c>
      <c r="V77" s="134">
        <f>IF(IF((AB52-AB37-AB38-AB39-AB40-AB41)&gt;0,AB41,AB52-AB37-AB38-AB39-AB40)&lt;0,0,IF((AB52-AB37-AB38-AB39-AB40-AB41)&gt;0,AB41,AB52-AB37-AB38-AB39-AB40))</f>
        <v>0</v>
      </c>
      <c r="W77" s="133" t="str">
        <f t="shared" si="91"/>
        <v xml:space="preserve">Coal </v>
      </c>
      <c r="X77" s="134">
        <f>IF(IF((AC52-AC37-AC38-AC39-AC40-AC41)&gt;0,AC41,AC52-AC37-AC38-AC39-AC40)&lt;0,0,IF((AC52-AC37-AC38-AC39-AC40-AC41)&gt;0,AC41,AC52-AC37-AC38-AC39-AC40))</f>
        <v>0</v>
      </c>
      <c r="Y77" s="133" t="str">
        <f t="shared" si="92"/>
        <v xml:space="preserve">Coal </v>
      </c>
      <c r="Z77" s="134">
        <f>IF(IF((AD52-AD37-AD38-AD39-AD40-AD41)&gt;0,AD41,AD52-AD37-AD38-AD39-AD40)&lt;0,0,IF((AD52-AD37-AD38-AD39-AD40-AD41)&gt;0,AD41,AD52-AD37-AD38-AD39-AD40))</f>
        <v>0</v>
      </c>
      <c r="AA77" s="133" t="str">
        <f t="shared" si="93"/>
        <v xml:space="preserve">Coal </v>
      </c>
      <c r="AB77" s="134">
        <f>IF(IF((AE52-AE37-AE38-AE39-AE40-AE41)&gt;0,AE41,AE52-AE37-AE38-AE39-AE40)&lt;0,0,IF((AE52-AE37-AE38-AE39-AE40-AE41)&gt;0,AE41,AE52-AE37-AE38-AE39-AE40))</f>
        <v>0</v>
      </c>
      <c r="AC77" s="133" t="str">
        <f t="shared" si="94"/>
        <v xml:space="preserve">Coal </v>
      </c>
      <c r="AD77" s="134">
        <f>IF(IF((AF52-AF37-AF38-AF39-AF40-AF41)&gt;0,AF41,AF52-AF37-AF38-AF39-AF40)&lt;0,0,IF((AF52-AF37-AF38-AF39-AF40-AF41)&gt;0,AF41,AF52-AF37-AF38-AF39-AF40))</f>
        <v>0</v>
      </c>
      <c r="AE77" s="133" t="str">
        <f t="shared" si="95"/>
        <v xml:space="preserve">Coal </v>
      </c>
      <c r="AF77" s="134">
        <f>IF(IF((AG52-AG37-AG38-AG39-AG40-AG41)&gt;0,AG41,AG52-AG37-AG38-AG39-AG40)&lt;0,0,IF((AG52-AG37-AG38-AG39-AG40-AG41)&gt;0,AG41,AG52-AG37-AG38-AG39-AG40))</f>
        <v>0</v>
      </c>
      <c r="AG77" s="133" t="str">
        <f t="shared" si="96"/>
        <v xml:space="preserve">Coal </v>
      </c>
      <c r="AH77" s="134">
        <f>IF(IF((AH52-AH37-AH38-AH39-AH40-AH41)&gt;0,AH41,AH52-AH37-AH38-AH39-AH40)&lt;0,0,IF((AH52-AH37-AH38-AH39-AH40-AH41)&gt;0,AH41,AH52-AH37-AH38-AH39-AH40))</f>
        <v>0</v>
      </c>
      <c r="AI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</row>
    <row r="78" spans="1:82">
      <c r="A78" s="1"/>
      <c r="B78" s="118">
        <v>6</v>
      </c>
      <c r="C78" s="133" t="str">
        <f t="shared" si="81"/>
        <v>Wind Off</v>
      </c>
      <c r="D78" s="134">
        <f>IF(IF((S52-SUM(S37:S42))&gt;0,S42,S52-SUM(S37:S41))&lt;0,0,IF((S52-SUM(S37:S42))&gt;0,S42,S52-SUM(S37:S41)))</f>
        <v>0</v>
      </c>
      <c r="E78" s="133" t="str">
        <f t="shared" si="82"/>
        <v>Wind Off</v>
      </c>
      <c r="F78" s="134">
        <f>IF(IF((T52-SUM(T37:T42))&gt;0,T42,T52-SUM(T37:T41))&lt;0,0,IF((T52-SUM(T37:T42))&gt;0,T42,T52-SUM(T37:T41)))</f>
        <v>0</v>
      </c>
      <c r="G78" s="133" t="str">
        <f t="shared" si="83"/>
        <v>Wind Off</v>
      </c>
      <c r="H78" s="134">
        <f>IF(IF((U52-SUM(U37:U42))&gt;0,U42,U52-SUM(U37:U41))&lt;0,0,IF((U52-SUM(U37:U42))&gt;0,U42,U52-SUM(U37:U41)))</f>
        <v>0</v>
      </c>
      <c r="I78" s="133" t="str">
        <f t="shared" si="84"/>
        <v>Wind Off</v>
      </c>
      <c r="J78" s="134">
        <f>IF(IF((V52-SUM(V37:V42))&gt;0,V42,V52-SUM(V37:V41))&lt;0,0,IF((V52-SUM(V37:V42))&gt;0,V42,V52-SUM(V37:V41)))</f>
        <v>0</v>
      </c>
      <c r="K78" s="133" t="str">
        <f t="shared" si="85"/>
        <v>Wind Off</v>
      </c>
      <c r="L78" s="134">
        <f>IF(IF((W52-SUM(W37:W42))&gt;0,W42,W52-SUM(W37:W41))&lt;0,0,IF((W52-SUM(W37:W42))&gt;0,W42,W52-SUM(W37:W41)))</f>
        <v>0</v>
      </c>
      <c r="M78" s="133" t="str">
        <f t="shared" si="86"/>
        <v>Wind Off</v>
      </c>
      <c r="N78" s="134">
        <f>IF(IF((X52-SUM(X37:X42))&gt;0,X42,X52-SUM(X37:X41))&lt;0,0,IF((X52-SUM(X37:X42))&gt;0,X42,X52-SUM(X37:X41)))</f>
        <v>0</v>
      </c>
      <c r="O78" s="133" t="str">
        <f t="shared" si="87"/>
        <v>Wind Off</v>
      </c>
      <c r="P78" s="134">
        <f>IF(IF((Y52-SUM(Y37:Y42))&gt;0,Y42,Y52-SUM(Y37:Y41))&lt;0,0,IF((Y52-SUM(Y37:Y42))&gt;0,Y42,Y52-SUM(Y37:Y41)))</f>
        <v>0</v>
      </c>
      <c r="Q78" s="133" t="str">
        <f t="shared" si="88"/>
        <v>Wind Off</v>
      </c>
      <c r="R78" s="134">
        <f>IF(IF((Z52-SUM(Z37:Z42))&gt;0,Z42,Z52-SUM(Z37:Z41))&lt;0,0,IF((Z52-SUM(Z37:Z42))&gt;0,Z42,Z52-SUM(Z37:Z41)))</f>
        <v>0</v>
      </c>
      <c r="S78" s="133" t="str">
        <f t="shared" si="89"/>
        <v>Wind Off</v>
      </c>
      <c r="T78" s="134">
        <f>IF(IF((AA52-SUM(AA37:AA42))&gt;0,AA42,AA52-SUM(AA37:AA41))&lt;0,0,IF((AA52-SUM(AA37:AA42))&gt;0,AA42,AA52-SUM(AA37:AA41)))</f>
        <v>0</v>
      </c>
      <c r="U78" s="133" t="str">
        <f t="shared" si="90"/>
        <v>Wind Off</v>
      </c>
      <c r="V78" s="134">
        <f>IF(IF((AB52-SUM(AB37:AB42))&gt;0,AB42,AB52-SUM(AB37:AB41))&lt;0,0,IF((AB52-SUM(AB37:AB42))&gt;0,AB42,AB52-SUM(AB37:AB41)))</f>
        <v>0</v>
      </c>
      <c r="W78" s="133" t="str">
        <f t="shared" si="91"/>
        <v>Wind Off</v>
      </c>
      <c r="X78" s="134">
        <f>IF(IF((AC52-SUM(AC37:AC42))&gt;0,AC42,AC52-SUM(AC37:AC41))&lt;0,0,IF((AC52-SUM(AC37:AC42))&gt;0,AC42,AC52-SUM(AC37:AC41)))</f>
        <v>0</v>
      </c>
      <c r="Y78" s="133" t="str">
        <f t="shared" si="92"/>
        <v>Wind Off</v>
      </c>
      <c r="Z78" s="134">
        <f>IF(IF((AD52-SUM(AD37:AD42))&gt;0,AD42,AD52-SUM(AD37:AD41))&lt;0,0,IF((AD52-SUM(AD37:AD42))&gt;0,AD42,AD52-SUM(AD37:AD41)))</f>
        <v>0</v>
      </c>
      <c r="AA78" s="133" t="str">
        <f t="shared" si="93"/>
        <v>Wind Off</v>
      </c>
      <c r="AB78" s="134">
        <f>IF(IF((AE52-SUM(AE37:AE42))&gt;0,AE42,AE52-SUM(AE37:AE41))&lt;0,0,IF((AE52-SUM(AE37:AE42))&gt;0,AE42,AE52-SUM(AE37:AE41)))</f>
        <v>0</v>
      </c>
      <c r="AC78" s="133" t="str">
        <f t="shared" si="94"/>
        <v>Wind Off</v>
      </c>
      <c r="AD78" s="134">
        <f>IF(IF((AF52-SUM(AF37:AF42))&gt;0,AF42,AF52-SUM(AF37:AF41))&lt;0,0,IF((AF52-SUM(AF37:AF42))&gt;0,AF42,AF52-SUM(AF37:AF41)))</f>
        <v>0</v>
      </c>
      <c r="AE78" s="133" t="str">
        <f t="shared" si="95"/>
        <v>Wind Off</v>
      </c>
      <c r="AF78" s="134">
        <f>IF(IF((AG52-SUM(AG37:AG42))&gt;0,AG42,AG52-SUM(AG37:AG41))&lt;0,0,IF((AG52-SUM(AG37:AG42))&gt;0,AG42,AG52-SUM(AG37:AG41)))</f>
        <v>0</v>
      </c>
      <c r="AG78" s="133" t="str">
        <f t="shared" si="96"/>
        <v>Wind Off</v>
      </c>
      <c r="AH78" s="134">
        <f>IF(IF((AH52-SUM(AH37:AH42))&gt;0,AH42,AH52-SUM(AH37:AH41))&lt;0,0,IF((AH52-SUM(AH37:AH42))&gt;0,AH42,AH52-SUM(AH37:AH41)))</f>
        <v>0</v>
      </c>
      <c r="AI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</row>
    <row r="79" spans="1:82">
      <c r="A79" s="1"/>
      <c r="B79" s="118">
        <v>7</v>
      </c>
      <c r="C79" s="133" t="str">
        <f t="shared" si="81"/>
        <v xml:space="preserve">Hydro </v>
      </c>
      <c r="D79" s="134">
        <f>IF(IF((S52-SUM(S37:S43))&gt;0,S43,S52-SUM(S37:S42))&lt;0,0,IF((S52-SUM(S37:S43))&gt;0,S43,S52-SUM(S37:S42)))</f>
        <v>0</v>
      </c>
      <c r="E79" s="133" t="str">
        <f t="shared" si="82"/>
        <v>Nuclear</v>
      </c>
      <c r="F79" s="134">
        <f>IF(IF((T52-SUM(T37:T43))&gt;0,T43,T52-SUM(T37:T42))&lt;0,0,IF((T52-SUM(T37:T43))&gt;0,T43,T52-SUM(T37:T42)))</f>
        <v>0</v>
      </c>
      <c r="G79" s="133" t="str">
        <f t="shared" si="83"/>
        <v>Nuclear</v>
      </c>
      <c r="H79" s="134">
        <f>IF(IF((U52-SUM(U37:U43))&gt;0,U43,U52-SUM(U37:U42))&lt;0,0,IF((U52-SUM(U37:U43))&gt;0,U43,U52-SUM(U37:U42)))</f>
        <v>0</v>
      </c>
      <c r="I79" s="133" t="str">
        <f t="shared" si="84"/>
        <v>Nuclear</v>
      </c>
      <c r="J79" s="134">
        <f>IF(IF((V52-SUM(V37:V43))&gt;0,V43,V52-SUM(V37:V42))&lt;0,0,IF((V52-SUM(V37:V43))&gt;0,V43,V52-SUM(V37:V42)))</f>
        <v>0</v>
      </c>
      <c r="K79" s="133" t="str">
        <f t="shared" si="85"/>
        <v>Nuclear</v>
      </c>
      <c r="L79" s="134">
        <f>IF(IF((W52-SUM(W37:W43))&gt;0,W43,W52-SUM(W37:W42))&lt;0,0,IF((W52-SUM(W37:W43))&gt;0,W43,W52-SUM(W37:W42)))</f>
        <v>0</v>
      </c>
      <c r="M79" s="133" t="str">
        <f t="shared" si="86"/>
        <v>Nuclear</v>
      </c>
      <c r="N79" s="134">
        <f>IF(IF((X52-SUM(X37:X43))&gt;0,X43,X52-SUM(X37:X42))&lt;0,0,IF((X52-SUM(X37:X43))&gt;0,X43,X52-SUM(X37:X42)))</f>
        <v>0</v>
      </c>
      <c r="O79" s="133" t="str">
        <f t="shared" si="87"/>
        <v>Nuclear</v>
      </c>
      <c r="P79" s="134">
        <f>IF(IF((Y52-SUM(Y37:Y43))&gt;0,Y43,Y52-SUM(Y37:Y42))&lt;0,0,IF((Y52-SUM(Y37:Y43))&gt;0,Y43,Y52-SUM(Y37:Y42)))</f>
        <v>0</v>
      </c>
      <c r="Q79" s="133" t="str">
        <f t="shared" si="88"/>
        <v>Nuclear</v>
      </c>
      <c r="R79" s="134">
        <f>IF(IF((Z52-SUM(Z37:Z43))&gt;0,Z43,Z52-SUM(Z37:Z42))&lt;0,0,IF((Z52-SUM(Z37:Z43))&gt;0,Z43,Z52-SUM(Z37:Z42)))</f>
        <v>0</v>
      </c>
      <c r="S79" s="133" t="str">
        <f t="shared" si="89"/>
        <v>Nuclear</v>
      </c>
      <c r="T79" s="134">
        <f>IF(IF((AA52-SUM(AA37:AA43))&gt;0,AA43,AA52-SUM(AA37:AA42))&lt;0,0,IF((AA52-SUM(AA37:AA43))&gt;0,AA43,AA52-SUM(AA37:AA42)))</f>
        <v>0</v>
      </c>
      <c r="U79" s="133" t="str">
        <f t="shared" si="90"/>
        <v>Nuclear</v>
      </c>
      <c r="V79" s="134">
        <f>IF(IF((AB52-SUM(AB37:AB43))&gt;0,AB43,AB52-SUM(AB37:AB42))&lt;0,0,IF((AB52-SUM(AB37:AB43))&gt;0,AB43,AB52-SUM(AB37:AB42)))</f>
        <v>0</v>
      </c>
      <c r="W79" s="133" t="str">
        <f t="shared" si="91"/>
        <v>Nuclear</v>
      </c>
      <c r="X79" s="134">
        <f>IF(IF((AC52-SUM(AC37:AC43))&gt;0,AC43,AC52-SUM(AC37:AC42))&lt;0,0,IF((AC52-SUM(AC37:AC43))&gt;0,AC43,AC52-SUM(AC37:AC42)))</f>
        <v>0</v>
      </c>
      <c r="Y79" s="133" t="str">
        <f t="shared" si="92"/>
        <v>Nuclear</v>
      </c>
      <c r="Z79" s="134">
        <f>IF(IF((AD52-SUM(AD37:AD43))&gt;0,AD43,AD52-SUM(AD37:AD42))&lt;0,0,IF((AD52-SUM(AD37:AD43))&gt;0,AD43,AD52-SUM(AD37:AD42)))</f>
        <v>0</v>
      </c>
      <c r="AA79" s="133" t="str">
        <f t="shared" si="93"/>
        <v>Nuclear</v>
      </c>
      <c r="AB79" s="134">
        <f>IF(IF((AE52-SUM(AE37:AE43))&gt;0,AE43,AE52-SUM(AE37:AE42))&lt;0,0,IF((AE52-SUM(AE37:AE43))&gt;0,AE43,AE52-SUM(AE37:AE42)))</f>
        <v>0</v>
      </c>
      <c r="AC79" s="133" t="str">
        <f t="shared" si="94"/>
        <v>Nuclear</v>
      </c>
      <c r="AD79" s="134">
        <f>IF(IF((AF52-SUM(AF37:AF43))&gt;0,AF43,AF52-SUM(AF37:AF42))&lt;0,0,IF((AF52-SUM(AF37:AF43))&gt;0,AF43,AF52-SUM(AF37:AF42)))</f>
        <v>0</v>
      </c>
      <c r="AE79" s="133" t="str">
        <f t="shared" si="95"/>
        <v>Nuclear</v>
      </c>
      <c r="AF79" s="134">
        <f>IF(IF((AG52-SUM(AG37:AG43))&gt;0,AG43,AG52-SUM(AG37:AG42))&lt;0,0,IF((AG52-SUM(AG37:AG43))&gt;0,AG43,AG52-SUM(AG37:AG42)))</f>
        <v>0</v>
      </c>
      <c r="AG79" s="133" t="str">
        <f t="shared" si="96"/>
        <v>Nuclear</v>
      </c>
      <c r="AH79" s="134">
        <f>IF(IF((AH52-SUM(AH37:AH43))&gt;0,AH43,AH52-SUM(AH37:AH42))&lt;0,0,IF((AH52-SUM(AH37:AH43))&gt;0,AH43,AH52-SUM(AH37:AH42)))</f>
        <v>0</v>
      </c>
      <c r="AI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</row>
    <row r="80" spans="1:82">
      <c r="A80" s="1"/>
      <c r="B80" s="118">
        <v>8</v>
      </c>
      <c r="C80" s="133" t="str">
        <f t="shared" si="81"/>
        <v>Nuclear</v>
      </c>
      <c r="D80" s="134">
        <f>IF(IF((S52-SUM(S37:S44))&gt;0,S44,S52-SUM(S37:S43))&lt;0,0,IF((S52-SUM(S37:S44))&gt;0,S44,S52-SUM(S37:S43)))</f>
        <v>0</v>
      </c>
      <c r="E80" s="133" t="str">
        <f t="shared" si="82"/>
        <v xml:space="preserve">Hydro </v>
      </c>
      <c r="F80" s="134">
        <f>IF(IF((T52-SUM(T37:T44))&gt;0,T44,T52-SUM(T37:T43))&lt;0,0,IF((T52-SUM(T37:T44))&gt;0,T44,T52-SUM(T37:T43)))</f>
        <v>0</v>
      </c>
      <c r="G80" s="133" t="str">
        <f t="shared" si="83"/>
        <v xml:space="preserve">Hydro </v>
      </c>
      <c r="H80" s="134">
        <f>IF(IF((U52-SUM(U37:U44))&gt;0,U44,U52-SUM(U37:U43))&lt;0,0,IF((U52-SUM(U37:U44))&gt;0,U44,U52-SUM(U37:U43)))</f>
        <v>0</v>
      </c>
      <c r="I80" s="133" t="str">
        <f t="shared" si="84"/>
        <v xml:space="preserve">Hydro </v>
      </c>
      <c r="J80" s="134">
        <f>IF(IF((V52-SUM(V37:V44))&gt;0,V44,V52-SUM(V37:V43))&lt;0,0,IF((V52-SUM(V37:V44))&gt;0,V44,V52-SUM(V37:V43)))</f>
        <v>0</v>
      </c>
      <c r="K80" s="133" t="str">
        <f t="shared" si="85"/>
        <v xml:space="preserve">Hydro </v>
      </c>
      <c r="L80" s="134">
        <f>IF(IF((W52-SUM(W37:W44))&gt;0,W44,W52-SUM(W37:W43))&lt;0,0,IF((W52-SUM(W37:W44))&gt;0,W44,W52-SUM(W37:W43)))</f>
        <v>0</v>
      </c>
      <c r="M80" s="133" t="str">
        <f t="shared" si="86"/>
        <v xml:space="preserve">Hydro </v>
      </c>
      <c r="N80" s="134">
        <f>IF(IF((X52-SUM(X37:X44))&gt;0,X44,X52-SUM(X37:X43))&lt;0,0,IF((X52-SUM(X37:X44))&gt;0,X44,X52-SUM(X37:X43)))</f>
        <v>0</v>
      </c>
      <c r="O80" s="133" t="str">
        <f t="shared" si="87"/>
        <v xml:space="preserve">Hydro </v>
      </c>
      <c r="P80" s="134">
        <f>IF(IF((Y52-SUM(Y37:Y44))&gt;0,Y44,Y52-SUM(Y37:Y43))&lt;0,0,IF((Y52-SUM(Y37:Y44))&gt;0,Y44,Y52-SUM(Y37:Y43)))</f>
        <v>0</v>
      </c>
      <c r="Q80" s="133" t="str">
        <f t="shared" si="88"/>
        <v xml:space="preserve">Hydro </v>
      </c>
      <c r="R80" s="134">
        <f>IF(IF((Z52-SUM(Z37:Z44))&gt;0,Z44,Z52-SUM(Z37:Z43))&lt;0,0,IF((Z52-SUM(Z37:Z44))&gt;0,Z44,Z52-SUM(Z37:Z43)))</f>
        <v>0</v>
      </c>
      <c r="S80" s="133" t="str">
        <f t="shared" si="89"/>
        <v xml:space="preserve">Hydro </v>
      </c>
      <c r="T80" s="134">
        <f>IF(IF((AA52-SUM(AA37:AA44))&gt;0,AA44,AA52-SUM(AA37:AA43))&lt;0,0,IF((AA52-SUM(AA37:AA44))&gt;0,AA44,AA52-SUM(AA37:AA43)))</f>
        <v>0</v>
      </c>
      <c r="U80" s="133" t="str">
        <f t="shared" si="90"/>
        <v xml:space="preserve">Hydro </v>
      </c>
      <c r="V80" s="134">
        <f>IF(IF((AB52-SUM(AB37:AB44))&gt;0,AB44,AB52-SUM(AB37:AB43))&lt;0,0,IF((AB52-SUM(AB37:AB44))&gt;0,AB44,AB52-SUM(AB37:AB43)))</f>
        <v>0</v>
      </c>
      <c r="W80" s="133" t="str">
        <f t="shared" si="91"/>
        <v xml:space="preserve">Hydro </v>
      </c>
      <c r="X80" s="134">
        <f>IF(IF((AC52-SUM(AC37:AC44))&gt;0,AC44,AC52-SUM(AC37:AC43))&lt;0,0,IF((AC52-SUM(AC37:AC44))&gt;0,AC44,AC52-SUM(AC37:AC43)))</f>
        <v>0</v>
      </c>
      <c r="Y80" s="133" t="str">
        <f t="shared" si="92"/>
        <v xml:space="preserve">Hydro </v>
      </c>
      <c r="Z80" s="134">
        <f>IF(IF((AD52-SUM(AD37:AD44))&gt;0,AD44,AD52-SUM(AD37:AD43))&lt;0,0,IF((AD52-SUM(AD37:AD44))&gt;0,AD44,AD52-SUM(AD37:AD43)))</f>
        <v>0</v>
      </c>
      <c r="AA80" s="133" t="str">
        <f t="shared" si="93"/>
        <v xml:space="preserve">Hydro </v>
      </c>
      <c r="AB80" s="134">
        <f>IF(IF((AE52-SUM(AE37:AE44))&gt;0,AE44,AE52-SUM(AE37:AE43))&lt;0,0,IF((AE52-SUM(AE37:AE44))&gt;0,AE44,AE52-SUM(AE37:AE43)))</f>
        <v>0</v>
      </c>
      <c r="AC80" s="133" t="str">
        <f t="shared" si="94"/>
        <v xml:space="preserve">Hydro </v>
      </c>
      <c r="AD80" s="134">
        <f>IF(IF((AF52-SUM(AF37:AF44))&gt;0,AF44,AF52-SUM(AF37:AF43))&lt;0,0,IF((AF52-SUM(AF37:AF44))&gt;0,AF44,AF52-SUM(AF37:AF43)))</f>
        <v>0</v>
      </c>
      <c r="AE80" s="133" t="str">
        <f t="shared" si="95"/>
        <v>Solar CSP</v>
      </c>
      <c r="AF80" s="134">
        <f>IF(IF((AG52-SUM(AG37:AG44))&gt;0,AG44,AG52-SUM(AG37:AG43))&lt;0,0,IF((AG52-SUM(AG37:AG44))&gt;0,AG44,AG52-SUM(AG37:AG43)))</f>
        <v>0</v>
      </c>
      <c r="AG80" s="133" t="str">
        <f t="shared" si="96"/>
        <v>Solar CSP</v>
      </c>
      <c r="AH80" s="134">
        <f>IF(IF((AH52-SUM(AH37:AH44))&gt;0,AH44,AH52-SUM(AH37:AH43))&lt;0,0,IF((AH52-SUM(AH37:AH44))&gt;0,AH44,AH52-SUM(AH37:AH43)))</f>
        <v>0</v>
      </c>
      <c r="AI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</row>
    <row r="81" spans="1:82">
      <c r="A81" s="1"/>
      <c r="B81" s="118">
        <v>9</v>
      </c>
      <c r="C81" s="133" t="str">
        <f t="shared" si="81"/>
        <v>Coal CCS</v>
      </c>
      <c r="D81" s="134">
        <f>IF(IF((S52-SUM(S37:S45))&gt;0,S45,S52-SUM(S37:S44))&lt;0,0,IF((S52-SUM(S37:S45))&gt;0,S45,S52-SUM(S37:S44)))</f>
        <v>0</v>
      </c>
      <c r="E81" s="133" t="str">
        <f t="shared" si="82"/>
        <v>Coal CCS</v>
      </c>
      <c r="F81" s="134">
        <f>IF(IF((T52-SUM(T37:T45))&gt;0,T45,T52-SUM(T37:T44))&lt;0,0,IF((T52-SUM(T37:T45))&gt;0,T45,T52-SUM(T37:T44)))</f>
        <v>0</v>
      </c>
      <c r="G81" s="133" t="str">
        <f t="shared" si="83"/>
        <v>Coal CCS</v>
      </c>
      <c r="H81" s="134">
        <f>IF(IF((U52-SUM(U37:U45))&gt;0,U45,U52-SUM(U37:U44))&lt;0,0,IF((U52-SUM(U37:U45))&gt;0,U45,U52-SUM(U37:U44)))</f>
        <v>0</v>
      </c>
      <c r="I81" s="133" t="str">
        <f t="shared" si="84"/>
        <v>Coal CCS</v>
      </c>
      <c r="J81" s="134">
        <f>IF(IF((V52-SUM(V37:V45))&gt;0,V45,V52-SUM(V37:V44))&lt;0,0,IF((V52-SUM(V37:V45))&gt;0,V45,V52-SUM(V37:V44)))</f>
        <v>0</v>
      </c>
      <c r="K81" s="133" t="str">
        <f t="shared" si="85"/>
        <v>Coal CCS</v>
      </c>
      <c r="L81" s="134">
        <f>IF(IF((W52-SUM(W37:W45))&gt;0,W45,W52-SUM(W37:W44))&lt;0,0,IF((W52-SUM(W37:W45))&gt;0,W45,W52-SUM(W37:W44)))</f>
        <v>0</v>
      </c>
      <c r="M81" s="133" t="str">
        <f t="shared" si="86"/>
        <v>Coal CCS</v>
      </c>
      <c r="N81" s="134">
        <f>IF(IF((X52-SUM(X37:X45))&gt;0,X45,X52-SUM(X37:X44))&lt;0,0,IF((X52-SUM(X37:X45))&gt;0,X45,X52-SUM(X37:X44)))</f>
        <v>0</v>
      </c>
      <c r="O81" s="133" t="str">
        <f t="shared" si="87"/>
        <v>Coal CCS</v>
      </c>
      <c r="P81" s="134">
        <f>IF(IF((Y52-SUM(Y37:Y45))&gt;0,Y45,Y52-SUM(Y37:Y44))&lt;0,0,IF((Y52-SUM(Y37:Y45))&gt;0,Y45,Y52-SUM(Y37:Y44)))</f>
        <v>0</v>
      </c>
      <c r="Q81" s="133" t="str">
        <f t="shared" si="88"/>
        <v>Coal CCS</v>
      </c>
      <c r="R81" s="134">
        <f>IF(IF((Z52-SUM(Z37:Z45))&gt;0,Z45,Z52-SUM(Z37:Z44))&lt;0,0,IF((Z52-SUM(Z37:Z45))&gt;0,Z45,Z52-SUM(Z37:Z44)))</f>
        <v>0</v>
      </c>
      <c r="S81" s="133" t="str">
        <f t="shared" si="89"/>
        <v>Solar CSP</v>
      </c>
      <c r="T81" s="134">
        <f>IF(IF((AA52-SUM(AA37:AA45))&gt;0,AA45,AA52-SUM(AA37:AA44))&lt;0,0,IF((AA52-SUM(AA37:AA45))&gt;0,AA45,AA52-SUM(AA37:AA44)))</f>
        <v>0</v>
      </c>
      <c r="U81" s="133" t="str">
        <f t="shared" si="90"/>
        <v>Solar CSP</v>
      </c>
      <c r="V81" s="134">
        <f>IF(IF((AB52-SUM(AB37:AB45))&gt;0,AB45,AB52-SUM(AB37:AB44))&lt;0,0,IF((AB52-SUM(AB37:AB45))&gt;0,AB45,AB52-SUM(AB37:AB44)))</f>
        <v>0</v>
      </c>
      <c r="W81" s="133" t="str">
        <f t="shared" si="91"/>
        <v>Solar CSP</v>
      </c>
      <c r="X81" s="134">
        <f>IF(IF((AC52-SUM(AC37:AC45))&gt;0,AC45,AC52-SUM(AC37:AC44))&lt;0,0,IF((AC52-SUM(AC37:AC45))&gt;0,AC45,AC52-SUM(AC37:AC44)))</f>
        <v>0</v>
      </c>
      <c r="Y81" s="133" t="str">
        <f t="shared" si="92"/>
        <v>Solar CSP</v>
      </c>
      <c r="Z81" s="134">
        <f>IF(IF((AD52-SUM(AD37:AD45))&gt;0,AD45,AD52-SUM(AD37:AD44))&lt;0,0,IF((AD52-SUM(AD37:AD45))&gt;0,AD45,AD52-SUM(AD37:AD44)))</f>
        <v>0</v>
      </c>
      <c r="AA81" s="133" t="str">
        <f t="shared" si="93"/>
        <v>Solar CSP</v>
      </c>
      <c r="AB81" s="134">
        <f>IF(IF((AE52-SUM(AE37:AE45))&gt;0,AE45,AE52-SUM(AE37:AE44))&lt;0,0,IF((AE52-SUM(AE37:AE45))&gt;0,AE45,AE52-SUM(AE37:AE44)))</f>
        <v>0</v>
      </c>
      <c r="AC81" s="133" t="str">
        <f t="shared" si="94"/>
        <v>Solar CSP</v>
      </c>
      <c r="AD81" s="134">
        <f>IF(IF((AF52-SUM(AF37:AF45))&gt;0,AF45,AF52-SUM(AF37:AF44))&lt;0,0,IF((AF52-SUM(AF37:AF45))&gt;0,AF45,AF52-SUM(AF37:AF44)))</f>
        <v>0</v>
      </c>
      <c r="AE81" s="133" t="str">
        <f t="shared" si="95"/>
        <v xml:space="preserve">Hydro </v>
      </c>
      <c r="AF81" s="134">
        <f>IF(IF((AG52-SUM(AG37:AG45))&gt;0,AG45,AG52-SUM(AG37:AG44))&lt;0,0,IF((AG52-SUM(AG37:AG45))&gt;0,AG45,AG52-SUM(AG37:AG44)))</f>
        <v>0</v>
      </c>
      <c r="AG81" s="133" t="str">
        <f t="shared" si="96"/>
        <v xml:space="preserve">Hydro </v>
      </c>
      <c r="AH81" s="134">
        <f>IF(IF((AH52-SUM(AH37:AH45))&gt;0,AH45,AH52-SUM(AH37:AH44))&lt;0,0,IF((AH52-SUM(AH37:AH45))&gt;0,AH45,AH52-SUM(AH37:AH44)))</f>
        <v>0</v>
      </c>
      <c r="AI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</row>
    <row r="82" spans="1:82">
      <c r="A82" s="1"/>
      <c r="B82" s="118">
        <v>10</v>
      </c>
      <c r="C82" s="133" t="str">
        <f t="shared" si="81"/>
        <v>Solar CSP</v>
      </c>
      <c r="D82" s="134">
        <f>IF(IF((S52-SUM(S37:S46))&gt;0,S46,S52-SUM(S37:S45))&lt;0,0,IF((S52-SUM(S37:S46))&gt;0,S46,S52-SUM(S37:S45)))</f>
        <v>0</v>
      </c>
      <c r="E82" s="133" t="str">
        <f t="shared" si="82"/>
        <v>Solar CSP</v>
      </c>
      <c r="F82" s="134">
        <f>IF(IF((T52-SUM(T37:T46))&gt;0,T46,T52-SUM(T37:T45))&lt;0,0,IF((T52-SUM(T37:T46))&gt;0,T46,T52-SUM(T37:T45)))</f>
        <v>0</v>
      </c>
      <c r="G82" s="133" t="str">
        <f t="shared" si="83"/>
        <v>Solar CSP</v>
      </c>
      <c r="H82" s="134">
        <f>IF(IF((U52-SUM(U37:U46))&gt;0,U46,U52-SUM(U37:U45))&lt;0,0,IF((U52-SUM(U37:U46))&gt;0,U46,U52-SUM(U37:U45)))</f>
        <v>0</v>
      </c>
      <c r="I82" s="133" t="str">
        <f t="shared" si="84"/>
        <v>Solar CSP</v>
      </c>
      <c r="J82" s="134">
        <f>IF(IF((V52-SUM(V37:V46))&gt;0,V46,V52-SUM(V37:V45))&lt;0,0,IF((V52-SUM(V37:V46))&gt;0,V46,V52-SUM(V37:V45)))</f>
        <v>0</v>
      </c>
      <c r="K82" s="133" t="str">
        <f t="shared" si="85"/>
        <v>Solar CSP</v>
      </c>
      <c r="L82" s="134">
        <f>IF(IF((W52-SUM(W37:W46))&gt;0,W46,W52-SUM(W37:W45))&lt;0,0,IF((W52-SUM(W37:W46))&gt;0,W46,W52-SUM(W37:W45)))</f>
        <v>0</v>
      </c>
      <c r="M82" s="133" t="str">
        <f t="shared" si="86"/>
        <v>Solar CSP</v>
      </c>
      <c r="N82" s="134">
        <f>IF(IF((X52-SUM(X37:X46))&gt;0,X46,X52-SUM(X37:X45))&lt;0,0,IF((X52-SUM(X37:X46))&gt;0,X46,X52-SUM(X37:X45)))</f>
        <v>0</v>
      </c>
      <c r="O82" s="133" t="str">
        <f t="shared" si="87"/>
        <v>Solar CSP</v>
      </c>
      <c r="P82" s="134">
        <f>IF(IF((Y52-SUM(Y37:Y46))&gt;0,Y46,Y52-SUM(Y37:Y45))&lt;0,0,IF((Y52-SUM(Y37:Y46))&gt;0,Y46,Y52-SUM(Y37:Y45)))</f>
        <v>0</v>
      </c>
      <c r="Q82" s="133" t="str">
        <f t="shared" si="88"/>
        <v>Solar CSP</v>
      </c>
      <c r="R82" s="134">
        <f>IF(IF((Z52-SUM(Z37:Z46))&gt;0,Z46,Z52-SUM(Z37:Z45))&lt;0,0,IF((Z52-SUM(Z37:Z46))&gt;0,Z46,Z52-SUM(Z37:Z45)))</f>
        <v>0</v>
      </c>
      <c r="S82" s="133" t="str">
        <f t="shared" si="89"/>
        <v>Coal CCS</v>
      </c>
      <c r="T82" s="134">
        <f>IF(IF((AA52-SUM(AA37:AA46))&gt;0,AA46,AA52-SUM(AA37:AA45))&lt;0,0,IF((AA52-SUM(AA37:AA46))&gt;0,AA46,AA52-SUM(AA37:AA45)))</f>
        <v>0</v>
      </c>
      <c r="U82" s="133" t="str">
        <f t="shared" si="90"/>
        <v>Coal CCS</v>
      </c>
      <c r="V82" s="134">
        <f>IF(IF((AB52-SUM(AB37:AB46))&gt;0,AB46,AB52-SUM(AB37:AB45))&lt;0,0,IF((AB52-SUM(AB37:AB46))&gt;0,AB46,AB52-SUM(AB37:AB45)))</f>
        <v>0</v>
      </c>
      <c r="W82" s="133" t="str">
        <f t="shared" si="91"/>
        <v>Coal CCS</v>
      </c>
      <c r="X82" s="134">
        <f>IF(IF((AC52-SUM(AC37:AC46))&gt;0,AC46,AC52-SUM(AC37:AC45))&lt;0,0,IF((AC52-SUM(AC37:AC46))&gt;0,AC46,AC52-SUM(AC37:AC45)))</f>
        <v>0</v>
      </c>
      <c r="Y82" s="133" t="str">
        <f t="shared" si="92"/>
        <v>Coal CCS</v>
      </c>
      <c r="Z82" s="134">
        <f>IF(IF((AD52-SUM(AD37:AD46))&gt;0,AD46,AD52-SUM(AD37:AD45))&lt;0,0,IF((AD52-SUM(AD37:AD46))&gt;0,AD46,AD52-SUM(AD37:AD45)))</f>
        <v>0</v>
      </c>
      <c r="AA82" s="133" t="str">
        <f t="shared" si="93"/>
        <v>Coal CCS</v>
      </c>
      <c r="AB82" s="134">
        <f>IF(IF((AE52-SUM(AE37:AE46))&gt;0,AE46,AE52-SUM(AE37:AE45))&lt;0,0,IF((AE52-SUM(AE37:AE46))&gt;0,AE46,AE52-SUM(AE37:AE45)))</f>
        <v>0</v>
      </c>
      <c r="AC82" s="133" t="str">
        <f t="shared" si="94"/>
        <v>Coal CCS</v>
      </c>
      <c r="AD82" s="134">
        <f>IF(IF((AF52-SUM(AF37:AF46))&gt;0,AF46,AF52-SUM(AF37:AF45))&lt;0,0,IF((AF52-SUM(AF37:AF46))&gt;0,AF46,AF52-SUM(AF37:AF45)))</f>
        <v>0</v>
      </c>
      <c r="AE82" s="133" t="str">
        <f t="shared" si="95"/>
        <v>Coal CCS</v>
      </c>
      <c r="AF82" s="134">
        <f>IF(IF((AG52-SUM(AG37:AG46))&gt;0,AG46,AG52-SUM(AG37:AG45))&lt;0,0,IF((AG52-SUM(AG37:AG46))&gt;0,AG46,AG52-SUM(AG37:AG45)))</f>
        <v>0</v>
      </c>
      <c r="AG82" s="133" t="str">
        <f t="shared" si="96"/>
        <v>Coal CCS</v>
      </c>
      <c r="AH82" s="134">
        <f>IF(IF((AH52-SUM(AH37:AH46))&gt;0,AH46,AH52-SUM(AH37:AH45))&lt;0,0,IF((AH52-SUM(AH37:AH46))&gt;0,AH46,AH52-SUM(AH37:AH45)))</f>
        <v>0</v>
      </c>
      <c r="AI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</row>
    <row r="83" spans="1:82">
      <c r="A83" s="1"/>
      <c r="B83" s="118">
        <v>11</v>
      </c>
      <c r="C83" s="133" t="str">
        <f t="shared" si="81"/>
        <v>Geotherm</v>
      </c>
      <c r="D83" s="134">
        <f>IF(IF((S52-SUM(S37:S47))&gt;0,S47,S52-SUM(S37:S46))&lt;0,0,IF((S52-SUM(S37:S47))&gt;0,S47,S52-SUM(S37:S46)))</f>
        <v>0</v>
      </c>
      <c r="E83" s="133" t="str">
        <f t="shared" si="82"/>
        <v>Geotherm</v>
      </c>
      <c r="F83" s="134">
        <f>IF(IF((T52-SUM(T37:T47))&gt;0,T47,T52-SUM(T37:T46))&lt;0,0,IF((T52-SUM(T37:T47))&gt;0,T47,T52-SUM(T37:T46)))</f>
        <v>0</v>
      </c>
      <c r="G83" s="133" t="str">
        <f t="shared" si="83"/>
        <v>Geotherm</v>
      </c>
      <c r="H83" s="134">
        <f>IF(IF((U52-SUM(U37:U47))&gt;0,U47,U52-SUM(U37:U46))&lt;0,0,IF((U52-SUM(U37:U47))&gt;0,U47,U52-SUM(U37:U46)))</f>
        <v>0</v>
      </c>
      <c r="I83" s="133" t="str">
        <f t="shared" si="84"/>
        <v>Geotherm</v>
      </c>
      <c r="J83" s="134">
        <f>IF(IF((V52-SUM(V37:V47))&gt;0,V47,V52-SUM(V37:V46))&lt;0,0,IF((V52-SUM(V37:V47))&gt;0,V47,V52-SUM(V37:V46)))</f>
        <v>0</v>
      </c>
      <c r="K83" s="133" t="str">
        <f t="shared" si="85"/>
        <v>Geotherm</v>
      </c>
      <c r="L83" s="134">
        <f>IF(IF((W52-SUM(W37:W47))&gt;0,W47,W52-SUM(W37:W46))&lt;0,0,IF((W52-SUM(W37:W47))&gt;0,W47,W52-SUM(W37:W46)))</f>
        <v>0</v>
      </c>
      <c r="M83" s="133" t="str">
        <f t="shared" si="86"/>
        <v>Geotherm</v>
      </c>
      <c r="N83" s="134">
        <f>IF(IF((X52-SUM(X37:X47))&gt;0,X47,X52-SUM(X37:X46))&lt;0,0,IF((X52-SUM(X37:X47))&gt;0,X47,X52-SUM(X37:X46)))</f>
        <v>0</v>
      </c>
      <c r="O83" s="133" t="str">
        <f t="shared" si="87"/>
        <v>Geotherm</v>
      </c>
      <c r="P83" s="134">
        <f>IF(IF((Y52-SUM(Y37:Y47))&gt;0,Y47,Y52-SUM(Y37:Y46))&lt;0,0,IF((Y52-SUM(Y37:Y47))&gt;0,Y47,Y52-SUM(Y37:Y46)))</f>
        <v>0</v>
      </c>
      <c r="Q83" s="133" t="str">
        <f t="shared" si="88"/>
        <v>Geotherm</v>
      </c>
      <c r="R83" s="134">
        <f>IF(IF((Z52-SUM(Z37:Z47))&gt;0,Z47,Z52-SUM(Z37:Z46))&lt;0,0,IF((Z52-SUM(Z37:Z47))&gt;0,Z47,Z52-SUM(Z37:Z46)))</f>
        <v>0</v>
      </c>
      <c r="S83" s="133" t="str">
        <f t="shared" si="89"/>
        <v>Geotherm</v>
      </c>
      <c r="T83" s="134">
        <f>IF(IF((AA52-SUM(AA37:AA47))&gt;0,AA47,AA52-SUM(AA37:AA46))&lt;0,0,IF((AA52-SUM(AA37:AA47))&gt;0,AA47,AA52-SUM(AA37:AA46)))</f>
        <v>0</v>
      </c>
      <c r="U83" s="133" t="str">
        <f t="shared" si="90"/>
        <v>Geotherm</v>
      </c>
      <c r="V83" s="134">
        <f>IF(IF((AB52-SUM(AB37:AB47))&gt;0,AB47,AB52-SUM(AB37:AB46))&lt;0,0,IF((AB52-SUM(AB37:AB47))&gt;0,AB47,AB52-SUM(AB37:AB46)))</f>
        <v>0</v>
      </c>
      <c r="W83" s="133" t="str">
        <f t="shared" si="91"/>
        <v>Geotherm</v>
      </c>
      <c r="X83" s="134">
        <f>IF(IF((AC52-SUM(AC37:AC47))&gt;0,AC47,AC52-SUM(AC37:AC46))&lt;0,0,IF((AC52-SUM(AC37:AC47))&gt;0,AC47,AC52-SUM(AC37:AC46)))</f>
        <v>0</v>
      </c>
      <c r="Y83" s="133" t="str">
        <f t="shared" si="92"/>
        <v>Geotherm</v>
      </c>
      <c r="Z83" s="134">
        <f>IF(IF((AD52-SUM(AD37:AD47))&gt;0,AD47,AD52-SUM(AD37:AD46))&lt;0,0,IF((AD52-SUM(AD37:AD47))&gt;0,AD47,AD52-SUM(AD37:AD46)))</f>
        <v>0</v>
      </c>
      <c r="AA83" s="133" t="str">
        <f t="shared" si="93"/>
        <v>Geotherm</v>
      </c>
      <c r="AB83" s="134">
        <f>IF(IF((AE52-SUM(AE37:AE47))&gt;0,AE47,AE52-SUM(AE37:AE46))&lt;0,0,IF((AE52-SUM(AE37:AE47))&gt;0,AE47,AE52-SUM(AE37:AE46)))</f>
        <v>0</v>
      </c>
      <c r="AC83" s="133" t="str">
        <f t="shared" si="94"/>
        <v>Geotherm</v>
      </c>
      <c r="AD83" s="134">
        <f>IF(IF((AF52-SUM(AF37:AF47))&gt;0,AF47,AF52-SUM(AF37:AF46))&lt;0,0,IF((AF52-SUM(AF37:AF47))&gt;0,AF47,AF52-SUM(AF37:AF46)))</f>
        <v>0</v>
      </c>
      <c r="AE83" s="133" t="str">
        <f t="shared" si="95"/>
        <v>Geotherm</v>
      </c>
      <c r="AF83" s="134">
        <f>IF(IF((AG52-SUM(AG37:AG47))&gt;0,AG47,AG52-SUM(AG37:AG46))&lt;0,0,IF((AG52-SUM(AG37:AG47))&gt;0,AG47,AG52-SUM(AG37:AG46)))</f>
        <v>0</v>
      </c>
      <c r="AG83" s="133" t="str">
        <f t="shared" si="96"/>
        <v>Geotherm</v>
      </c>
      <c r="AH83" s="134">
        <f>IF(IF((AH52-SUM(AH37:AH47))&gt;0,AH47,AH52-SUM(AH37:AH46))&lt;0,0,IF((AH52-SUM(AH37:AH47))&gt;0,AH47,AH52-SUM(AH37:AH46)))</f>
        <v>0</v>
      </c>
      <c r="AI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</row>
    <row r="84" spans="1:82">
      <c r="A84" s="1"/>
      <c r="B84" s="118" t="s">
        <v>152</v>
      </c>
      <c r="D84" s="134" t="str">
        <f>IF(S52-SUM(S37:S47)&gt;0,"MORE","OK")</f>
        <v>OK</v>
      </c>
      <c r="F84" s="134" t="str">
        <f>IF(T52-SUM(T37:T47)&gt;0,"MORE","OK")</f>
        <v>OK</v>
      </c>
      <c r="H84" s="134" t="str">
        <f>IF(U52-SUM(U37:U47)&gt;0,"MORE","OK")</f>
        <v>OK</v>
      </c>
      <c r="J84" s="134" t="str">
        <f>IF(V52-SUM(V37:V47)&gt;0,"MORE","OK")</f>
        <v>OK</v>
      </c>
      <c r="L84" s="134" t="str">
        <f>IF(W52-SUM(W37:W47)&gt;0,"MORE","OK")</f>
        <v>OK</v>
      </c>
      <c r="N84" s="134" t="str">
        <f>IF(X52-SUM(X37:X47)&gt;0,"MORE","OK")</f>
        <v>OK</v>
      </c>
      <c r="P84" s="134" t="str">
        <f>IF(Y52-SUM(Y37:Y47)&gt;0,"MORE","OK")</f>
        <v>OK</v>
      </c>
      <c r="R84" s="134" t="str">
        <f>IF(Z52-SUM(Z37:Z47)&gt;0,"MORE","OK")</f>
        <v>OK</v>
      </c>
      <c r="T84" s="134" t="str">
        <f>IF(AA52-SUM(AA37:AA47)&gt;0,"MORE","OK")</f>
        <v>OK</v>
      </c>
      <c r="V84" s="134" t="str">
        <f>IF(AB52-SUM(AB37:AB47)&gt;0,"MORE","OK")</f>
        <v>OK</v>
      </c>
      <c r="X84" s="134" t="str">
        <f>IF(AC52-SUM(AC37:AC47)&gt;0,"MORE","OK")</f>
        <v>OK</v>
      </c>
      <c r="Z84" s="134" t="str">
        <f>IF(AD52-SUM(AD37:AD47)&gt;0,"MORE","OK")</f>
        <v>OK</v>
      </c>
      <c r="AB84" s="134" t="str">
        <f>IF(AE52-SUM(AE37:AE47)&gt;0,"MORE","OK")</f>
        <v>OK</v>
      </c>
      <c r="AD84" s="134" t="str">
        <f>IF(AF52-SUM(AF37:AF47)&gt;0,"MORE","OK")</f>
        <v>OK</v>
      </c>
      <c r="AF84" s="134" t="str">
        <f>IF(AG52-SUM(AG37:AG47)&gt;0,"MORE","OK")</f>
        <v>OK</v>
      </c>
      <c r="AH84" s="134" t="str">
        <f>IF(AH52-SUM(AH37:AH47)&gt;0,"MORE","OK")</f>
        <v>OK</v>
      </c>
      <c r="AI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</row>
    <row r="85" spans="1:82">
      <c r="A85" s="1"/>
      <c r="AI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</row>
    <row r="86" spans="1:82">
      <c r="A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</row>
    <row r="87" spans="1:82">
      <c r="A87" s="1"/>
      <c r="B87" s="118" t="s">
        <v>77</v>
      </c>
      <c r="C87" s="118">
        <v>2019</v>
      </c>
      <c r="D87" s="118">
        <v>2020</v>
      </c>
      <c r="E87" s="118">
        <v>2021</v>
      </c>
      <c r="F87" s="118">
        <v>2022</v>
      </c>
      <c r="G87" s="118">
        <v>2023</v>
      </c>
      <c r="H87" s="118">
        <v>2024</v>
      </c>
      <c r="I87" s="118">
        <v>2025</v>
      </c>
      <c r="J87" s="118">
        <v>2026</v>
      </c>
      <c r="K87" s="118">
        <v>2027</v>
      </c>
      <c r="L87" s="118">
        <v>2028</v>
      </c>
      <c r="M87" s="118">
        <v>2029</v>
      </c>
      <c r="N87" s="118">
        <v>2030</v>
      </c>
      <c r="O87" s="118">
        <v>2031</v>
      </c>
      <c r="P87" s="118">
        <v>2032</v>
      </c>
      <c r="Q87" s="118">
        <v>2033</v>
      </c>
      <c r="R87" s="118">
        <v>2034</v>
      </c>
      <c r="S87" s="118">
        <v>2035</v>
      </c>
      <c r="T87" s="118">
        <v>2036</v>
      </c>
      <c r="U87" s="118">
        <v>2037</v>
      </c>
      <c r="V87" s="118">
        <v>2038</v>
      </c>
      <c r="W87" s="118">
        <v>2039</v>
      </c>
      <c r="X87" s="118">
        <v>2040</v>
      </c>
      <c r="Y87" s="118">
        <v>2041</v>
      </c>
      <c r="Z87" s="118">
        <v>2042</v>
      </c>
      <c r="AA87" s="118">
        <v>2043</v>
      </c>
      <c r="AB87" s="118">
        <v>2044</v>
      </c>
      <c r="AC87" s="118">
        <v>2045</v>
      </c>
      <c r="AD87" s="118">
        <v>2046</v>
      </c>
      <c r="AE87" s="118">
        <v>2047</v>
      </c>
      <c r="AF87" s="118">
        <v>2048</v>
      </c>
      <c r="AG87" s="118">
        <v>2049</v>
      </c>
      <c r="AH87" s="118">
        <v>2050</v>
      </c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</row>
    <row r="88" spans="1:82">
      <c r="A88" s="1"/>
      <c r="B88" s="118" t="s">
        <v>81</v>
      </c>
      <c r="C88" s="98">
        <v>1086.8469095200001</v>
      </c>
      <c r="D88" s="98">
        <v>1064.5649559999999</v>
      </c>
      <c r="E88" s="98">
        <v>993.27435904000004</v>
      </c>
      <c r="F88" s="98">
        <v>920.65656076000005</v>
      </c>
      <c r="G88" s="98">
        <v>814.67102895999994</v>
      </c>
      <c r="H88" s="98">
        <v>707.23311544000001</v>
      </c>
      <c r="I88" s="98">
        <v>614.50424056000008</v>
      </c>
      <c r="J88" s="98">
        <v>568.07186932000002</v>
      </c>
      <c r="K88" s="98">
        <v>536.05742439999983</v>
      </c>
      <c r="L88" s="98">
        <v>517.83319924000011</v>
      </c>
      <c r="M88" s="98">
        <v>513.05026552000004</v>
      </c>
      <c r="N88" s="98">
        <v>487.54111924000006</v>
      </c>
      <c r="O88" s="98">
        <v>464.3796354399999</v>
      </c>
      <c r="P88" s="98">
        <v>422.02491279999992</v>
      </c>
      <c r="Q88" s="98">
        <v>422.02491279999992</v>
      </c>
      <c r="R88" s="98">
        <v>396.61127679999993</v>
      </c>
      <c r="S88" s="98">
        <v>396.61127679999993</v>
      </c>
      <c r="T88" s="98">
        <v>396.61127679999993</v>
      </c>
      <c r="U88" s="98">
        <v>386.41375203999974</v>
      </c>
      <c r="V88" s="98">
        <v>386.41375203999974</v>
      </c>
      <c r="W88" s="98">
        <v>386.41375203999974</v>
      </c>
      <c r="X88" s="98">
        <v>386.41375203999974</v>
      </c>
      <c r="Y88" s="98">
        <v>375.75287583999989</v>
      </c>
      <c r="Z88" s="98">
        <v>375.75287583999989</v>
      </c>
      <c r="AA88" s="98">
        <v>370.81220955999993</v>
      </c>
      <c r="AB88" s="98">
        <v>370.81220955999993</v>
      </c>
      <c r="AC88" s="98">
        <v>370.81220955999993</v>
      </c>
      <c r="AD88" s="98">
        <v>370.81220955999993</v>
      </c>
      <c r="AE88" s="98">
        <v>370.81220955999993</v>
      </c>
      <c r="AF88" s="98">
        <v>370.81220955999993</v>
      </c>
      <c r="AG88" s="98">
        <v>370.81220955999993</v>
      </c>
      <c r="AH88" s="98">
        <v>370.81220955999993</v>
      </c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</row>
    <row r="89" spans="1:82">
      <c r="A89" s="1"/>
      <c r="B89" s="118" t="s">
        <v>36</v>
      </c>
      <c r="C89" s="98">
        <v>0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8">
        <v>0</v>
      </c>
      <c r="M89" s="98">
        <v>0</v>
      </c>
      <c r="N89" s="98">
        <v>0</v>
      </c>
      <c r="O89" s="98">
        <v>0</v>
      </c>
      <c r="P89" s="98">
        <v>0</v>
      </c>
      <c r="Q89" s="98">
        <v>0</v>
      </c>
      <c r="R89" s="98">
        <v>0</v>
      </c>
      <c r="S89" s="98">
        <v>0</v>
      </c>
      <c r="T89" s="98">
        <v>0</v>
      </c>
      <c r="U89" s="98">
        <v>0</v>
      </c>
      <c r="V89" s="98">
        <v>0</v>
      </c>
      <c r="W89" s="98">
        <v>0</v>
      </c>
      <c r="X89" s="98">
        <v>0</v>
      </c>
      <c r="Y89" s="98">
        <v>0</v>
      </c>
      <c r="Z89" s="98">
        <v>0</v>
      </c>
      <c r="AA89" s="98">
        <v>0</v>
      </c>
      <c r="AB89" s="98">
        <v>0</v>
      </c>
      <c r="AC89" s="98">
        <v>0</v>
      </c>
      <c r="AD89" s="98">
        <v>0</v>
      </c>
      <c r="AE89" s="98">
        <v>0</v>
      </c>
      <c r="AF89" s="98">
        <v>0</v>
      </c>
      <c r="AG89" s="98">
        <v>0</v>
      </c>
      <c r="AH89" s="98">
        <v>0</v>
      </c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</row>
    <row r="90" spans="1:82">
      <c r="A90" s="1"/>
      <c r="B90" s="118" t="s">
        <v>89</v>
      </c>
      <c r="C90" s="98">
        <v>724.11517600000002</v>
      </c>
      <c r="D90" s="98">
        <v>716.808898</v>
      </c>
      <c r="E90" s="98">
        <v>675.27160162000007</v>
      </c>
      <c r="F90" s="98">
        <v>665.22256762000006</v>
      </c>
      <c r="G90" s="98">
        <v>648.65652724000006</v>
      </c>
      <c r="H90" s="98">
        <v>632.77639485999998</v>
      </c>
      <c r="I90" s="98">
        <v>624.24503523999999</v>
      </c>
      <c r="J90" s="98">
        <v>600.31623676000004</v>
      </c>
      <c r="K90" s="98">
        <v>596.59322800000007</v>
      </c>
      <c r="L90" s="98">
        <v>588.05003362000002</v>
      </c>
      <c r="M90" s="98">
        <v>573.41075524000007</v>
      </c>
      <c r="N90" s="98">
        <v>573.15846724000005</v>
      </c>
      <c r="O90" s="98">
        <v>570.42183010000008</v>
      </c>
      <c r="P90" s="98">
        <v>570.42183010000008</v>
      </c>
      <c r="Q90" s="98">
        <v>569.39254762000007</v>
      </c>
      <c r="R90" s="98">
        <v>569.04215638000005</v>
      </c>
      <c r="S90" s="98">
        <v>568.6085407600001</v>
      </c>
      <c r="T90" s="98">
        <v>566.69271562000006</v>
      </c>
      <c r="U90" s="98">
        <v>566.69271562000006</v>
      </c>
      <c r="V90" s="98">
        <v>563.13615124000012</v>
      </c>
      <c r="W90" s="98">
        <v>563.13615124000012</v>
      </c>
      <c r="X90" s="98">
        <v>562.23124324000003</v>
      </c>
      <c r="Y90" s="98">
        <v>550.24755448000008</v>
      </c>
      <c r="Z90" s="98">
        <v>548.22838762000003</v>
      </c>
      <c r="AA90" s="98">
        <v>547.31733886000006</v>
      </c>
      <c r="AB90" s="98">
        <v>547.31733886000006</v>
      </c>
      <c r="AC90" s="98">
        <v>545.97443085999998</v>
      </c>
      <c r="AD90" s="98">
        <v>544.97141086000011</v>
      </c>
      <c r="AE90" s="98">
        <v>544.97141086000011</v>
      </c>
      <c r="AF90" s="98">
        <v>544.97141086000011</v>
      </c>
      <c r="AG90" s="98">
        <v>544.97141086000011</v>
      </c>
      <c r="AH90" s="98">
        <v>544.97141086000011</v>
      </c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</row>
    <row r="91" spans="1:82">
      <c r="A91" s="1"/>
      <c r="B91" s="118" t="s">
        <v>88</v>
      </c>
      <c r="C91" s="98">
        <v>725.83126000000004</v>
      </c>
      <c r="D91" s="98">
        <v>719.16095800000005</v>
      </c>
      <c r="E91" s="98">
        <v>680.69842162000009</v>
      </c>
      <c r="F91" s="98">
        <v>657.61625962000005</v>
      </c>
      <c r="G91" s="98">
        <v>641.42482312000004</v>
      </c>
      <c r="H91" s="98">
        <v>621.45493582000006</v>
      </c>
      <c r="I91" s="98">
        <v>609.09896896000009</v>
      </c>
      <c r="J91" s="98">
        <v>592.27015047999998</v>
      </c>
      <c r="K91" s="98">
        <v>586.42720420000001</v>
      </c>
      <c r="L91" s="98">
        <v>582.87897057999999</v>
      </c>
      <c r="M91" s="98">
        <v>575.68130344000008</v>
      </c>
      <c r="N91" s="98">
        <v>573.70154344000002</v>
      </c>
      <c r="O91" s="98">
        <v>570.84840706</v>
      </c>
      <c r="P91" s="98">
        <v>566.38080706000005</v>
      </c>
      <c r="Q91" s="98">
        <v>565.30772458000001</v>
      </c>
      <c r="R91" s="98">
        <v>561.72489334000011</v>
      </c>
      <c r="S91" s="98">
        <v>550.17834172000005</v>
      </c>
      <c r="T91" s="98">
        <v>547.12284934000002</v>
      </c>
      <c r="U91" s="98">
        <v>547.12284934000002</v>
      </c>
      <c r="V91" s="98">
        <v>536.25693220000005</v>
      </c>
      <c r="W91" s="98">
        <v>534.10197220000009</v>
      </c>
      <c r="X91" s="98">
        <v>534.10197220000009</v>
      </c>
      <c r="Y91" s="98">
        <v>533.1296122</v>
      </c>
      <c r="Z91" s="98">
        <v>526.99323658000003</v>
      </c>
      <c r="AA91" s="98">
        <v>511.85595658000005</v>
      </c>
      <c r="AB91" s="98">
        <v>511.85595658000005</v>
      </c>
      <c r="AC91" s="98">
        <v>508.53590782000003</v>
      </c>
      <c r="AD91" s="98">
        <v>504.49753906000007</v>
      </c>
      <c r="AE91" s="98">
        <v>498.49782382000006</v>
      </c>
      <c r="AF91" s="98">
        <v>498.49782382000006</v>
      </c>
      <c r="AG91" s="98">
        <v>498.49782382000006</v>
      </c>
      <c r="AH91" s="98">
        <v>498.46979182000007</v>
      </c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</row>
    <row r="92" spans="1:82">
      <c r="A92" s="1"/>
      <c r="B92" s="118" t="s">
        <v>90</v>
      </c>
      <c r="C92" s="98">
        <v>0</v>
      </c>
      <c r="D92" s="98">
        <v>0</v>
      </c>
      <c r="E92" s="98">
        <v>0</v>
      </c>
      <c r="F92" s="98">
        <v>0</v>
      </c>
      <c r="G92" s="98">
        <v>0</v>
      </c>
      <c r="H92" s="98">
        <v>0</v>
      </c>
      <c r="I92" s="98">
        <v>0</v>
      </c>
      <c r="J92" s="98">
        <v>0</v>
      </c>
      <c r="K92" s="98">
        <v>0</v>
      </c>
      <c r="L92" s="98">
        <v>0</v>
      </c>
      <c r="M92" s="98">
        <v>0</v>
      </c>
      <c r="N92" s="98">
        <v>0</v>
      </c>
      <c r="O92" s="98">
        <v>0</v>
      </c>
      <c r="P92" s="98">
        <v>0</v>
      </c>
      <c r="Q92" s="98">
        <v>0</v>
      </c>
      <c r="R92" s="98">
        <v>0</v>
      </c>
      <c r="S92" s="98">
        <v>0</v>
      </c>
      <c r="T92" s="98">
        <v>0</v>
      </c>
      <c r="U92" s="98">
        <v>0</v>
      </c>
      <c r="V92" s="98">
        <v>0</v>
      </c>
      <c r="W92" s="98">
        <v>0</v>
      </c>
      <c r="X92" s="98">
        <v>0</v>
      </c>
      <c r="Y92" s="98">
        <v>0</v>
      </c>
      <c r="Z92" s="98">
        <v>0</v>
      </c>
      <c r="AA92" s="98">
        <v>0</v>
      </c>
      <c r="AB92" s="98">
        <v>0</v>
      </c>
      <c r="AC92" s="98">
        <v>0</v>
      </c>
      <c r="AD92" s="98">
        <v>0</v>
      </c>
      <c r="AE92" s="98">
        <v>0</v>
      </c>
      <c r="AF92" s="98">
        <v>0</v>
      </c>
      <c r="AG92" s="98">
        <v>0</v>
      </c>
      <c r="AH92" s="98">
        <v>0</v>
      </c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</row>
    <row r="93" spans="1:82">
      <c r="A93" s="1"/>
      <c r="B93" s="118" t="s">
        <v>48</v>
      </c>
      <c r="C93" s="98">
        <v>59.982188000000001</v>
      </c>
      <c r="D93" s="98">
        <v>59.980727999999999</v>
      </c>
      <c r="E93" s="98">
        <v>59.979559999999999</v>
      </c>
      <c r="F93" s="98">
        <v>59.950505999999997</v>
      </c>
      <c r="G93" s="98">
        <v>59.941015999999998</v>
      </c>
      <c r="H93" s="98">
        <v>59.917656000000001</v>
      </c>
      <c r="I93" s="98">
        <v>59.914006000000001</v>
      </c>
      <c r="J93" s="98">
        <v>59.911085999999997</v>
      </c>
      <c r="K93" s="98">
        <v>59.911085999999997</v>
      </c>
      <c r="L93" s="98">
        <v>59.911085999999997</v>
      </c>
      <c r="M93" s="98">
        <v>59.801586</v>
      </c>
      <c r="N93" s="98">
        <v>59.801586</v>
      </c>
      <c r="O93" s="98">
        <v>59.801586</v>
      </c>
      <c r="P93" s="98">
        <v>59.801586</v>
      </c>
      <c r="Q93" s="98">
        <v>59.801586</v>
      </c>
      <c r="R93" s="98">
        <v>59.801586</v>
      </c>
      <c r="S93" s="98">
        <v>59.801586</v>
      </c>
      <c r="T93" s="98">
        <v>59.801586</v>
      </c>
      <c r="U93" s="98">
        <v>59.801586</v>
      </c>
      <c r="V93" s="98">
        <v>59.801586</v>
      </c>
      <c r="W93" s="98">
        <v>59.801586</v>
      </c>
      <c r="X93" s="98">
        <v>59.801586</v>
      </c>
      <c r="Y93" s="98">
        <v>59.801586</v>
      </c>
      <c r="Z93" s="98">
        <v>59.801586</v>
      </c>
      <c r="AA93" s="98">
        <v>59.801586</v>
      </c>
      <c r="AB93" s="98">
        <v>59.801586</v>
      </c>
      <c r="AC93" s="98">
        <v>59.801586</v>
      </c>
      <c r="AD93" s="98">
        <v>59.801586</v>
      </c>
      <c r="AE93" s="98">
        <v>59.738805999999997</v>
      </c>
      <c r="AF93" s="98">
        <v>59.738805999999997</v>
      </c>
      <c r="AG93" s="98">
        <v>59.738805999999997</v>
      </c>
      <c r="AH93" s="98">
        <v>59.738805999999997</v>
      </c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</row>
    <row r="94" spans="1:82">
      <c r="A94" s="1"/>
      <c r="B94" s="118" t="s">
        <v>51</v>
      </c>
      <c r="C94" s="98">
        <v>3.807188</v>
      </c>
      <c r="D94" s="98">
        <v>3.8057280000000002</v>
      </c>
      <c r="E94" s="98">
        <v>3.8045600000000004</v>
      </c>
      <c r="F94" s="98">
        <v>3.775506</v>
      </c>
      <c r="G94" s="98">
        <v>3.766016</v>
      </c>
      <c r="H94" s="98">
        <v>3.7426560000000002</v>
      </c>
      <c r="I94" s="98">
        <v>3.7390060000000003</v>
      </c>
      <c r="J94" s="98">
        <v>3.7360860000000002</v>
      </c>
      <c r="K94" s="98">
        <v>3.7360860000000002</v>
      </c>
      <c r="L94" s="98">
        <v>3.7360860000000002</v>
      </c>
      <c r="M94" s="98">
        <v>3.6265860000000001</v>
      </c>
      <c r="N94" s="98">
        <v>3.6265860000000001</v>
      </c>
      <c r="O94" s="98">
        <v>3.6265860000000001</v>
      </c>
      <c r="P94" s="98">
        <v>3.6265860000000001</v>
      </c>
      <c r="Q94" s="98">
        <v>3.6265860000000001</v>
      </c>
      <c r="R94" s="98">
        <v>3.6265860000000001</v>
      </c>
      <c r="S94" s="98">
        <v>3.6265860000000001</v>
      </c>
      <c r="T94" s="98">
        <v>3.6265860000000001</v>
      </c>
      <c r="U94" s="98">
        <v>3.6265860000000001</v>
      </c>
      <c r="V94" s="98">
        <v>3.6265860000000001</v>
      </c>
      <c r="W94" s="98">
        <v>3.6265860000000001</v>
      </c>
      <c r="X94" s="98">
        <v>3.6265860000000001</v>
      </c>
      <c r="Y94" s="98">
        <v>3.6265860000000001</v>
      </c>
      <c r="Z94" s="98">
        <v>3.6265860000000001</v>
      </c>
      <c r="AA94" s="98">
        <v>3.6265860000000001</v>
      </c>
      <c r="AB94" s="98">
        <v>3.6265860000000001</v>
      </c>
      <c r="AC94" s="98">
        <v>3.6265860000000001</v>
      </c>
      <c r="AD94" s="98">
        <v>3.6265860000000001</v>
      </c>
      <c r="AE94" s="98">
        <v>3.563806</v>
      </c>
      <c r="AF94" s="98">
        <v>3.563806</v>
      </c>
      <c r="AG94" s="98">
        <v>3.563806</v>
      </c>
      <c r="AH94" s="98">
        <v>3.563806</v>
      </c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</row>
    <row r="95" spans="1:82">
      <c r="A95" s="1"/>
      <c r="B95" s="118" t="s">
        <v>56</v>
      </c>
      <c r="C95" s="98">
        <v>272.63218799999999</v>
      </c>
      <c r="D95" s="98">
        <v>272.63072799999998</v>
      </c>
      <c r="E95" s="98">
        <v>272.62955999999997</v>
      </c>
      <c r="F95" s="98">
        <v>272.600506</v>
      </c>
      <c r="G95" s="98">
        <v>272.59101599999997</v>
      </c>
      <c r="H95" s="98">
        <v>272.567656</v>
      </c>
      <c r="I95" s="98">
        <v>272.56400599999995</v>
      </c>
      <c r="J95" s="98">
        <v>272.56108599999999</v>
      </c>
      <c r="K95" s="98">
        <v>272.56108599999999</v>
      </c>
      <c r="L95" s="98">
        <v>272.56108599999999</v>
      </c>
      <c r="M95" s="98">
        <v>272.45158599999996</v>
      </c>
      <c r="N95" s="98">
        <v>272.45158599999996</v>
      </c>
      <c r="O95" s="98">
        <v>272.45158599999996</v>
      </c>
      <c r="P95" s="98">
        <v>272.45158599999996</v>
      </c>
      <c r="Q95" s="98">
        <v>272.45158599999996</v>
      </c>
      <c r="R95" s="98">
        <v>272.45158599999996</v>
      </c>
      <c r="S95" s="98">
        <v>272.45158599999996</v>
      </c>
      <c r="T95" s="98">
        <v>272.45158599999996</v>
      </c>
      <c r="U95" s="98">
        <v>272.45158599999996</v>
      </c>
      <c r="V95" s="98">
        <v>272.45158599999996</v>
      </c>
      <c r="W95" s="98">
        <v>272.45158599999996</v>
      </c>
      <c r="X95" s="98">
        <v>272.45158599999996</v>
      </c>
      <c r="Y95" s="98">
        <v>272.45158599999996</v>
      </c>
      <c r="Z95" s="98">
        <v>272.45158599999996</v>
      </c>
      <c r="AA95" s="98">
        <v>272.45158599999996</v>
      </c>
      <c r="AB95" s="98">
        <v>272.45158599999996</v>
      </c>
      <c r="AC95" s="98">
        <v>272.45158599999996</v>
      </c>
      <c r="AD95" s="98">
        <v>272.45158599999996</v>
      </c>
      <c r="AE95" s="98">
        <v>272.38880599999999</v>
      </c>
      <c r="AF95" s="98">
        <v>272.38880599999999</v>
      </c>
      <c r="AG95" s="98">
        <v>272.38880599999999</v>
      </c>
      <c r="AH95" s="98">
        <v>272.38880599999999</v>
      </c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</row>
    <row r="96" spans="1:82">
      <c r="A96" s="1"/>
      <c r="B96" s="118" t="s">
        <v>59</v>
      </c>
      <c r="C96" s="98">
        <v>0</v>
      </c>
      <c r="D96" s="98">
        <v>0</v>
      </c>
      <c r="E96" s="98">
        <v>0</v>
      </c>
      <c r="F96" s="98">
        <v>0</v>
      </c>
      <c r="G96" s="98">
        <v>0</v>
      </c>
      <c r="H96" s="98">
        <v>0</v>
      </c>
      <c r="I96" s="98">
        <v>0</v>
      </c>
      <c r="J96" s="98">
        <v>0</v>
      </c>
      <c r="K96" s="98">
        <v>0</v>
      </c>
      <c r="L96" s="98">
        <v>0</v>
      </c>
      <c r="M96" s="98">
        <v>0</v>
      </c>
      <c r="N96" s="98">
        <v>0</v>
      </c>
      <c r="O96" s="98">
        <v>0</v>
      </c>
      <c r="P96" s="98">
        <v>0</v>
      </c>
      <c r="Q96" s="98">
        <v>0</v>
      </c>
      <c r="R96" s="98">
        <v>0</v>
      </c>
      <c r="S96" s="98">
        <v>0</v>
      </c>
      <c r="T96" s="98">
        <v>0</v>
      </c>
      <c r="U96" s="98">
        <v>0</v>
      </c>
      <c r="V96" s="98">
        <v>0</v>
      </c>
      <c r="W96" s="98">
        <v>0</v>
      </c>
      <c r="X96" s="98">
        <v>0</v>
      </c>
      <c r="Y96" s="98">
        <v>0</v>
      </c>
      <c r="Z96" s="98">
        <v>0</v>
      </c>
      <c r="AA96" s="98">
        <v>0</v>
      </c>
      <c r="AB96" s="98">
        <v>0</v>
      </c>
      <c r="AC96" s="98">
        <v>0</v>
      </c>
      <c r="AD96" s="98">
        <v>0</v>
      </c>
      <c r="AE96" s="98">
        <v>0</v>
      </c>
      <c r="AF96" s="98">
        <v>0</v>
      </c>
      <c r="AG96" s="98">
        <v>0</v>
      </c>
      <c r="AH96" s="98">
        <v>0</v>
      </c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</row>
    <row r="97" spans="1:82">
      <c r="A97" s="1"/>
      <c r="B97" s="118" t="s">
        <v>5</v>
      </c>
      <c r="C97" s="98">
        <v>792.72919999999999</v>
      </c>
      <c r="D97" s="98">
        <v>776.13425599999994</v>
      </c>
      <c r="E97" s="98">
        <v>728.29852399999993</v>
      </c>
      <c r="F97" s="98">
        <v>697.10589847999995</v>
      </c>
      <c r="G97" s="98">
        <v>667.47521599999993</v>
      </c>
      <c r="H97" s="98">
        <v>667.47521599999993</v>
      </c>
      <c r="I97" s="98">
        <v>639.2382144799999</v>
      </c>
      <c r="J97" s="98">
        <v>629.4445344799999</v>
      </c>
      <c r="K97" s="98">
        <v>629.4445344799999</v>
      </c>
      <c r="L97" s="98">
        <v>629.4445344799999</v>
      </c>
      <c r="M97" s="98">
        <v>629.4445344799999</v>
      </c>
      <c r="N97" s="98">
        <v>629.4445344799999</v>
      </c>
      <c r="O97" s="98">
        <v>629.4445344799999</v>
      </c>
      <c r="P97" s="98">
        <v>616.89146324000001</v>
      </c>
      <c r="Q97" s="98">
        <v>616.89146324000001</v>
      </c>
      <c r="R97" s="98">
        <v>616.89146324000001</v>
      </c>
      <c r="S97" s="98">
        <v>616.89146324000001</v>
      </c>
      <c r="T97" s="98">
        <v>616.89146324000001</v>
      </c>
      <c r="U97" s="98">
        <v>616.89146324000001</v>
      </c>
      <c r="V97" s="98">
        <v>616.89146324000001</v>
      </c>
      <c r="W97" s="98">
        <v>616.89146324000001</v>
      </c>
      <c r="X97" s="98">
        <v>616.89146324000001</v>
      </c>
      <c r="Y97" s="98">
        <v>616.89146324000001</v>
      </c>
      <c r="Z97" s="98">
        <v>616.89146324000001</v>
      </c>
      <c r="AA97" s="98">
        <v>616.89146324000001</v>
      </c>
      <c r="AB97" s="98">
        <v>616.89146324000001</v>
      </c>
      <c r="AC97" s="98">
        <v>616.89146324000001</v>
      </c>
      <c r="AD97" s="98">
        <v>616.89146324000001</v>
      </c>
      <c r="AE97" s="98">
        <v>616.89146324000001</v>
      </c>
      <c r="AF97" s="98">
        <v>616.89146324000001</v>
      </c>
      <c r="AG97" s="98">
        <v>616.89146324000001</v>
      </c>
      <c r="AH97" s="98">
        <v>616.89146324000001</v>
      </c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</row>
    <row r="98" spans="1:82">
      <c r="A98" s="1"/>
      <c r="B98" s="118" t="s">
        <v>6</v>
      </c>
      <c r="C98" s="98">
        <v>15.949188000000001</v>
      </c>
      <c r="D98" s="98">
        <v>15.947728</v>
      </c>
      <c r="E98" s="98">
        <v>15.94656</v>
      </c>
      <c r="F98" s="98">
        <v>15.917506000000001</v>
      </c>
      <c r="G98" s="98">
        <v>15.908016</v>
      </c>
      <c r="H98" s="98">
        <v>15.884656</v>
      </c>
      <c r="I98" s="98">
        <v>15.881006000000001</v>
      </c>
      <c r="J98" s="98">
        <v>15.878086</v>
      </c>
      <c r="K98" s="98">
        <v>15.878086</v>
      </c>
      <c r="L98" s="98">
        <v>15.878086</v>
      </c>
      <c r="M98" s="98">
        <v>15.768586000000001</v>
      </c>
      <c r="N98" s="98">
        <v>15.768586000000001</v>
      </c>
      <c r="O98" s="98">
        <v>15.768586000000001</v>
      </c>
      <c r="P98" s="98">
        <v>15.768586000000001</v>
      </c>
      <c r="Q98" s="98">
        <v>15.768586000000001</v>
      </c>
      <c r="R98" s="98">
        <v>15.768586000000001</v>
      </c>
      <c r="S98" s="98">
        <v>15.768586000000001</v>
      </c>
      <c r="T98" s="98">
        <v>15.768586000000001</v>
      </c>
      <c r="U98" s="98">
        <v>15.768586000000001</v>
      </c>
      <c r="V98" s="98">
        <v>15.768586000000001</v>
      </c>
      <c r="W98" s="98">
        <v>15.768586000000001</v>
      </c>
      <c r="X98" s="98">
        <v>15.768586000000001</v>
      </c>
      <c r="Y98" s="98">
        <v>15.768586000000001</v>
      </c>
      <c r="Z98" s="98">
        <v>15.768586000000001</v>
      </c>
      <c r="AA98" s="98">
        <v>15.768586000000001</v>
      </c>
      <c r="AB98" s="98">
        <v>15.768586000000001</v>
      </c>
      <c r="AC98" s="98">
        <v>15.768586000000001</v>
      </c>
      <c r="AD98" s="98">
        <v>15.768586000000001</v>
      </c>
      <c r="AE98" s="98">
        <v>15.705806000000001</v>
      </c>
      <c r="AF98" s="98">
        <v>15.705806000000001</v>
      </c>
      <c r="AG98" s="98">
        <v>15.705806000000001</v>
      </c>
      <c r="AH98" s="98">
        <v>15.705806000000001</v>
      </c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</row>
    <row r="99" spans="1:82">
      <c r="A99" s="1"/>
      <c r="B99" s="118" t="s">
        <v>7</v>
      </c>
      <c r="C99" s="98">
        <v>61.883188000000004</v>
      </c>
      <c r="D99" s="98">
        <v>61.881728000000003</v>
      </c>
      <c r="E99" s="98">
        <v>61.880560000000003</v>
      </c>
      <c r="F99" s="98">
        <v>61.851506000000001</v>
      </c>
      <c r="G99" s="98">
        <v>61.842016000000001</v>
      </c>
      <c r="H99" s="98">
        <v>61.818656000000004</v>
      </c>
      <c r="I99" s="98">
        <v>61.815006000000004</v>
      </c>
      <c r="J99" s="98">
        <v>61.812086000000001</v>
      </c>
      <c r="K99" s="98">
        <v>61.812086000000001</v>
      </c>
      <c r="L99" s="98">
        <v>61.812086000000001</v>
      </c>
      <c r="M99" s="98">
        <v>61.702586000000004</v>
      </c>
      <c r="N99" s="98">
        <v>61.702586000000004</v>
      </c>
      <c r="O99" s="98">
        <v>61.702586000000004</v>
      </c>
      <c r="P99" s="98">
        <v>61.702586000000004</v>
      </c>
      <c r="Q99" s="98">
        <v>61.702586000000004</v>
      </c>
      <c r="R99" s="98">
        <v>61.702586000000004</v>
      </c>
      <c r="S99" s="98">
        <v>61.702586000000004</v>
      </c>
      <c r="T99" s="98">
        <v>61.702586000000004</v>
      </c>
      <c r="U99" s="98">
        <v>61.702586000000004</v>
      </c>
      <c r="V99" s="98">
        <v>61.702586000000004</v>
      </c>
      <c r="W99" s="98">
        <v>61.702586000000004</v>
      </c>
      <c r="X99" s="98">
        <v>61.702586000000004</v>
      </c>
      <c r="Y99" s="98">
        <v>61.702586000000004</v>
      </c>
      <c r="Z99" s="98">
        <v>61.702586000000004</v>
      </c>
      <c r="AA99" s="98">
        <v>61.702586000000004</v>
      </c>
      <c r="AB99" s="98">
        <v>61.702586000000004</v>
      </c>
      <c r="AC99" s="98">
        <v>61.702586000000004</v>
      </c>
      <c r="AD99" s="98">
        <v>61.702586000000004</v>
      </c>
      <c r="AE99" s="98">
        <v>61.639806</v>
      </c>
      <c r="AF99" s="98">
        <v>61.639806</v>
      </c>
      <c r="AG99" s="98">
        <v>61.639806</v>
      </c>
      <c r="AH99" s="98">
        <v>61.639806</v>
      </c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</row>
    <row r="100" spans="1:82">
      <c r="A100" s="1"/>
      <c r="B100" s="118" t="s">
        <v>72</v>
      </c>
      <c r="C100" s="98">
        <v>292.50618800000001</v>
      </c>
      <c r="D100" s="98">
        <v>292.504728</v>
      </c>
      <c r="E100" s="98">
        <v>292.50355999999999</v>
      </c>
      <c r="F100" s="98">
        <v>292.47450600000002</v>
      </c>
      <c r="G100" s="98">
        <v>292.46501599999999</v>
      </c>
      <c r="H100" s="98">
        <v>292.44165600000002</v>
      </c>
      <c r="I100" s="98">
        <v>292.43800599999997</v>
      </c>
      <c r="J100" s="98">
        <v>292.43508600000001</v>
      </c>
      <c r="K100" s="98">
        <v>292.43508600000001</v>
      </c>
      <c r="L100" s="98">
        <v>292.43508600000001</v>
      </c>
      <c r="M100" s="98">
        <v>292.32558599999999</v>
      </c>
      <c r="N100" s="98">
        <v>292.32558599999999</v>
      </c>
      <c r="O100" s="98">
        <v>292.32558599999999</v>
      </c>
      <c r="P100" s="98">
        <v>292.32558599999999</v>
      </c>
      <c r="Q100" s="98">
        <v>292.32558599999999</v>
      </c>
      <c r="R100" s="98">
        <v>292.32558599999999</v>
      </c>
      <c r="S100" s="98">
        <v>292.32558599999999</v>
      </c>
      <c r="T100" s="98">
        <v>292.32558599999999</v>
      </c>
      <c r="U100" s="98">
        <v>292.32558599999999</v>
      </c>
      <c r="V100" s="98">
        <v>292.32558599999999</v>
      </c>
      <c r="W100" s="98">
        <v>292.32558599999999</v>
      </c>
      <c r="X100" s="98">
        <v>292.32558599999999</v>
      </c>
      <c r="Y100" s="98">
        <v>292.32558599999999</v>
      </c>
      <c r="Z100" s="98">
        <v>292.32558599999999</v>
      </c>
      <c r="AA100" s="98">
        <v>292.32558599999999</v>
      </c>
      <c r="AB100" s="98">
        <v>292.32558599999999</v>
      </c>
      <c r="AC100" s="98">
        <v>292.32558599999999</v>
      </c>
      <c r="AD100" s="98">
        <v>292.32558599999999</v>
      </c>
      <c r="AE100" s="98">
        <v>292.26280600000001</v>
      </c>
      <c r="AF100" s="98">
        <v>292.26280600000001</v>
      </c>
      <c r="AG100" s="98">
        <v>292.26280600000001</v>
      </c>
      <c r="AH100" s="98">
        <v>292.26280600000001</v>
      </c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</row>
    <row r="101" spans="1:82">
      <c r="A101" s="1"/>
      <c r="B101" s="118" t="s">
        <v>178</v>
      </c>
      <c r="C101" s="98">
        <v>47.147851080000692</v>
      </c>
      <c r="D101" s="98">
        <v>47.13823260000072</v>
      </c>
      <c r="E101" s="98">
        <v>47.138337719999981</v>
      </c>
      <c r="F101" s="98">
        <v>47.138486639999883</v>
      </c>
      <c r="G101" s="98">
        <v>47.138215080000464</v>
      </c>
      <c r="H101" s="98">
        <v>47.129455080000298</v>
      </c>
      <c r="I101" s="98">
        <v>47.129481360000227</v>
      </c>
      <c r="J101" s="98">
        <v>47.129472600000099</v>
      </c>
      <c r="K101" s="98">
        <v>47.129674080000314</v>
      </c>
      <c r="L101" s="98">
        <v>47.129525159999957</v>
      </c>
      <c r="M101" s="98">
        <v>47.129516400000284</v>
      </c>
      <c r="N101" s="98">
        <v>47.129455080000753</v>
      </c>
      <c r="O101" s="98">
        <v>47.129481360000227</v>
      </c>
      <c r="P101" s="98">
        <v>47.129726639999717</v>
      </c>
      <c r="Q101" s="98">
        <v>47.12977920000003</v>
      </c>
      <c r="R101" s="98">
        <v>47.129516400000284</v>
      </c>
      <c r="S101" s="98">
        <v>47.129507639999701</v>
      </c>
      <c r="T101" s="98">
        <v>47.129752920000101</v>
      </c>
      <c r="U101" s="98">
        <v>47.129691600000115</v>
      </c>
      <c r="V101" s="98">
        <v>47.129770439999902</v>
      </c>
      <c r="W101" s="98">
        <v>47.129752920000101</v>
      </c>
      <c r="X101" s="98">
        <v>47.129735399999845</v>
      </c>
      <c r="Y101" s="98">
        <v>47.129840520000016</v>
      </c>
      <c r="Z101" s="98">
        <v>47.12995439999986</v>
      </c>
      <c r="AA101" s="98">
        <v>47.130024479999975</v>
      </c>
      <c r="AB101" s="98">
        <v>47.130024479999975</v>
      </c>
      <c r="AC101" s="98">
        <v>47.129875560000073</v>
      </c>
      <c r="AD101" s="98">
        <v>47.129884320000201</v>
      </c>
      <c r="AE101" s="98">
        <v>47.12982299999976</v>
      </c>
      <c r="AF101" s="98">
        <v>47.12982299999976</v>
      </c>
      <c r="AG101" s="98">
        <v>47.12982299999976</v>
      </c>
      <c r="AH101" s="98">
        <v>47.129787959999703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</row>
    <row r="102" spans="1:8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</row>
    <row r="103" spans="1:82">
      <c r="A103" s="1"/>
      <c r="B103" s="118" t="s">
        <v>162</v>
      </c>
      <c r="C103" s="98">
        <f t="shared" ref="C103:AH103" si="97">SUM(C88:C101)</f>
        <v>4083.4305246000004</v>
      </c>
      <c r="D103" s="98">
        <f t="shared" si="97"/>
        <v>4030.5586686000001</v>
      </c>
      <c r="E103" s="98">
        <f t="shared" si="97"/>
        <v>3831.4256040000005</v>
      </c>
      <c r="F103" s="98">
        <f t="shared" si="97"/>
        <v>3694.30980912</v>
      </c>
      <c r="G103" s="98">
        <f t="shared" si="97"/>
        <v>3525.8789064000002</v>
      </c>
      <c r="H103" s="98">
        <f t="shared" si="97"/>
        <v>3382.4420532000004</v>
      </c>
      <c r="I103" s="98">
        <f t="shared" si="97"/>
        <v>3240.5669766000001</v>
      </c>
      <c r="J103" s="98">
        <f t="shared" si="97"/>
        <v>3143.5657796400005</v>
      </c>
      <c r="K103" s="98">
        <f t="shared" si="97"/>
        <v>3101.9855811600005</v>
      </c>
      <c r="L103" s="98">
        <f t="shared" si="97"/>
        <v>3071.6697790799999</v>
      </c>
      <c r="M103" s="98">
        <f t="shared" si="97"/>
        <v>3044.39289108</v>
      </c>
      <c r="N103" s="98">
        <f t="shared" si="97"/>
        <v>3016.6516354800006</v>
      </c>
      <c r="O103" s="98">
        <f t="shared" si="97"/>
        <v>2987.9004044399999</v>
      </c>
      <c r="P103" s="98">
        <f t="shared" si="97"/>
        <v>2928.5252558399998</v>
      </c>
      <c r="Q103" s="98">
        <f t="shared" si="97"/>
        <v>2926.4229434399999</v>
      </c>
      <c r="R103" s="98">
        <f t="shared" si="97"/>
        <v>2897.0758221600004</v>
      </c>
      <c r="S103" s="98">
        <f t="shared" si="97"/>
        <v>2885.0956461599999</v>
      </c>
      <c r="T103" s="98">
        <f t="shared" si="97"/>
        <v>2880.1245739200003</v>
      </c>
      <c r="U103" s="98">
        <f t="shared" si="97"/>
        <v>2869.92698784</v>
      </c>
      <c r="V103" s="98">
        <f t="shared" si="97"/>
        <v>2855.5045851599998</v>
      </c>
      <c r="W103" s="98">
        <f t="shared" si="97"/>
        <v>2853.3496076400002</v>
      </c>
      <c r="X103" s="98">
        <f t="shared" si="97"/>
        <v>2852.4446821199999</v>
      </c>
      <c r="Y103" s="98">
        <f t="shared" si="97"/>
        <v>2828.8278622799999</v>
      </c>
      <c r="Z103" s="98">
        <f t="shared" si="97"/>
        <v>2820.6724336799998</v>
      </c>
      <c r="AA103" s="98">
        <f t="shared" si="97"/>
        <v>2799.6835087200002</v>
      </c>
      <c r="AB103" s="98">
        <f t="shared" si="97"/>
        <v>2799.6835087200002</v>
      </c>
      <c r="AC103" s="98">
        <f t="shared" si="97"/>
        <v>2795.02040304</v>
      </c>
      <c r="AD103" s="98">
        <f t="shared" si="97"/>
        <v>2789.9790230400004</v>
      </c>
      <c r="AE103" s="98">
        <f t="shared" si="97"/>
        <v>2783.6025664800004</v>
      </c>
      <c r="AF103" s="98">
        <f t="shared" si="97"/>
        <v>2783.6025664800004</v>
      </c>
      <c r="AG103" s="98">
        <f t="shared" si="97"/>
        <v>2783.6025664800004</v>
      </c>
      <c r="AH103" s="98">
        <f t="shared" si="97"/>
        <v>2783.5744994400002</v>
      </c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</row>
    <row r="104" spans="1:82">
      <c r="A104" s="1"/>
      <c r="B104" s="118" t="s">
        <v>163</v>
      </c>
      <c r="C104" s="1">
        <v>4578.8618159999996</v>
      </c>
      <c r="D104" s="1">
        <v>4617.2041019999997</v>
      </c>
      <c r="E104" s="1">
        <v>4654.576172</v>
      </c>
      <c r="F104" s="1">
        <v>4691.001953</v>
      </c>
      <c r="G104" s="1">
        <v>4726.5024409999996</v>
      </c>
      <c r="H104" s="1">
        <v>4761.1015630000002</v>
      </c>
      <c r="I104" s="1">
        <v>4794.8212890000004</v>
      </c>
      <c r="J104" s="1">
        <v>4827.6845700000003</v>
      </c>
      <c r="K104" s="1">
        <v>4859.7114259999998</v>
      </c>
      <c r="L104" s="1">
        <v>4890.9248049999997</v>
      </c>
      <c r="M104" s="1">
        <v>4921.3447269999997</v>
      </c>
      <c r="N104" s="1">
        <v>4950.9931640000004</v>
      </c>
      <c r="O104" s="1">
        <v>4979.8896480000003</v>
      </c>
      <c r="P104" s="1">
        <v>5008.0546880000002</v>
      </c>
      <c r="Q104" s="1">
        <v>5035.5058589999999</v>
      </c>
      <c r="R104" s="1">
        <v>5062.265625</v>
      </c>
      <c r="S104" s="1">
        <v>5088.3496089999999</v>
      </c>
      <c r="T104" s="1">
        <v>5113.7783200000003</v>
      </c>
      <c r="U104" s="1">
        <v>5138.5668949999999</v>
      </c>
      <c r="V104" s="1">
        <v>5162.734375</v>
      </c>
      <c r="W104" s="1">
        <v>5186.2983400000003</v>
      </c>
      <c r="X104" s="1">
        <v>5209.2734380000002</v>
      </c>
      <c r="Y104" s="1">
        <v>5231.6777339999999</v>
      </c>
      <c r="Z104" s="1">
        <v>5253.5253910000001</v>
      </c>
      <c r="AA104" s="1">
        <v>5274.8320309999999</v>
      </c>
      <c r="AB104" s="1">
        <v>5295.6123049999997</v>
      </c>
      <c r="AC104" s="1">
        <v>5315.8823240000002</v>
      </c>
      <c r="AD104" s="1">
        <v>5335.654297</v>
      </c>
      <c r="AE104" s="1">
        <v>5354.9428710000002</v>
      </c>
      <c r="AF104" s="1">
        <v>5373.7617190000001</v>
      </c>
      <c r="AG104" s="1">
        <v>5392.123047</v>
      </c>
      <c r="AH104" s="1">
        <v>5410.0405270000001</v>
      </c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</row>
    <row r="105" spans="1:82">
      <c r="A105" s="1"/>
      <c r="B105" s="118" t="s">
        <v>140</v>
      </c>
      <c r="C105" s="98">
        <f>C104-C103</f>
        <v>495.43129139999928</v>
      </c>
      <c r="D105" s="98">
        <f>D104-D103-C105</f>
        <v>91.214142000000265</v>
      </c>
      <c r="E105" s="98">
        <f>E104-E103-D105-C105</f>
        <v>236.50513460000002</v>
      </c>
      <c r="F105" s="98">
        <f>F104-F103-E105-D105-C105</f>
        <v>173.54157588000044</v>
      </c>
      <c r="G105" s="98">
        <f>G104-G103-F105-E105-D105-C105</f>
        <v>203.9313907199994</v>
      </c>
      <c r="H105" s="98">
        <f>H104-H103-G105-F105-E105-D105-C105</f>
        <v>178.03597520000039</v>
      </c>
      <c r="I105" s="98">
        <f>I104-I103-H105-G105-F105-E105-D105-C105</f>
        <v>175.59480260000055</v>
      </c>
      <c r="J105" s="98">
        <f>J104-J103-I105-H105-G105-F105-E105-D105-C105</f>
        <v>129.86447795999948</v>
      </c>
      <c r="K105" s="98">
        <f>K104-K103-J105-I105-H105-G105-F105-E105-D105-C105</f>
        <v>73.607054479999533</v>
      </c>
      <c r="L105" s="98">
        <f>L104-L103-K105-J105-I105-H105-G105-F105-E105-D105-C105</f>
        <v>61.529181080000399</v>
      </c>
      <c r="M105" s="98">
        <f>M104-M103-L105-K105-J105-I105-H105-G105-F105-E105-D105-C105</f>
        <v>57.696809999999914</v>
      </c>
      <c r="N105" s="98">
        <f>N104-N103-M105-L105-K105-J105-I105-H105-G105-F105-E105-D105-C105</f>
        <v>57.389692600000217</v>
      </c>
      <c r="O105" s="98">
        <f>O104-O103-N105-M105-L105-K105-J105-I105-H105-G105-F105-E105-D105-C105</f>
        <v>57.647715040000548</v>
      </c>
      <c r="P105" s="98">
        <f>P104-P103-O105-N105-M105-L105-K105-J105-I105-H105-G105-F105-E105-D105-C105</f>
        <v>87.540188599999965</v>
      </c>
      <c r="Q105" s="98">
        <f>Q104-Q103-P105-O105-N105-M105-L105-K105-J105-I105-H105-G105-F105-E105-D105-C105</f>
        <v>29.55348339999955</v>
      </c>
      <c r="R105" s="98">
        <f>R104-R103-Q105-P105-O105-N105-M105-L105-K105-J105-I105-H105-G105-F105-E105-D105-C105</f>
        <v>56.106887279999683</v>
      </c>
      <c r="S105" s="98">
        <f>S104-S103-R105-Q105-P105-O105-N105-M105-L105-K105-J105-I105-H105-G105-F105-E105-D105-C105</f>
        <v>38.064160000000356</v>
      </c>
      <c r="T105" s="98">
        <f>T104-T103-S105-R105-Q105-P105-O105-N105-M105-L105-K105-J105-I105-H105-G105-F105-E105-D105-C105</f>
        <v>30.399783240000033</v>
      </c>
      <c r="U105" s="98">
        <f>U104-U103-T105-S105-R105-Q105-P105-O105-N105-M105-L105-K105-J105-I105-H105-G105-F105-E105-D105-C105</f>
        <v>34.986161079999874</v>
      </c>
      <c r="V105" s="98">
        <f>V104-V103-U105-T105-S105-R105-Q105-P105-O105-N105-M105-L105-K105-J105-I105-H105-G105-F105-E105-D105-C105</f>
        <v>38.589882680000301</v>
      </c>
      <c r="W105" s="98">
        <f>W104-W103-V105-U105-T105-S105-R105-Q105-P105-O105-N105-M105-L105-K105-J105-I105-H105-G105-F105-E105-D105-C105</f>
        <v>25.718942519999928</v>
      </c>
      <c r="X105" s="98">
        <f>X104-X103-W105-V105-U105-T105-S105-R105-Q105-P105-O105-N105-M105-L105-K105-J105-I105-H105-G105-F105-E105-D105-C105</f>
        <v>23.880023520000123</v>
      </c>
      <c r="Y105" s="98">
        <f>Y104-Y103-X105-W105-V105-U105-T105-S105-R105-Q105-P105-O105-N105-M105-L105-K105-J105-I105-H105-G105-F105-E105-D105-C105</f>
        <v>46.021115839999766</v>
      </c>
      <c r="Z105" s="98">
        <f>Z104-Z103-Y105-X105-W105-V105-U105-T105-S105-R105-Q105-P105-O105-N105-M105-L105-K105-J105-I105-H105-G105-F105-E105-D105-C105</f>
        <v>30.003085600000304</v>
      </c>
      <c r="AA105" s="98">
        <f>AA104-AA103-Z105-Y105-X105-W105-V105-U105-T105-S105-R105-Q105-P105-O105-N105-M105-L105-K105-J105-I105-H105-G105-F105-E105-D105-C105</f>
        <v>42.29556495999941</v>
      </c>
      <c r="AB105" s="98">
        <f>AB104-AB103-AA105-Z105-Y105-X105-W105-V105-U105-T105-S105-R105-Q105-P105-O105-N105-M105-L105-K105-J105-I105-H105-G105-F105-E105-D105-C105</f>
        <v>20.780273999999736</v>
      </c>
      <c r="AC105" s="98">
        <f>AC104-AC103-AB105-AA105-Z105-Y105-X105-W105-V105-U105-T105-S105-R105-Q105-P105-O105-N105-M105-L105-K105-J105-I105-H105-G105-F105-E105-D105-C105</f>
        <v>24.933124680000674</v>
      </c>
      <c r="AD105" s="98">
        <f>AD104-AD103-AC105-AB105-AA105-Z105-Y105-X105-W105-V105-U105-T105-S105-R105-Q105-P105-O105-N105-M105-L105-K105-J105-I105-H105-G105-F105-E105-D105-C105</f>
        <v>24.813352999999552</v>
      </c>
      <c r="AE105" s="98">
        <f>AE104-AE103-AD105-AC105-AB105-AA105-Z105-Y105-X105-W105-V105-U105-T105-S105-R105-Q105-P105-O105-N105-M105-L105-K105-J105-I105-H105-G105-F105-E105-D105-C105</f>
        <v>25.665030560000105</v>
      </c>
      <c r="AF105" s="98">
        <f>AF104-AF103-AE105-AD105-AC105-AB105-AA105-Z105-Y105-X105-W105-V105-U105-T105-S105-R105-Q105-P105-O105-N105-M105-L105-K105-J105-I105-H105-G105-F105-E105-D105-C105</f>
        <v>18.818847999999889</v>
      </c>
      <c r="AG105" s="98">
        <f>AG104-AG103-AF105-AE105-AD105-AC105-AB105-AA105-Z105-Y105-X105-W105-V105-U105-T105-S105-R105-Q105-P105-O105-N105-M105-L105-K105-J105-I105-H105-G105-F105-E105-D105-C105</f>
        <v>18.361327999999958</v>
      </c>
      <c r="AH105" s="98">
        <f>AH104-AH103-AG105-AF105-AE105-AD105-AC105-AB105-AA105-Z105-Y105-X105-W105-V105-U105-T105-S105-R105-Q105-P105-O105-N105-M105-L105-K105-J105-I105-H105-G105-F105-E105-D105-C105</f>
        <v>17.945547040000292</v>
      </c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</row>
    <row r="106" spans="1:8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</row>
    <row r="107" spans="1:82">
      <c r="A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</row>
    <row r="108" spans="1:82">
      <c r="A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</row>
    <row r="109" spans="1:82">
      <c r="A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</row>
    <row r="110" spans="1:82">
      <c r="A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</row>
    <row r="111" spans="1:82">
      <c r="A111" s="1"/>
      <c r="B111" s="118" t="s">
        <v>77</v>
      </c>
      <c r="C111" s="118">
        <v>2019</v>
      </c>
      <c r="D111" s="118">
        <v>2020</v>
      </c>
      <c r="E111" s="118">
        <v>2021</v>
      </c>
      <c r="F111" s="118">
        <v>2022</v>
      </c>
      <c r="G111" s="118">
        <v>2023</v>
      </c>
      <c r="H111" s="118">
        <v>2024</v>
      </c>
      <c r="I111" s="118">
        <v>2025</v>
      </c>
      <c r="J111" s="118">
        <v>2026</v>
      </c>
      <c r="K111" s="118">
        <v>2027</v>
      </c>
      <c r="L111" s="118">
        <v>2028</v>
      </c>
      <c r="M111" s="118">
        <v>2029</v>
      </c>
      <c r="N111" s="118">
        <v>2030</v>
      </c>
      <c r="O111" s="118">
        <v>2031</v>
      </c>
      <c r="P111" s="118">
        <v>2032</v>
      </c>
      <c r="Q111" s="118">
        <v>2033</v>
      </c>
      <c r="R111" s="118">
        <v>2034</v>
      </c>
      <c r="S111" s="118">
        <v>2035</v>
      </c>
      <c r="T111" s="118">
        <v>2036</v>
      </c>
      <c r="U111" s="118">
        <v>2037</v>
      </c>
      <c r="V111" s="118">
        <v>2038</v>
      </c>
      <c r="W111" s="118">
        <v>2039</v>
      </c>
      <c r="X111" s="118">
        <v>2040</v>
      </c>
      <c r="Y111" s="118">
        <v>2041</v>
      </c>
      <c r="Z111" s="118">
        <v>2042</v>
      </c>
      <c r="AA111" s="118">
        <v>2043</v>
      </c>
      <c r="AB111" s="118">
        <v>2044</v>
      </c>
      <c r="AC111" s="118">
        <v>2045</v>
      </c>
      <c r="AD111" s="118">
        <v>2046</v>
      </c>
      <c r="AE111" s="118">
        <v>2047</v>
      </c>
      <c r="AF111" s="118">
        <v>2048</v>
      </c>
      <c r="AG111" s="118">
        <v>2049</v>
      </c>
      <c r="AH111" s="118">
        <v>2050</v>
      </c>
      <c r="AI111" s="1"/>
      <c r="AJ111" s="1"/>
      <c r="AK111" s="1" t="s">
        <v>113</v>
      </c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</row>
    <row r="112" spans="1:82">
      <c r="A112" s="1"/>
      <c r="B112" s="136" t="s">
        <v>81</v>
      </c>
      <c r="C112" s="138">
        <f>C88+VLOOKUP($B$112,C56:D66,2,FALSE)</f>
        <v>1086.8469095200001</v>
      </c>
      <c r="D112" s="138">
        <f>C112-(C88-D88)+VLOOKUP(B112,$E$56:$F$66,2,FALSE)</f>
        <v>1064.5649559999999</v>
      </c>
      <c r="E112" s="138">
        <f>D112-(D88-E88)+VLOOKUP(B112,$G$56:$H$66,2,FALSE)</f>
        <v>993.27435904000004</v>
      </c>
      <c r="F112" s="138">
        <f>E112-(E88-F88)+VLOOKUP(B112,$I$56:$J$66,2,FALSE)</f>
        <v>920.65656076000005</v>
      </c>
      <c r="G112" s="138">
        <f>F112-(F88-G88)+VLOOKUP(B112,$K$56:$L$66,2,FALSE)</f>
        <v>814.67102895999994</v>
      </c>
      <c r="H112" s="138">
        <f>G112-(G88-H88)+VLOOKUP(B112,$M$56:$N$66,2,FALSE)</f>
        <v>707.23311544000001</v>
      </c>
      <c r="I112" s="138">
        <f>H112-(H88-I88)+VLOOKUP(B112,$O$56:$P$66,2,FALSE)</f>
        <v>614.50424056000008</v>
      </c>
      <c r="J112" s="138">
        <f>I112-(I88-J88)+VLOOKUP(B112,$Q$56:$R$66,2,FALSE)</f>
        <v>568.07186932000002</v>
      </c>
      <c r="K112" s="138">
        <f>J112-(J88-K88)+VLOOKUP(B112,$S$56:$T$66,2,FALSE)</f>
        <v>536.05742439999983</v>
      </c>
      <c r="L112" s="138">
        <f>K112-(K88-L88)+VLOOKUP(B112,$U$56:$V$66,2,FALSE)</f>
        <v>517.83319924000011</v>
      </c>
      <c r="M112" s="138">
        <f>L112-(L88-M88)+VLOOKUP(B112,$W$56:$X$66,2,FALSE)</f>
        <v>513.05026552000004</v>
      </c>
      <c r="N112" s="138">
        <f>M112-(M88-N88)+VLOOKUP(B112,$Y$56:$Z$66,2,FALSE)</f>
        <v>487.54111924000006</v>
      </c>
      <c r="O112" s="138">
        <f>N112-(N88-O88)+VLOOKUP(B112,$AA$56:$AB$66,2,FALSE)</f>
        <v>464.3796354399999</v>
      </c>
      <c r="P112" s="138">
        <f>O112-(O88-P88)+VLOOKUP(B112,$AC$56:$AD$66,2,FALSE)</f>
        <v>422.02491279999992</v>
      </c>
      <c r="Q112" s="138">
        <f>P112-(P88-Q88)+VLOOKUP(B112,$AE$56:$AF$66,2,FALSE)</f>
        <v>422.02491279999992</v>
      </c>
      <c r="R112" s="138">
        <f>Q112-(Q88-R88)+VLOOKUP(B112,$AG$56:$AH$66,2,FALSE)</f>
        <v>396.61127679999993</v>
      </c>
      <c r="S112" s="138">
        <f>R112-(R88-S88)+VLOOKUP(B112,$C$73:$D$83,2,FALSE)</f>
        <v>396.61127679999993</v>
      </c>
      <c r="T112" s="138">
        <f>S112-(S88-T88)+VLOOKUP(B112,$E$73:$F$83,2,FALSE)</f>
        <v>396.61127679999993</v>
      </c>
      <c r="U112" s="138">
        <f>T112-(T88-U88)+VLOOKUP(B112,$G$73:$H$83,2,FALSE)</f>
        <v>386.41375203999974</v>
      </c>
      <c r="V112" s="138">
        <f>U112-(U88-V88)+VLOOKUP(B112,$I$73:$J$83,2,FALSE)</f>
        <v>386.41375203999974</v>
      </c>
      <c r="W112" s="138">
        <f>V112-(V88-W88)+VLOOKUP(B112,$K$73:$L$83,2,FALSE)</f>
        <v>386.41375203999974</v>
      </c>
      <c r="X112" s="138">
        <f>W112-(W88-X88)+VLOOKUP(B112,$M$73:$N$83,2,FALSE)</f>
        <v>386.41375203999974</v>
      </c>
      <c r="Y112" s="138">
        <f>X112-(X88-Y88)+VLOOKUP(B112,$O$73:$P$83,2,FALSE)</f>
        <v>375.75287583999989</v>
      </c>
      <c r="Z112" s="138">
        <f>Y112-(Y88-Z88)+VLOOKUP(B112,$Q$73:$R$83,2,FALSE)</f>
        <v>375.75287583999989</v>
      </c>
      <c r="AA112" s="138">
        <f>Z112-(Z88-AA88)+VLOOKUP(B112,$S$73:$T$83,2,FALSE)</f>
        <v>370.81220955999993</v>
      </c>
      <c r="AB112" s="138">
        <f>AA112-(AA88-AB88)+VLOOKUP(B112,$U$73:$V$83,2,FALSE)</f>
        <v>370.81220955999993</v>
      </c>
      <c r="AC112" s="138">
        <f>AB112-(AB88-AC88)+VLOOKUP(B112,$W$73:$X$83,2,FALSE)</f>
        <v>370.81220955999993</v>
      </c>
      <c r="AD112" s="138">
        <f>AC112-(AC88-AD88)+VLOOKUP(B112,$Y$73:$Z$83,2,FALSE)</f>
        <v>370.81220955999993</v>
      </c>
      <c r="AE112" s="138">
        <f>AD112-(AD88-AE88)+VLOOKUP(B112,$AA$73:$AB$83,2,FALSE)</f>
        <v>370.81220955999993</v>
      </c>
      <c r="AF112" s="138">
        <f>AE112-(AE88-AF88)+VLOOKUP(B112,$AC$73:$AD$83,2,FALSE)</f>
        <v>370.81220955999993</v>
      </c>
      <c r="AG112" s="138">
        <f>AF112-(AF88-AG88)+VLOOKUP(B112,$AE$73:$AF$83,2,FALSE)</f>
        <v>370.81220955999993</v>
      </c>
      <c r="AH112" s="138">
        <f>AG112-(AG88-AH88)+VLOOKUP(B112,$AG$73:$AH$83,2,FALSE)</f>
        <v>370.81220955999993</v>
      </c>
      <c r="AI112" s="1"/>
      <c r="AJ112" s="1"/>
      <c r="AK112" s="1">
        <v>1000</v>
      </c>
      <c r="AL112" s="1">
        <f t="shared" ref="AL112:AL125" si="98">AK112/10^(-9)</f>
        <v>999999999999.99988</v>
      </c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</row>
    <row r="113" spans="1:82">
      <c r="A113" s="1"/>
      <c r="B113" s="136" t="s">
        <v>96</v>
      </c>
      <c r="C113" s="138">
        <f>C89+VLOOKUP(B113,$C$56:$D$66,2,FALSE)</f>
        <v>63.320291399999292</v>
      </c>
      <c r="D113" s="138">
        <f>C113-(C89-D89)+VLOOKUP(B113,$E$56:$F$66,2,FALSE)</f>
        <v>63.320291399999292</v>
      </c>
      <c r="E113" s="138">
        <f t="shared" ref="E113:E124" si="99">D113-(D89-E89)+VLOOKUP(B113,$G$56:$H$66,2,FALSE)</f>
        <v>63.320291399999292</v>
      </c>
      <c r="F113" s="138">
        <f t="shared" ref="F113:F124" si="100">E113-(E89-F89)+VLOOKUP(B113,$I$56:$J$66,2,FALSE)</f>
        <v>63.320291399999292</v>
      </c>
      <c r="G113" s="138">
        <f t="shared" ref="G113:G124" si="101">F113-(F89-G89)+VLOOKUP(B113,$K$56:$L$66,2,FALSE)</f>
        <v>63.320291399999292</v>
      </c>
      <c r="H113" s="138">
        <f t="shared" ref="H113:H124" si="102">G113-(G89-H89)+VLOOKUP(B113,$M$56:$N$66,2,FALSE)</f>
        <v>63.320291399999292</v>
      </c>
      <c r="I113" s="138">
        <f t="shared" ref="I113:I124" si="103">H113-(H89-I89)+VLOOKUP(B113,$O$56:$P$66,2,FALSE)</f>
        <v>63.320291399999292</v>
      </c>
      <c r="J113" s="138">
        <f t="shared" ref="J113:J124" si="104">I113-(I89-J89)+VLOOKUP(B113,$Q$56:$R$66,2,FALSE)</f>
        <v>63.320291399999292</v>
      </c>
      <c r="K113" s="138">
        <f t="shared" ref="K113:K123" si="105">J113-(J89-K89)+VLOOKUP(B113,$S$56:$T$66,2,FALSE)</f>
        <v>63.320291399999292</v>
      </c>
      <c r="L113" s="138">
        <f t="shared" ref="L113:L124" si="106">K113-(K89-L89)+VLOOKUP(B113,$U$56:$V$66,2,FALSE)</f>
        <v>63.320291399999292</v>
      </c>
      <c r="M113" s="138">
        <f t="shared" ref="M113:M123" si="107">L113-(L89-M89)+VLOOKUP(B113,$W$56:$X$66,2,FALSE)</f>
        <v>63.320291399999292</v>
      </c>
      <c r="N113" s="138">
        <f t="shared" ref="N113:N123" si="108">M113-(M89-N89)+VLOOKUP(B113,$Y$56:$Z$66,2,FALSE)</f>
        <v>63.320291399999292</v>
      </c>
      <c r="O113" s="138">
        <f t="shared" ref="O113:O124" si="109">N113-(N89-O89)+VLOOKUP(B113,$AA$56:$AB$66,2,FALSE)</f>
        <v>63.320291399999292</v>
      </c>
      <c r="P113" s="138">
        <f t="shared" ref="P113:P124" si="110">O113-(O89-P89)+VLOOKUP(B113,$AC$56:$AD$66,2,FALSE)</f>
        <v>63.320291399999292</v>
      </c>
      <c r="Q113" s="138">
        <f t="shared" ref="Q113:Q124" si="111">P113-(P89-Q89)+VLOOKUP(B113,$AE$56:$AF$66,2,FALSE)</f>
        <v>63.320291399999292</v>
      </c>
      <c r="R113" s="138">
        <f t="shared" ref="R113:R124" si="112">Q113-(Q89-R89)+VLOOKUP(B113,$AG$56:$AH$66,2,FALSE)</f>
        <v>63.320291399999292</v>
      </c>
      <c r="S113" s="138">
        <f t="shared" ref="S113:S124" si="113">R113-(R89-S89)+VLOOKUP(B113,$C$73:$D$83,2,FALSE)</f>
        <v>63.320291399999292</v>
      </c>
      <c r="T113" s="138">
        <f t="shared" ref="T113:T124" si="114">S113-(S89-T89)+VLOOKUP(B113,$E$73:$F$83,2,FALSE)</f>
        <v>63.320291399999292</v>
      </c>
      <c r="U113" s="138">
        <f t="shared" ref="U113:U124" si="115">T113-(T89-U89)+VLOOKUP(B113,$G$73:$H$83,2,FALSE)</f>
        <v>63.320291399999292</v>
      </c>
      <c r="V113" s="138">
        <f t="shared" ref="V113:V124" si="116">U113-(U89-V89)+VLOOKUP(B113,$I$73:$J$83,2,FALSE)</f>
        <v>63.320291399999292</v>
      </c>
      <c r="W113" s="138">
        <f t="shared" ref="W113:W124" si="117">V113-(V89-W89)+VLOOKUP(B113,$K$73:$L$83,2,FALSE)</f>
        <v>63.320291399999292</v>
      </c>
      <c r="X113" s="138">
        <f t="shared" ref="X113:X124" si="118">W113-(W89-X89)+VLOOKUP(B113,$M$73:$N$83,2,FALSE)</f>
        <v>63.320291399999292</v>
      </c>
      <c r="Y113" s="138">
        <f t="shared" ref="Y113:Y124" si="119">X113-(X89-Y89)+VLOOKUP(B113,$O$73:$P$83,2,FALSE)</f>
        <v>63.320291399999292</v>
      </c>
      <c r="Z113" s="138">
        <f t="shared" ref="Z113:Z124" si="120">Y113-(Y89-Z89)+VLOOKUP(B113,$Q$73:$R$83,2,FALSE)</f>
        <v>63.320291399999292</v>
      </c>
      <c r="AA113" s="138">
        <f t="shared" ref="AA113:AA124" si="121">Z113-(Z89-AA89)+VLOOKUP(B113,$S$73:$T$83,2,FALSE)</f>
        <v>63.320291399999292</v>
      </c>
      <c r="AB113" s="138">
        <f t="shared" ref="AB113:AB124" si="122">AA113-(AA89-AB89)+VLOOKUP(B113,$U$73:$V$83,2,FALSE)</f>
        <v>63.320291399999292</v>
      </c>
      <c r="AC113" s="138">
        <f t="shared" ref="AC113:AC124" si="123">AB113-(AB89-AC89)+VLOOKUP(B113,$W$73:$X$83,2,FALSE)</f>
        <v>63.320291399999292</v>
      </c>
      <c r="AD113" s="138">
        <f t="shared" ref="AD113:AD124" si="124">AC113-(AC89-AD89)+VLOOKUP(B113,$Y$73:$Z$83,2,FALSE)</f>
        <v>63.320291399999292</v>
      </c>
      <c r="AE113" s="138">
        <f t="shared" ref="AE113:AE124" si="125">AD113-(AD89-AE89)+VLOOKUP(B113,$AA$73:$AB$83,2,FALSE)</f>
        <v>63.320291399999292</v>
      </c>
      <c r="AF113" s="138">
        <f t="shared" ref="AF113:AF124" si="126">AE113-(AE89-AF89)+VLOOKUP(B113,$AC$73:$AD$83,2,FALSE)</f>
        <v>63.320291399999292</v>
      </c>
      <c r="AG113" s="138">
        <f t="shared" ref="AG113:AG124" si="127">AF113-(AF89-AG89)+VLOOKUP(B113,$AE$73:$AF$83,2,FALSE)</f>
        <v>63.320291399999292</v>
      </c>
      <c r="AH113" s="138">
        <f t="shared" ref="AH113:AH124" si="128">AG113-(AG89-AH89)+VLOOKUP(B113,$AG$73:$AH$83,2,FALSE)</f>
        <v>63.320291399999292</v>
      </c>
      <c r="AI113" s="1"/>
      <c r="AJ113" s="1"/>
      <c r="AK113" s="1">
        <v>222.87170139311257</v>
      </c>
      <c r="AL113" s="1">
        <f t="shared" si="98"/>
        <v>222871701393.11255</v>
      </c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</row>
    <row r="114" spans="1:82">
      <c r="A114" s="1"/>
      <c r="B114" s="136" t="s">
        <v>89</v>
      </c>
      <c r="C114" s="138">
        <f>C90</f>
        <v>724.11517600000002</v>
      </c>
      <c r="D114" s="138">
        <f t="shared" ref="D114:AH114" si="129">D90</f>
        <v>716.808898</v>
      </c>
      <c r="E114" s="138">
        <f t="shared" si="129"/>
        <v>675.27160162000007</v>
      </c>
      <c r="F114" s="138">
        <f t="shared" si="129"/>
        <v>665.22256762000006</v>
      </c>
      <c r="G114" s="138">
        <f t="shared" si="129"/>
        <v>648.65652724000006</v>
      </c>
      <c r="H114" s="138">
        <f t="shared" si="129"/>
        <v>632.77639485999998</v>
      </c>
      <c r="I114" s="138">
        <f t="shared" si="129"/>
        <v>624.24503523999999</v>
      </c>
      <c r="J114" s="138">
        <f t="shared" si="129"/>
        <v>600.31623676000004</v>
      </c>
      <c r="K114" s="138">
        <f t="shared" si="129"/>
        <v>596.59322800000007</v>
      </c>
      <c r="L114" s="138">
        <f t="shared" si="129"/>
        <v>588.05003362000002</v>
      </c>
      <c r="M114" s="138">
        <f t="shared" si="129"/>
        <v>573.41075524000007</v>
      </c>
      <c r="N114" s="138">
        <f t="shared" si="129"/>
        <v>573.15846724000005</v>
      </c>
      <c r="O114" s="138">
        <f t="shared" si="129"/>
        <v>570.42183010000008</v>
      </c>
      <c r="P114" s="138">
        <f t="shared" si="129"/>
        <v>570.42183010000008</v>
      </c>
      <c r="Q114" s="138">
        <f t="shared" si="129"/>
        <v>569.39254762000007</v>
      </c>
      <c r="R114" s="138">
        <f t="shared" si="129"/>
        <v>569.04215638000005</v>
      </c>
      <c r="S114" s="138">
        <f t="shared" si="129"/>
        <v>568.6085407600001</v>
      </c>
      <c r="T114" s="138">
        <f t="shared" si="129"/>
        <v>566.69271562000006</v>
      </c>
      <c r="U114" s="138">
        <f t="shared" si="129"/>
        <v>566.69271562000006</v>
      </c>
      <c r="V114" s="138">
        <f t="shared" si="129"/>
        <v>563.13615124000012</v>
      </c>
      <c r="W114" s="138">
        <f t="shared" si="129"/>
        <v>563.13615124000012</v>
      </c>
      <c r="X114" s="138">
        <f t="shared" si="129"/>
        <v>562.23124324000003</v>
      </c>
      <c r="Y114" s="138">
        <f t="shared" si="129"/>
        <v>550.24755448000008</v>
      </c>
      <c r="Z114" s="138">
        <f t="shared" si="129"/>
        <v>548.22838762000003</v>
      </c>
      <c r="AA114" s="138">
        <f t="shared" si="129"/>
        <v>547.31733886000006</v>
      </c>
      <c r="AB114" s="138">
        <f t="shared" si="129"/>
        <v>547.31733886000006</v>
      </c>
      <c r="AC114" s="138">
        <f t="shared" si="129"/>
        <v>545.97443085999998</v>
      </c>
      <c r="AD114" s="138">
        <f t="shared" si="129"/>
        <v>544.97141086000011</v>
      </c>
      <c r="AE114" s="138">
        <f t="shared" si="129"/>
        <v>544.97141086000011</v>
      </c>
      <c r="AF114" s="138">
        <f t="shared" si="129"/>
        <v>544.97141086000011</v>
      </c>
      <c r="AG114" s="138">
        <f t="shared" si="129"/>
        <v>544.97141086000011</v>
      </c>
      <c r="AH114" s="138">
        <f t="shared" si="129"/>
        <v>544.97141086000011</v>
      </c>
      <c r="AI114" s="1"/>
      <c r="AJ114" s="1"/>
      <c r="AK114" s="1">
        <v>652</v>
      </c>
      <c r="AL114" s="1">
        <f t="shared" si="98"/>
        <v>652000000000</v>
      </c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</row>
    <row r="115" spans="1:82">
      <c r="A115" s="1"/>
      <c r="B115" s="136" t="s">
        <v>88</v>
      </c>
      <c r="C115" s="138">
        <f>C91+C116</f>
        <v>938.03626000000008</v>
      </c>
      <c r="D115" s="138">
        <f t="shared" ref="D115:AH115" si="130">D91+D116</f>
        <v>1022.5801000000004</v>
      </c>
      <c r="E115" s="138">
        <f t="shared" si="130"/>
        <v>1196.3225636200004</v>
      </c>
      <c r="F115" s="138">
        <f t="shared" si="130"/>
        <v>1346.7819775000007</v>
      </c>
      <c r="G115" s="138">
        <f t="shared" si="130"/>
        <v>1534.5219317200003</v>
      </c>
      <c r="H115" s="138">
        <f t="shared" si="130"/>
        <v>1630.4907844200006</v>
      </c>
      <c r="I115" s="138">
        <f t="shared" si="130"/>
        <v>1694.3740438400011</v>
      </c>
      <c r="J115" s="138">
        <f t="shared" si="130"/>
        <v>1707.4097033200005</v>
      </c>
      <c r="K115" s="138">
        <f t="shared" si="130"/>
        <v>1701.5667570400005</v>
      </c>
      <c r="L115" s="138">
        <f t="shared" si="130"/>
        <v>1698.0185234200005</v>
      </c>
      <c r="M115" s="138">
        <f t="shared" si="130"/>
        <v>1690.8208562800005</v>
      </c>
      <c r="N115" s="138">
        <f t="shared" si="130"/>
        <v>1688.8410962800006</v>
      </c>
      <c r="O115" s="138">
        <f t="shared" si="130"/>
        <v>1685.9879599000005</v>
      </c>
      <c r="P115" s="138">
        <f t="shared" si="130"/>
        <v>1681.5203599000006</v>
      </c>
      <c r="Q115" s="138">
        <f t="shared" si="130"/>
        <v>1680.4472774200005</v>
      </c>
      <c r="R115" s="138">
        <f t="shared" si="130"/>
        <v>1676.8644461800006</v>
      </c>
      <c r="S115" s="138">
        <f t="shared" si="130"/>
        <v>1665.3178945600007</v>
      </c>
      <c r="T115" s="138">
        <f t="shared" si="130"/>
        <v>1662.2624021800007</v>
      </c>
      <c r="U115" s="138">
        <f t="shared" si="130"/>
        <v>1662.2624021800007</v>
      </c>
      <c r="V115" s="138">
        <f t="shared" si="130"/>
        <v>1651.3964850400007</v>
      </c>
      <c r="W115" s="138">
        <f t="shared" si="130"/>
        <v>1649.2415250400006</v>
      </c>
      <c r="X115" s="138">
        <f t="shared" si="130"/>
        <v>1649.2415250400006</v>
      </c>
      <c r="Y115" s="138">
        <f t="shared" si="130"/>
        <v>1648.2691650400006</v>
      </c>
      <c r="Z115" s="138">
        <f t="shared" si="130"/>
        <v>1642.1327894200006</v>
      </c>
      <c r="AA115" s="138">
        <f t="shared" si="130"/>
        <v>1626.9955094200006</v>
      </c>
      <c r="AB115" s="138">
        <f t="shared" si="130"/>
        <v>1626.9955094200006</v>
      </c>
      <c r="AC115" s="138">
        <f t="shared" si="130"/>
        <v>1623.6754606600007</v>
      </c>
      <c r="AD115" s="138">
        <f t="shared" si="130"/>
        <v>1619.6370919000005</v>
      </c>
      <c r="AE115" s="138">
        <f t="shared" si="130"/>
        <v>1613.6373766600007</v>
      </c>
      <c r="AF115" s="138">
        <f t="shared" si="130"/>
        <v>1613.6373766600007</v>
      </c>
      <c r="AG115" s="138">
        <f t="shared" si="130"/>
        <v>1613.6373766600007</v>
      </c>
      <c r="AH115" s="138">
        <f t="shared" si="130"/>
        <v>1613.6093446600007</v>
      </c>
      <c r="AI115" s="1"/>
      <c r="AJ115" s="1"/>
      <c r="AK115" s="1">
        <v>441</v>
      </c>
      <c r="AL115" s="1">
        <f t="shared" si="98"/>
        <v>441000000000</v>
      </c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</row>
    <row r="116" spans="1:82">
      <c r="A116" s="1"/>
      <c r="B116" s="136" t="s">
        <v>97</v>
      </c>
      <c r="C116" s="138">
        <f t="shared" ref="C116:C124" si="131">C92+VLOOKUP(B116,$C$56:$D$66,2,FALSE)</f>
        <v>212.20500000000001</v>
      </c>
      <c r="D116" s="138">
        <f t="shared" ref="D116:D124" si="132">C116-(C92-D92)+VLOOKUP(B116,$E$56:$F$66,2,FALSE)</f>
        <v>303.41914200000031</v>
      </c>
      <c r="E116" s="138">
        <f t="shared" si="99"/>
        <v>515.62414200000035</v>
      </c>
      <c r="F116" s="138">
        <f t="shared" si="100"/>
        <v>689.16571788000078</v>
      </c>
      <c r="G116" s="138">
        <f t="shared" si="101"/>
        <v>893.09710860000018</v>
      </c>
      <c r="H116" s="138">
        <f t="shared" si="102"/>
        <v>1009.0358486000006</v>
      </c>
      <c r="I116" s="138">
        <f t="shared" si="103"/>
        <v>1085.2750748800011</v>
      </c>
      <c r="J116" s="138">
        <f>I116-(I92-J92)+VLOOKUP(B116,$Q$56:$R$66,2,FALSE)</f>
        <v>1115.1395528400005</v>
      </c>
      <c r="K116" s="138">
        <f t="shared" si="105"/>
        <v>1115.1395528400005</v>
      </c>
      <c r="L116" s="138">
        <f t="shared" si="106"/>
        <v>1115.1395528400005</v>
      </c>
      <c r="M116" s="138">
        <f t="shared" si="107"/>
        <v>1115.1395528400005</v>
      </c>
      <c r="N116" s="138">
        <f t="shared" si="108"/>
        <v>1115.1395528400005</v>
      </c>
      <c r="O116" s="138">
        <f t="shared" si="109"/>
        <v>1115.1395528400005</v>
      </c>
      <c r="P116" s="138">
        <f t="shared" si="110"/>
        <v>1115.1395528400005</v>
      </c>
      <c r="Q116" s="138">
        <f t="shared" si="111"/>
        <v>1115.1395528400005</v>
      </c>
      <c r="R116" s="138">
        <f t="shared" si="112"/>
        <v>1115.1395528400005</v>
      </c>
      <c r="S116" s="138">
        <f t="shared" si="113"/>
        <v>1115.1395528400005</v>
      </c>
      <c r="T116" s="138">
        <f t="shared" si="114"/>
        <v>1115.1395528400005</v>
      </c>
      <c r="U116" s="138">
        <f t="shared" si="115"/>
        <v>1115.1395528400005</v>
      </c>
      <c r="V116" s="138">
        <f t="shared" si="116"/>
        <v>1115.1395528400005</v>
      </c>
      <c r="W116" s="138">
        <f t="shared" si="117"/>
        <v>1115.1395528400005</v>
      </c>
      <c r="X116" s="138">
        <f t="shared" si="118"/>
        <v>1115.1395528400005</v>
      </c>
      <c r="Y116" s="138">
        <f t="shared" si="119"/>
        <v>1115.1395528400005</v>
      </c>
      <c r="Z116" s="138">
        <f t="shared" si="120"/>
        <v>1115.1395528400005</v>
      </c>
      <c r="AA116" s="138">
        <f t="shared" si="121"/>
        <v>1115.1395528400005</v>
      </c>
      <c r="AB116" s="138">
        <f t="shared" si="122"/>
        <v>1115.1395528400005</v>
      </c>
      <c r="AC116" s="138">
        <f t="shared" si="123"/>
        <v>1115.1395528400005</v>
      </c>
      <c r="AD116" s="138">
        <f t="shared" si="124"/>
        <v>1115.1395528400005</v>
      </c>
      <c r="AE116" s="138">
        <f t="shared" si="125"/>
        <v>1115.1395528400005</v>
      </c>
      <c r="AF116" s="138">
        <f t="shared" si="126"/>
        <v>1115.1395528400005</v>
      </c>
      <c r="AG116" s="138">
        <f t="shared" si="127"/>
        <v>1115.1395528400005</v>
      </c>
      <c r="AH116" s="138">
        <f t="shared" si="128"/>
        <v>1115.1395528400005</v>
      </c>
      <c r="AI116" s="1"/>
      <c r="AJ116" s="1"/>
      <c r="AK116" s="1">
        <v>98.343000000000004</v>
      </c>
      <c r="AL116" s="1">
        <f t="shared" si="98"/>
        <v>98343000000</v>
      </c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</row>
    <row r="117" spans="1:82">
      <c r="A117" s="1"/>
      <c r="B117" s="136" t="s">
        <v>98</v>
      </c>
      <c r="C117" s="138">
        <f t="shared" si="131"/>
        <v>77.214188000000007</v>
      </c>
      <c r="D117" s="138">
        <f t="shared" si="132"/>
        <v>77.212727999999998</v>
      </c>
      <c r="E117" s="138">
        <f t="shared" si="99"/>
        <v>99.957799999999992</v>
      </c>
      <c r="F117" s="138">
        <f t="shared" si="100"/>
        <v>99.92874599999999</v>
      </c>
      <c r="G117" s="138">
        <f t="shared" si="101"/>
        <v>99.91925599999999</v>
      </c>
      <c r="H117" s="138">
        <f t="shared" si="102"/>
        <v>161.99313119999999</v>
      </c>
      <c r="I117" s="138">
        <f t="shared" si="103"/>
        <v>261.34505752000001</v>
      </c>
      <c r="J117" s="138">
        <f t="shared" si="104"/>
        <v>361.34213751999999</v>
      </c>
      <c r="K117" s="138">
        <f t="shared" si="105"/>
        <v>434.94919199999953</v>
      </c>
      <c r="L117" s="138">
        <f t="shared" si="106"/>
        <v>496.47837307999993</v>
      </c>
      <c r="M117" s="138">
        <f t="shared" si="107"/>
        <v>554.06568307999987</v>
      </c>
      <c r="N117" s="138">
        <f t="shared" si="108"/>
        <v>611.45537568000009</v>
      </c>
      <c r="O117" s="138">
        <f t="shared" si="109"/>
        <v>669.10309072000064</v>
      </c>
      <c r="P117" s="138">
        <f t="shared" si="110"/>
        <v>756.6432793200006</v>
      </c>
      <c r="Q117" s="138">
        <f t="shared" si="111"/>
        <v>786.19676272000015</v>
      </c>
      <c r="R117" s="138">
        <f t="shared" si="112"/>
        <v>842.30364999999983</v>
      </c>
      <c r="S117" s="138">
        <f t="shared" si="113"/>
        <v>880.36781000000019</v>
      </c>
      <c r="T117" s="138">
        <f t="shared" si="114"/>
        <v>910.76759324000022</v>
      </c>
      <c r="U117" s="138">
        <f t="shared" si="115"/>
        <v>945.7537543200001</v>
      </c>
      <c r="V117" s="138">
        <f t="shared" si="116"/>
        <v>984.3436370000004</v>
      </c>
      <c r="W117" s="138">
        <f t="shared" si="117"/>
        <v>1010.0625795200003</v>
      </c>
      <c r="X117" s="138">
        <f t="shared" si="118"/>
        <v>1033.9426030400004</v>
      </c>
      <c r="Y117" s="138">
        <f t="shared" si="119"/>
        <v>1079.9637188800002</v>
      </c>
      <c r="Z117" s="138">
        <f t="shared" si="120"/>
        <v>1109.9668044800005</v>
      </c>
      <c r="AA117" s="138">
        <f t="shared" si="121"/>
        <v>1152.2623694399999</v>
      </c>
      <c r="AB117" s="138">
        <f t="shared" si="122"/>
        <v>1173.0426434399997</v>
      </c>
      <c r="AC117" s="138">
        <f t="shared" si="123"/>
        <v>1197.9757681200003</v>
      </c>
      <c r="AD117" s="138">
        <f t="shared" si="124"/>
        <v>1222.7891211199999</v>
      </c>
      <c r="AE117" s="138">
        <f t="shared" si="125"/>
        <v>1248.39137168</v>
      </c>
      <c r="AF117" s="138">
        <f t="shared" si="126"/>
        <v>1267.2102196799999</v>
      </c>
      <c r="AG117" s="138">
        <f t="shared" si="127"/>
        <v>1285.5715476799999</v>
      </c>
      <c r="AH117" s="138">
        <f t="shared" si="128"/>
        <v>1303.5170947200002</v>
      </c>
      <c r="AI117" s="1"/>
      <c r="AJ117" s="1"/>
      <c r="AK117" s="1">
        <v>45</v>
      </c>
      <c r="AL117" s="1">
        <f t="shared" si="98"/>
        <v>45000000000</v>
      </c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</row>
    <row r="118" spans="1:82">
      <c r="A118" s="1"/>
      <c r="B118" s="136" t="s">
        <v>99</v>
      </c>
      <c r="C118" s="138">
        <f t="shared" si="131"/>
        <v>3.807188</v>
      </c>
      <c r="D118" s="138">
        <f t="shared" si="132"/>
        <v>3.8057280000000002</v>
      </c>
      <c r="E118" s="138">
        <f t="shared" si="99"/>
        <v>3.8045600000000004</v>
      </c>
      <c r="F118" s="138">
        <f t="shared" si="100"/>
        <v>3.775506</v>
      </c>
      <c r="G118" s="138">
        <f t="shared" si="101"/>
        <v>3.766016</v>
      </c>
      <c r="H118" s="138">
        <f t="shared" si="102"/>
        <v>3.7426560000000002</v>
      </c>
      <c r="I118" s="138">
        <f t="shared" si="103"/>
        <v>3.7390060000000003</v>
      </c>
      <c r="J118" s="138">
        <f t="shared" si="104"/>
        <v>3.7360860000000002</v>
      </c>
      <c r="K118" s="138">
        <f t="shared" si="105"/>
        <v>3.7360860000000002</v>
      </c>
      <c r="L118" s="138">
        <f t="shared" si="106"/>
        <v>3.7360860000000002</v>
      </c>
      <c r="M118" s="138">
        <f t="shared" si="107"/>
        <v>3.6265860000000001</v>
      </c>
      <c r="N118" s="138">
        <f t="shared" si="108"/>
        <v>3.6265860000000001</v>
      </c>
      <c r="O118" s="138">
        <f t="shared" si="109"/>
        <v>3.6265860000000001</v>
      </c>
      <c r="P118" s="138">
        <f t="shared" si="110"/>
        <v>3.6265860000000001</v>
      </c>
      <c r="Q118" s="138">
        <f t="shared" si="111"/>
        <v>3.6265860000000001</v>
      </c>
      <c r="R118" s="138">
        <f t="shared" si="112"/>
        <v>3.6265860000000001</v>
      </c>
      <c r="S118" s="138">
        <f t="shared" si="113"/>
        <v>3.6265860000000001</v>
      </c>
      <c r="T118" s="138">
        <f t="shared" si="114"/>
        <v>3.6265860000000001</v>
      </c>
      <c r="U118" s="138">
        <f t="shared" si="115"/>
        <v>3.6265860000000001</v>
      </c>
      <c r="V118" s="138">
        <f t="shared" si="116"/>
        <v>3.6265860000000001</v>
      </c>
      <c r="W118" s="138">
        <f t="shared" si="117"/>
        <v>3.6265860000000001</v>
      </c>
      <c r="X118" s="138">
        <f t="shared" si="118"/>
        <v>3.6265860000000001</v>
      </c>
      <c r="Y118" s="138">
        <f t="shared" si="119"/>
        <v>3.6265860000000001</v>
      </c>
      <c r="Z118" s="138">
        <f t="shared" si="120"/>
        <v>3.6265860000000001</v>
      </c>
      <c r="AA118" s="138">
        <f t="shared" si="121"/>
        <v>3.6265860000000001</v>
      </c>
      <c r="AB118" s="138">
        <f t="shared" si="122"/>
        <v>3.6265860000000001</v>
      </c>
      <c r="AC118" s="138">
        <f t="shared" si="123"/>
        <v>3.6265860000000001</v>
      </c>
      <c r="AD118" s="138">
        <f t="shared" si="124"/>
        <v>3.6265860000000001</v>
      </c>
      <c r="AE118" s="138">
        <f t="shared" si="125"/>
        <v>3.563806</v>
      </c>
      <c r="AF118" s="138">
        <f t="shared" si="126"/>
        <v>3.563806</v>
      </c>
      <c r="AG118" s="138">
        <f t="shared" si="127"/>
        <v>3.563806</v>
      </c>
      <c r="AH118" s="138">
        <f t="shared" si="128"/>
        <v>3.563806</v>
      </c>
      <c r="AI118" s="1"/>
      <c r="AJ118" s="1"/>
      <c r="AK118" s="1">
        <v>22</v>
      </c>
      <c r="AL118" s="1">
        <f t="shared" si="98"/>
        <v>22000000000</v>
      </c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</row>
    <row r="119" spans="1:82">
      <c r="A119" s="1"/>
      <c r="B119" s="136" t="s">
        <v>100</v>
      </c>
      <c r="C119" s="138">
        <f t="shared" si="131"/>
        <v>308.90618799999999</v>
      </c>
      <c r="D119" s="138">
        <f t="shared" si="132"/>
        <v>308.90472799999998</v>
      </c>
      <c r="E119" s="138">
        <f t="shared" si="99"/>
        <v>310.45745460000001</v>
      </c>
      <c r="F119" s="138">
        <f t="shared" si="100"/>
        <v>310.42840060000003</v>
      </c>
      <c r="G119" s="138">
        <f t="shared" si="101"/>
        <v>310.4189106</v>
      </c>
      <c r="H119" s="138">
        <f t="shared" si="102"/>
        <v>310.39555060000004</v>
      </c>
      <c r="I119" s="138">
        <f t="shared" si="103"/>
        <v>310.39190059999999</v>
      </c>
      <c r="J119" s="138">
        <f t="shared" si="104"/>
        <v>310.38898060000002</v>
      </c>
      <c r="K119" s="138">
        <f t="shared" si="105"/>
        <v>310.38898060000002</v>
      </c>
      <c r="L119" s="138">
        <f t="shared" si="106"/>
        <v>310.38898060000002</v>
      </c>
      <c r="M119" s="138">
        <f t="shared" si="107"/>
        <v>310.2794806</v>
      </c>
      <c r="N119" s="138">
        <f t="shared" si="108"/>
        <v>310.2794806</v>
      </c>
      <c r="O119" s="138">
        <f t="shared" si="109"/>
        <v>310.2794806</v>
      </c>
      <c r="P119" s="138">
        <f t="shared" si="110"/>
        <v>310.2794806</v>
      </c>
      <c r="Q119" s="138">
        <f t="shared" si="111"/>
        <v>310.2794806</v>
      </c>
      <c r="R119" s="138">
        <f t="shared" si="112"/>
        <v>310.2794806</v>
      </c>
      <c r="S119" s="138">
        <f t="shared" si="113"/>
        <v>310.2794806</v>
      </c>
      <c r="T119" s="138">
        <f t="shared" si="114"/>
        <v>310.2794806</v>
      </c>
      <c r="U119" s="138">
        <f t="shared" si="115"/>
        <v>310.2794806</v>
      </c>
      <c r="V119" s="138">
        <f t="shared" si="116"/>
        <v>310.2794806</v>
      </c>
      <c r="W119" s="138">
        <f t="shared" si="117"/>
        <v>310.2794806</v>
      </c>
      <c r="X119" s="138">
        <f t="shared" si="118"/>
        <v>310.2794806</v>
      </c>
      <c r="Y119" s="138">
        <f t="shared" si="119"/>
        <v>310.2794806</v>
      </c>
      <c r="Z119" s="138">
        <f t="shared" si="120"/>
        <v>310.2794806</v>
      </c>
      <c r="AA119" s="138">
        <f t="shared" si="121"/>
        <v>310.2794806</v>
      </c>
      <c r="AB119" s="138">
        <f t="shared" si="122"/>
        <v>310.2794806</v>
      </c>
      <c r="AC119" s="138">
        <f t="shared" si="123"/>
        <v>310.2794806</v>
      </c>
      <c r="AD119" s="138">
        <f t="shared" si="124"/>
        <v>310.2794806</v>
      </c>
      <c r="AE119" s="138">
        <f t="shared" si="125"/>
        <v>310.21670060000002</v>
      </c>
      <c r="AF119" s="138">
        <f t="shared" si="126"/>
        <v>310.21670060000002</v>
      </c>
      <c r="AG119" s="138">
        <f t="shared" si="127"/>
        <v>310.21670060000002</v>
      </c>
      <c r="AH119" s="138">
        <f t="shared" si="128"/>
        <v>310.21670060000002</v>
      </c>
      <c r="AI119" s="1"/>
      <c r="AJ119" s="1"/>
      <c r="AK119" s="1">
        <v>11</v>
      </c>
      <c r="AL119" s="1">
        <f t="shared" si="98"/>
        <v>11000000000</v>
      </c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</row>
    <row r="120" spans="1:82">
      <c r="A120" s="1"/>
      <c r="B120" s="136" t="s">
        <v>101</v>
      </c>
      <c r="C120" s="138">
        <f t="shared" si="131"/>
        <v>0</v>
      </c>
      <c r="D120" s="138">
        <f t="shared" si="132"/>
        <v>0</v>
      </c>
      <c r="E120" s="138">
        <f t="shared" si="99"/>
        <v>0</v>
      </c>
      <c r="F120" s="138">
        <f t="shared" si="100"/>
        <v>0</v>
      </c>
      <c r="G120" s="138">
        <f t="shared" si="101"/>
        <v>0</v>
      </c>
      <c r="H120" s="138">
        <f t="shared" si="102"/>
        <v>0</v>
      </c>
      <c r="I120" s="138">
        <f t="shared" si="103"/>
        <v>0</v>
      </c>
      <c r="J120" s="138">
        <f t="shared" si="104"/>
        <v>0</v>
      </c>
      <c r="K120" s="138">
        <f t="shared" si="105"/>
        <v>0</v>
      </c>
      <c r="L120" s="138">
        <f t="shared" si="106"/>
        <v>0</v>
      </c>
      <c r="M120" s="138">
        <f t="shared" si="107"/>
        <v>0</v>
      </c>
      <c r="N120" s="138">
        <f t="shared" si="108"/>
        <v>0</v>
      </c>
      <c r="O120" s="138">
        <f t="shared" si="109"/>
        <v>0</v>
      </c>
      <c r="P120" s="138">
        <f t="shared" si="110"/>
        <v>0</v>
      </c>
      <c r="Q120" s="138">
        <f>P120-(P96-Q96)+VLOOKUP(B120,$AE$56:$AF$66,2,FALSE)</f>
        <v>0</v>
      </c>
      <c r="R120" s="138">
        <f t="shared" si="112"/>
        <v>0</v>
      </c>
      <c r="S120" s="138">
        <f t="shared" si="113"/>
        <v>0</v>
      </c>
      <c r="T120" s="138">
        <f t="shared" si="114"/>
        <v>0</v>
      </c>
      <c r="U120" s="138">
        <f t="shared" si="115"/>
        <v>0</v>
      </c>
      <c r="V120" s="138">
        <f t="shared" si="116"/>
        <v>0</v>
      </c>
      <c r="W120" s="138">
        <f t="shared" si="117"/>
        <v>0</v>
      </c>
      <c r="X120" s="138">
        <f t="shared" si="118"/>
        <v>0</v>
      </c>
      <c r="Y120" s="138">
        <f t="shared" si="119"/>
        <v>0</v>
      </c>
      <c r="Z120" s="138">
        <f t="shared" si="120"/>
        <v>0</v>
      </c>
      <c r="AA120" s="138">
        <f t="shared" si="121"/>
        <v>0</v>
      </c>
      <c r="AB120" s="138">
        <f t="shared" si="122"/>
        <v>0</v>
      </c>
      <c r="AC120" s="138">
        <f t="shared" si="123"/>
        <v>0</v>
      </c>
      <c r="AD120" s="138">
        <f t="shared" si="124"/>
        <v>0</v>
      </c>
      <c r="AE120" s="138">
        <f t="shared" si="125"/>
        <v>0</v>
      </c>
      <c r="AF120" s="138">
        <f t="shared" si="126"/>
        <v>0</v>
      </c>
      <c r="AG120" s="138">
        <f t="shared" si="127"/>
        <v>0</v>
      </c>
      <c r="AH120" s="138">
        <f t="shared" si="128"/>
        <v>0</v>
      </c>
      <c r="AI120" s="1"/>
      <c r="AJ120" s="1"/>
      <c r="AK120" s="1">
        <v>11</v>
      </c>
      <c r="AL120" s="1">
        <f t="shared" si="98"/>
        <v>11000000000</v>
      </c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</row>
    <row r="121" spans="1:82">
      <c r="A121" s="1"/>
      <c r="B121" s="136" t="s">
        <v>5</v>
      </c>
      <c r="C121" s="138">
        <f t="shared" si="131"/>
        <v>864.42920000000004</v>
      </c>
      <c r="D121" s="138">
        <f t="shared" si="132"/>
        <v>847.83425599999998</v>
      </c>
      <c r="E121" s="138">
        <f t="shared" si="99"/>
        <v>799.99852399999997</v>
      </c>
      <c r="F121" s="138">
        <f t="shared" si="100"/>
        <v>768.80589848</v>
      </c>
      <c r="G121" s="138">
        <f t="shared" si="101"/>
        <v>739.17521599999998</v>
      </c>
      <c r="H121" s="138">
        <f t="shared" si="102"/>
        <v>739.17521599999998</v>
      </c>
      <c r="I121" s="138">
        <f t="shared" si="103"/>
        <v>710.93821447999994</v>
      </c>
      <c r="J121" s="138">
        <f t="shared" si="104"/>
        <v>701.14453447999995</v>
      </c>
      <c r="K121" s="138">
        <f t="shared" si="105"/>
        <v>701.14453447999995</v>
      </c>
      <c r="L121" s="138">
        <f t="shared" si="106"/>
        <v>701.14453447999995</v>
      </c>
      <c r="M121" s="138">
        <f t="shared" si="107"/>
        <v>701.14453447999995</v>
      </c>
      <c r="N121" s="138">
        <f t="shared" si="108"/>
        <v>701.14453447999995</v>
      </c>
      <c r="O121" s="138">
        <f t="shared" si="109"/>
        <v>701.14453447999995</v>
      </c>
      <c r="P121" s="138">
        <f t="shared" si="110"/>
        <v>688.59146324000005</v>
      </c>
      <c r="Q121" s="138">
        <f t="shared" si="111"/>
        <v>688.59146324000005</v>
      </c>
      <c r="R121" s="138">
        <f t="shared" si="112"/>
        <v>688.59146324000005</v>
      </c>
      <c r="S121" s="138">
        <f t="shared" si="113"/>
        <v>688.59146324000005</v>
      </c>
      <c r="T121" s="138">
        <f t="shared" si="114"/>
        <v>688.59146324000005</v>
      </c>
      <c r="U121" s="138">
        <f t="shared" si="115"/>
        <v>688.59146324000005</v>
      </c>
      <c r="V121" s="138">
        <f t="shared" si="116"/>
        <v>688.59146324000005</v>
      </c>
      <c r="W121" s="138">
        <f t="shared" si="117"/>
        <v>688.59146324000005</v>
      </c>
      <c r="X121" s="138">
        <f t="shared" si="118"/>
        <v>688.59146324000005</v>
      </c>
      <c r="Y121" s="138">
        <f t="shared" si="119"/>
        <v>688.59146324000005</v>
      </c>
      <c r="Z121" s="138">
        <f t="shared" si="120"/>
        <v>688.59146324000005</v>
      </c>
      <c r="AA121" s="138">
        <f t="shared" si="121"/>
        <v>688.59146324000005</v>
      </c>
      <c r="AB121" s="138">
        <f t="shared" si="122"/>
        <v>688.59146324000005</v>
      </c>
      <c r="AC121" s="138">
        <f t="shared" si="123"/>
        <v>688.59146324000005</v>
      </c>
      <c r="AD121" s="138">
        <f t="shared" si="124"/>
        <v>688.59146324000005</v>
      </c>
      <c r="AE121" s="138">
        <f t="shared" si="125"/>
        <v>688.59146324000005</v>
      </c>
      <c r="AF121" s="138">
        <f t="shared" si="126"/>
        <v>688.59146324000005</v>
      </c>
      <c r="AG121" s="138">
        <f t="shared" si="127"/>
        <v>688.59146324000005</v>
      </c>
      <c r="AH121" s="138">
        <f t="shared" si="128"/>
        <v>688.59146324000005</v>
      </c>
      <c r="AI121" s="1"/>
      <c r="AJ121" s="1"/>
      <c r="AK121" s="1">
        <v>65</v>
      </c>
      <c r="AL121" s="1">
        <f t="shared" si="98"/>
        <v>64999999999.999992</v>
      </c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</row>
    <row r="122" spans="1:82">
      <c r="A122" s="1"/>
      <c r="B122" s="136" t="s">
        <v>102</v>
      </c>
      <c r="C122" s="138">
        <f t="shared" si="131"/>
        <v>15.949188000000001</v>
      </c>
      <c r="D122" s="138">
        <f t="shared" si="132"/>
        <v>15.947728</v>
      </c>
      <c r="E122" s="138">
        <f t="shared" si="99"/>
        <v>15.94656</v>
      </c>
      <c r="F122" s="138">
        <f t="shared" si="100"/>
        <v>15.917506000000001</v>
      </c>
      <c r="G122" s="138">
        <f t="shared" si="101"/>
        <v>15.908016</v>
      </c>
      <c r="H122" s="138">
        <f t="shared" si="102"/>
        <v>15.884656</v>
      </c>
      <c r="I122" s="138">
        <f t="shared" si="103"/>
        <v>15.881006000000001</v>
      </c>
      <c r="J122" s="138">
        <f t="shared" si="104"/>
        <v>15.878086</v>
      </c>
      <c r="K122" s="138">
        <f t="shared" si="105"/>
        <v>15.878086</v>
      </c>
      <c r="L122" s="138">
        <f t="shared" si="106"/>
        <v>15.878086</v>
      </c>
      <c r="M122" s="138">
        <f t="shared" si="107"/>
        <v>15.768586000000001</v>
      </c>
      <c r="N122" s="138">
        <f t="shared" si="108"/>
        <v>15.768586000000001</v>
      </c>
      <c r="O122" s="138">
        <f t="shared" si="109"/>
        <v>15.768586000000001</v>
      </c>
      <c r="P122" s="138">
        <f t="shared" si="110"/>
        <v>15.768586000000001</v>
      </c>
      <c r="Q122" s="138">
        <f t="shared" si="111"/>
        <v>15.768586000000001</v>
      </c>
      <c r="R122" s="138">
        <f t="shared" si="112"/>
        <v>15.768586000000001</v>
      </c>
      <c r="S122" s="138">
        <f t="shared" si="113"/>
        <v>15.768586000000001</v>
      </c>
      <c r="T122" s="138">
        <f t="shared" si="114"/>
        <v>15.768586000000001</v>
      </c>
      <c r="U122" s="138">
        <f t="shared" si="115"/>
        <v>15.768586000000001</v>
      </c>
      <c r="V122" s="138">
        <f t="shared" si="116"/>
        <v>15.768586000000001</v>
      </c>
      <c r="W122" s="138">
        <f t="shared" si="117"/>
        <v>15.768586000000001</v>
      </c>
      <c r="X122" s="138">
        <f t="shared" si="118"/>
        <v>15.768586000000001</v>
      </c>
      <c r="Y122" s="138">
        <f t="shared" si="119"/>
        <v>15.768586000000001</v>
      </c>
      <c r="Z122" s="138">
        <f t="shared" si="120"/>
        <v>15.768586000000001</v>
      </c>
      <c r="AA122" s="138">
        <f t="shared" si="121"/>
        <v>15.768586000000001</v>
      </c>
      <c r="AB122" s="138">
        <f t="shared" si="122"/>
        <v>15.768586000000001</v>
      </c>
      <c r="AC122" s="138">
        <f t="shared" si="123"/>
        <v>15.768586000000001</v>
      </c>
      <c r="AD122" s="138">
        <f t="shared" si="124"/>
        <v>15.768586000000001</v>
      </c>
      <c r="AE122" s="138">
        <f t="shared" si="125"/>
        <v>15.705806000000001</v>
      </c>
      <c r="AF122" s="138">
        <f t="shared" si="126"/>
        <v>15.705806000000001</v>
      </c>
      <c r="AG122" s="138">
        <f t="shared" si="127"/>
        <v>15.705806000000001</v>
      </c>
      <c r="AH122" s="138">
        <f t="shared" si="128"/>
        <v>15.705806000000001</v>
      </c>
      <c r="AI122" s="1"/>
      <c r="AJ122" s="1"/>
      <c r="AK122" s="1">
        <v>47</v>
      </c>
      <c r="AL122" s="1">
        <f t="shared" si="98"/>
        <v>47000000000</v>
      </c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</row>
    <row r="123" spans="1:82">
      <c r="A123" s="1"/>
      <c r="B123" s="136" t="s">
        <v>7</v>
      </c>
      <c r="C123" s="138">
        <f t="shared" si="131"/>
        <v>96.683188000000001</v>
      </c>
      <c r="D123" s="138">
        <f t="shared" si="132"/>
        <v>96.681727999999993</v>
      </c>
      <c r="E123" s="138">
        <f t="shared" si="99"/>
        <v>96.680559999999986</v>
      </c>
      <c r="F123" s="138">
        <f t="shared" si="100"/>
        <v>96.651505999999983</v>
      </c>
      <c r="G123" s="138">
        <f t="shared" si="101"/>
        <v>96.642015999999984</v>
      </c>
      <c r="H123" s="138">
        <f t="shared" si="102"/>
        <v>96.618655999999987</v>
      </c>
      <c r="I123" s="138">
        <f t="shared" si="103"/>
        <v>96.615005999999994</v>
      </c>
      <c r="J123" s="138">
        <f t="shared" si="104"/>
        <v>96.612085999999991</v>
      </c>
      <c r="K123" s="138">
        <f t="shared" si="105"/>
        <v>96.612085999999991</v>
      </c>
      <c r="L123" s="138">
        <f t="shared" si="106"/>
        <v>96.612085999999991</v>
      </c>
      <c r="M123" s="138">
        <f t="shared" si="107"/>
        <v>96.502585999999994</v>
      </c>
      <c r="N123" s="138">
        <f t="shared" si="108"/>
        <v>96.502585999999994</v>
      </c>
      <c r="O123" s="138">
        <f t="shared" si="109"/>
        <v>96.502585999999994</v>
      </c>
      <c r="P123" s="138">
        <f t="shared" si="110"/>
        <v>96.502585999999994</v>
      </c>
      <c r="Q123" s="138">
        <f t="shared" si="111"/>
        <v>96.502585999999994</v>
      </c>
      <c r="R123" s="138">
        <f t="shared" si="112"/>
        <v>96.502585999999994</v>
      </c>
      <c r="S123" s="138">
        <f t="shared" si="113"/>
        <v>96.502585999999994</v>
      </c>
      <c r="T123" s="138">
        <f t="shared" si="114"/>
        <v>96.502585999999994</v>
      </c>
      <c r="U123" s="138">
        <f t="shared" si="115"/>
        <v>96.502585999999994</v>
      </c>
      <c r="V123" s="138">
        <f t="shared" si="116"/>
        <v>96.502585999999994</v>
      </c>
      <c r="W123" s="138">
        <f t="shared" si="117"/>
        <v>96.502585999999994</v>
      </c>
      <c r="X123" s="138">
        <f t="shared" si="118"/>
        <v>96.502585999999994</v>
      </c>
      <c r="Y123" s="138">
        <f t="shared" si="119"/>
        <v>96.502585999999994</v>
      </c>
      <c r="Z123" s="138">
        <f t="shared" si="120"/>
        <v>96.502585999999994</v>
      </c>
      <c r="AA123" s="138">
        <f t="shared" si="121"/>
        <v>96.502585999999994</v>
      </c>
      <c r="AB123" s="138">
        <f t="shared" si="122"/>
        <v>96.502585999999994</v>
      </c>
      <c r="AC123" s="138">
        <f t="shared" si="123"/>
        <v>96.502585999999994</v>
      </c>
      <c r="AD123" s="138">
        <f t="shared" si="124"/>
        <v>96.502585999999994</v>
      </c>
      <c r="AE123" s="138">
        <f t="shared" si="125"/>
        <v>96.43980599999999</v>
      </c>
      <c r="AF123" s="138">
        <f t="shared" si="126"/>
        <v>96.43980599999999</v>
      </c>
      <c r="AG123" s="138">
        <f t="shared" si="127"/>
        <v>96.43980599999999</v>
      </c>
      <c r="AH123" s="138">
        <f t="shared" si="128"/>
        <v>96.43980599999999</v>
      </c>
      <c r="AI123" s="1"/>
      <c r="AJ123" s="1"/>
      <c r="AK123" s="1">
        <v>291</v>
      </c>
      <c r="AL123" s="1">
        <f t="shared" si="98"/>
        <v>291000000000</v>
      </c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</row>
    <row r="124" spans="1:82">
      <c r="A124" s="1"/>
      <c r="B124" s="136" t="s">
        <v>103</v>
      </c>
      <c r="C124" s="138">
        <f t="shared" si="131"/>
        <v>352.40618799999999</v>
      </c>
      <c r="D124" s="138">
        <f t="shared" si="132"/>
        <v>352.40472799999998</v>
      </c>
      <c r="E124" s="138">
        <f t="shared" si="99"/>
        <v>352.40355999999997</v>
      </c>
      <c r="F124" s="138">
        <f t="shared" si="100"/>
        <v>352.374506</v>
      </c>
      <c r="G124" s="138">
        <f t="shared" si="101"/>
        <v>352.36501599999997</v>
      </c>
      <c r="H124" s="138">
        <f t="shared" si="102"/>
        <v>352.341656</v>
      </c>
      <c r="I124" s="138">
        <f t="shared" si="103"/>
        <v>352.33800599999995</v>
      </c>
      <c r="J124" s="138">
        <f t="shared" si="104"/>
        <v>352.33508599999999</v>
      </c>
      <c r="K124" s="138">
        <f>J124-(J100-K100)+VLOOKUP(B124,$S$56:$T$66,2,FALSE)</f>
        <v>352.33508599999999</v>
      </c>
      <c r="L124" s="138">
        <f t="shared" si="106"/>
        <v>352.33508599999999</v>
      </c>
      <c r="M124" s="138">
        <f>L124-(L100-M100)+VLOOKUP(B124,$W$56:$X$66,2,FALSE)</f>
        <v>352.22558599999996</v>
      </c>
      <c r="N124" s="138">
        <f>M124-(M100-N100)+VLOOKUP(B124,$Y$56:$Z$66,2,FALSE)</f>
        <v>352.22558599999996</v>
      </c>
      <c r="O124" s="138">
        <f t="shared" si="109"/>
        <v>352.22558599999996</v>
      </c>
      <c r="P124" s="138">
        <f t="shared" si="110"/>
        <v>352.22558599999996</v>
      </c>
      <c r="Q124" s="138">
        <f t="shared" si="111"/>
        <v>352.22558599999996</v>
      </c>
      <c r="R124" s="138">
        <f t="shared" si="112"/>
        <v>352.22558599999996</v>
      </c>
      <c r="S124" s="138">
        <f t="shared" si="113"/>
        <v>352.22558599999996</v>
      </c>
      <c r="T124" s="138">
        <f t="shared" si="114"/>
        <v>352.22558599999996</v>
      </c>
      <c r="U124" s="138">
        <f t="shared" si="115"/>
        <v>352.22558599999996</v>
      </c>
      <c r="V124" s="138">
        <f t="shared" si="116"/>
        <v>352.22558599999996</v>
      </c>
      <c r="W124" s="138">
        <f t="shared" si="117"/>
        <v>352.22558599999996</v>
      </c>
      <c r="X124" s="138">
        <f t="shared" si="118"/>
        <v>352.22558599999996</v>
      </c>
      <c r="Y124" s="138">
        <f t="shared" si="119"/>
        <v>352.22558599999996</v>
      </c>
      <c r="Z124" s="138">
        <f t="shared" si="120"/>
        <v>352.22558599999996</v>
      </c>
      <c r="AA124" s="138">
        <f t="shared" si="121"/>
        <v>352.22558599999996</v>
      </c>
      <c r="AB124" s="138">
        <f t="shared" si="122"/>
        <v>352.22558599999996</v>
      </c>
      <c r="AC124" s="138">
        <f t="shared" si="123"/>
        <v>352.22558599999996</v>
      </c>
      <c r="AD124" s="138">
        <f t="shared" si="124"/>
        <v>352.22558599999996</v>
      </c>
      <c r="AE124" s="138">
        <f t="shared" si="125"/>
        <v>352.16280599999999</v>
      </c>
      <c r="AF124" s="138">
        <f t="shared" si="126"/>
        <v>352.16280599999999</v>
      </c>
      <c r="AG124" s="138">
        <f t="shared" si="127"/>
        <v>352.16280599999999</v>
      </c>
      <c r="AH124" s="138">
        <f t="shared" si="128"/>
        <v>352.16280599999999</v>
      </c>
      <c r="AI124" s="1"/>
      <c r="AJ124" s="1"/>
      <c r="AK124" s="1">
        <v>14</v>
      </c>
      <c r="AL124" s="1">
        <f t="shared" si="98"/>
        <v>14000000000</v>
      </c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</row>
    <row r="125" spans="1:82">
      <c r="A125" s="1"/>
      <c r="B125" s="118" t="s">
        <v>178</v>
      </c>
      <c r="C125" s="138">
        <f t="shared" ref="C125:AH125" si="133">C101</f>
        <v>47.147851080000692</v>
      </c>
      <c r="D125" s="138">
        <f t="shared" si="133"/>
        <v>47.13823260000072</v>
      </c>
      <c r="E125" s="138">
        <f t="shared" si="133"/>
        <v>47.138337719999981</v>
      </c>
      <c r="F125" s="138">
        <f t="shared" si="133"/>
        <v>47.138486639999883</v>
      </c>
      <c r="G125" s="138">
        <f t="shared" si="133"/>
        <v>47.138215080000464</v>
      </c>
      <c r="H125" s="138">
        <f t="shared" si="133"/>
        <v>47.129455080000298</v>
      </c>
      <c r="I125" s="138">
        <f t="shared" si="133"/>
        <v>47.129481360000227</v>
      </c>
      <c r="J125" s="138">
        <f t="shared" si="133"/>
        <v>47.129472600000099</v>
      </c>
      <c r="K125" s="138">
        <f t="shared" si="133"/>
        <v>47.129674080000314</v>
      </c>
      <c r="L125" s="138">
        <f t="shared" si="133"/>
        <v>47.129525159999957</v>
      </c>
      <c r="M125" s="138">
        <f t="shared" si="133"/>
        <v>47.129516400000284</v>
      </c>
      <c r="N125" s="138">
        <f t="shared" si="133"/>
        <v>47.129455080000753</v>
      </c>
      <c r="O125" s="138">
        <f t="shared" si="133"/>
        <v>47.129481360000227</v>
      </c>
      <c r="P125" s="138">
        <f t="shared" si="133"/>
        <v>47.129726639999717</v>
      </c>
      <c r="Q125" s="138">
        <f t="shared" si="133"/>
        <v>47.12977920000003</v>
      </c>
      <c r="R125" s="138">
        <f t="shared" si="133"/>
        <v>47.129516400000284</v>
      </c>
      <c r="S125" s="138">
        <f t="shared" si="133"/>
        <v>47.129507639999701</v>
      </c>
      <c r="T125" s="138">
        <f t="shared" si="133"/>
        <v>47.129752920000101</v>
      </c>
      <c r="U125" s="138">
        <f t="shared" si="133"/>
        <v>47.129691600000115</v>
      </c>
      <c r="V125" s="138">
        <f t="shared" si="133"/>
        <v>47.129770439999902</v>
      </c>
      <c r="W125" s="138">
        <f t="shared" si="133"/>
        <v>47.129752920000101</v>
      </c>
      <c r="X125" s="138">
        <f t="shared" si="133"/>
        <v>47.129735399999845</v>
      </c>
      <c r="Y125" s="138">
        <f t="shared" si="133"/>
        <v>47.129840520000016</v>
      </c>
      <c r="Z125" s="138">
        <f t="shared" si="133"/>
        <v>47.12995439999986</v>
      </c>
      <c r="AA125" s="138">
        <f t="shared" si="133"/>
        <v>47.130024479999975</v>
      </c>
      <c r="AB125" s="138">
        <f t="shared" si="133"/>
        <v>47.130024479999975</v>
      </c>
      <c r="AC125" s="138">
        <f t="shared" si="133"/>
        <v>47.129875560000073</v>
      </c>
      <c r="AD125" s="138">
        <f t="shared" si="133"/>
        <v>47.129884320000201</v>
      </c>
      <c r="AE125" s="138">
        <f t="shared" si="133"/>
        <v>47.12982299999976</v>
      </c>
      <c r="AF125" s="138">
        <f t="shared" si="133"/>
        <v>47.12982299999976</v>
      </c>
      <c r="AG125" s="138">
        <f t="shared" si="133"/>
        <v>47.12982299999976</v>
      </c>
      <c r="AH125" s="138">
        <f t="shared" si="133"/>
        <v>47.129787959999703</v>
      </c>
      <c r="AI125" s="1"/>
      <c r="AJ125" s="1"/>
      <c r="AK125" s="1">
        <v>0</v>
      </c>
      <c r="AL125" s="1">
        <f t="shared" si="98"/>
        <v>0</v>
      </c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</row>
    <row r="126" spans="1:82">
      <c r="A126" s="1"/>
      <c r="B126" s="118" t="s">
        <v>177</v>
      </c>
      <c r="C126" s="139">
        <f>SUM(C112:C125)</f>
        <v>4791.0668159999996</v>
      </c>
      <c r="D126" s="139">
        <f t="shared" ref="D126:AH126" si="134">SUM(D112:D125)</f>
        <v>4920.6232439999985</v>
      </c>
      <c r="E126" s="139">
        <f t="shared" si="134"/>
        <v>5170.2003139999997</v>
      </c>
      <c r="F126" s="139">
        <f t="shared" si="134"/>
        <v>5380.1676708800005</v>
      </c>
      <c r="G126" s="139">
        <f t="shared" si="134"/>
        <v>5619.5995495999996</v>
      </c>
      <c r="H126" s="139">
        <f t="shared" si="134"/>
        <v>5770.1374116000006</v>
      </c>
      <c r="I126" s="139">
        <f t="shared" si="134"/>
        <v>5880.0963638800004</v>
      </c>
      <c r="J126" s="139">
        <f t="shared" si="134"/>
        <v>5942.8241228400002</v>
      </c>
      <c r="K126" s="139">
        <f t="shared" si="134"/>
        <v>5974.8509788399988</v>
      </c>
      <c r="L126" s="139">
        <f t="shared" si="134"/>
        <v>6006.0643578399995</v>
      </c>
      <c r="M126" s="139">
        <f t="shared" si="134"/>
        <v>6036.4842798400005</v>
      </c>
      <c r="N126" s="139">
        <f t="shared" si="134"/>
        <v>6066.1327168400021</v>
      </c>
      <c r="O126" s="139">
        <f t="shared" si="134"/>
        <v>6095.0292008399992</v>
      </c>
      <c r="P126" s="139">
        <f t="shared" si="134"/>
        <v>6123.1942408400009</v>
      </c>
      <c r="Q126" s="139">
        <f t="shared" si="134"/>
        <v>6150.6454118399997</v>
      </c>
      <c r="R126" s="139">
        <f t="shared" si="134"/>
        <v>6177.4051778400008</v>
      </c>
      <c r="S126" s="139">
        <f t="shared" si="134"/>
        <v>6203.4891618400015</v>
      </c>
      <c r="T126" s="139">
        <f t="shared" si="134"/>
        <v>6228.9178728400002</v>
      </c>
      <c r="U126" s="139">
        <f t="shared" si="134"/>
        <v>6253.7064478399998</v>
      </c>
      <c r="V126" s="139">
        <f t="shared" si="134"/>
        <v>6277.8739278400008</v>
      </c>
      <c r="W126" s="139">
        <f t="shared" si="134"/>
        <v>6301.4378928400001</v>
      </c>
      <c r="X126" s="139">
        <f t="shared" si="134"/>
        <v>6324.4129908400009</v>
      </c>
      <c r="Y126" s="139">
        <f t="shared" si="134"/>
        <v>6346.8172868399997</v>
      </c>
      <c r="Z126" s="139">
        <f t="shared" si="134"/>
        <v>6368.66494384</v>
      </c>
      <c r="AA126" s="139">
        <f t="shared" si="134"/>
        <v>6389.9715838400007</v>
      </c>
      <c r="AB126" s="139">
        <f t="shared" si="134"/>
        <v>6410.7518578399995</v>
      </c>
      <c r="AC126" s="139">
        <f t="shared" si="134"/>
        <v>6431.0218768400009</v>
      </c>
      <c r="AD126" s="139">
        <f t="shared" si="134"/>
        <v>6450.7938498399999</v>
      </c>
      <c r="AE126" s="139">
        <f t="shared" si="134"/>
        <v>6470.08242384</v>
      </c>
      <c r="AF126" s="139">
        <f t="shared" si="134"/>
        <v>6488.9012718400008</v>
      </c>
      <c r="AG126" s="139">
        <f t="shared" si="134"/>
        <v>6507.2625998399999</v>
      </c>
      <c r="AH126" s="139">
        <f t="shared" si="134"/>
        <v>6525.1800798400009</v>
      </c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</row>
    <row r="127" spans="1:82">
      <c r="A127" s="1"/>
      <c r="B127" s="118" t="s">
        <v>175</v>
      </c>
      <c r="C127" s="138">
        <f t="shared" ref="C127:AH127" si="135">C124+C123+C122+C120+C119+C118+C117</f>
        <v>854.96612800000003</v>
      </c>
      <c r="D127" s="138">
        <f t="shared" si="135"/>
        <v>854.95736799999997</v>
      </c>
      <c r="E127" s="138">
        <f t="shared" si="135"/>
        <v>879.25049460000002</v>
      </c>
      <c r="F127" s="138">
        <f t="shared" si="135"/>
        <v>879.07617060000007</v>
      </c>
      <c r="G127" s="138">
        <f t="shared" si="135"/>
        <v>879.01923060000001</v>
      </c>
      <c r="H127" s="138">
        <f t="shared" si="135"/>
        <v>940.97630580000009</v>
      </c>
      <c r="I127" s="138">
        <f t="shared" si="135"/>
        <v>1040.3099821199999</v>
      </c>
      <c r="J127" s="138">
        <f t="shared" si="135"/>
        <v>1140.29246212</v>
      </c>
      <c r="K127" s="138">
        <f t="shared" si="135"/>
        <v>1213.8995165999995</v>
      </c>
      <c r="L127" s="138">
        <f t="shared" si="135"/>
        <v>1275.4286976799999</v>
      </c>
      <c r="M127" s="138">
        <f t="shared" si="135"/>
        <v>1332.4685076799997</v>
      </c>
      <c r="N127" s="138">
        <f t="shared" si="135"/>
        <v>1389.8582002799999</v>
      </c>
      <c r="O127" s="138">
        <f t="shared" si="135"/>
        <v>1447.5059153200004</v>
      </c>
      <c r="P127" s="138">
        <f t="shared" si="135"/>
        <v>1535.0461039200004</v>
      </c>
      <c r="Q127" s="138">
        <f t="shared" si="135"/>
        <v>1564.59958732</v>
      </c>
      <c r="R127" s="138">
        <f t="shared" si="135"/>
        <v>1620.7064745999996</v>
      </c>
      <c r="S127" s="138">
        <f t="shared" si="135"/>
        <v>1658.7706346</v>
      </c>
      <c r="T127" s="138">
        <f t="shared" si="135"/>
        <v>1689.17041784</v>
      </c>
      <c r="U127" s="138">
        <f t="shared" si="135"/>
        <v>1724.1565789199999</v>
      </c>
      <c r="V127" s="138">
        <f t="shared" si="135"/>
        <v>1762.7464616000002</v>
      </c>
      <c r="W127" s="138">
        <f t="shared" si="135"/>
        <v>1788.4654041200001</v>
      </c>
      <c r="X127" s="138">
        <f t="shared" si="135"/>
        <v>1812.3454276400003</v>
      </c>
      <c r="Y127" s="138">
        <f t="shared" si="135"/>
        <v>1858.36654348</v>
      </c>
      <c r="Z127" s="138">
        <f t="shared" si="135"/>
        <v>1888.3696290800003</v>
      </c>
      <c r="AA127" s="138">
        <f t="shared" si="135"/>
        <v>1930.6651940399997</v>
      </c>
      <c r="AB127" s="138">
        <f t="shared" si="135"/>
        <v>1951.4454680399995</v>
      </c>
      <c r="AC127" s="138">
        <f t="shared" si="135"/>
        <v>1976.3785927200001</v>
      </c>
      <c r="AD127" s="138">
        <f t="shared" si="135"/>
        <v>2001.1919457199997</v>
      </c>
      <c r="AE127" s="138">
        <f t="shared" si="135"/>
        <v>2026.4802962799999</v>
      </c>
      <c r="AF127" s="138">
        <f t="shared" si="135"/>
        <v>2045.2991442799998</v>
      </c>
      <c r="AG127" s="138">
        <f t="shared" si="135"/>
        <v>2063.6604722799998</v>
      </c>
      <c r="AH127" s="138">
        <f t="shared" si="135"/>
        <v>2081.6060193200001</v>
      </c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</row>
    <row r="128" spans="1:82">
      <c r="A128" s="1"/>
      <c r="B128" s="118" t="s">
        <v>176</v>
      </c>
      <c r="C128" s="138">
        <f t="shared" ref="C128:AH128" si="136">(C127/C126)*100</f>
        <v>17.845005315826516</v>
      </c>
      <c r="D128" s="138">
        <f t="shared" si="136"/>
        <v>17.37498129007335</v>
      </c>
      <c r="E128" s="138">
        <f t="shared" si="136"/>
        <v>17.006120482781746</v>
      </c>
      <c r="F128" s="138">
        <f t="shared" si="136"/>
        <v>16.339196552515901</v>
      </c>
      <c r="G128" s="138">
        <f t="shared" si="136"/>
        <v>15.642026141570323</v>
      </c>
      <c r="H128" s="138">
        <f t="shared" si="136"/>
        <v>16.307693191297449</v>
      </c>
      <c r="I128" s="138">
        <f t="shared" si="136"/>
        <v>17.692056689927238</v>
      </c>
      <c r="J128" s="138">
        <f t="shared" si="136"/>
        <v>19.187720157113933</v>
      </c>
      <c r="K128" s="138">
        <f t="shared" si="136"/>
        <v>20.316816618507108</v>
      </c>
      <c r="L128" s="138">
        <f t="shared" si="136"/>
        <v>21.235681499401892</v>
      </c>
      <c r="M128" s="138">
        <f t="shared" si="136"/>
        <v>22.073585317368163</v>
      </c>
      <c r="N128" s="138">
        <f t="shared" si="136"/>
        <v>22.911767103638496</v>
      </c>
      <c r="O128" s="138">
        <f t="shared" si="136"/>
        <v>23.748957841260374</v>
      </c>
      <c r="P128" s="138">
        <f t="shared" si="136"/>
        <v>25.069368103361317</v>
      </c>
      <c r="Q128" s="138">
        <f t="shared" si="136"/>
        <v>25.437974107695165</v>
      </c>
      <c r="R128" s="138">
        <f t="shared" si="136"/>
        <v>26.236039695338519</v>
      </c>
      <c r="S128" s="138">
        <f t="shared" si="136"/>
        <v>26.739317041185839</v>
      </c>
      <c r="T128" s="138">
        <f t="shared" si="136"/>
        <v>27.118200180569136</v>
      </c>
      <c r="U128" s="138">
        <f t="shared" si="136"/>
        <v>27.57015528791754</v>
      </c>
      <c r="V128" s="138">
        <f t="shared" si="136"/>
        <v>28.078717124007301</v>
      </c>
      <c r="W128" s="138">
        <f t="shared" si="136"/>
        <v>28.381861958080094</v>
      </c>
      <c r="X128" s="138">
        <f t="shared" si="136"/>
        <v>28.65634218171585</v>
      </c>
      <c r="Y128" s="138">
        <f t="shared" si="136"/>
        <v>29.280290569153237</v>
      </c>
      <c r="Z128" s="138">
        <f t="shared" si="136"/>
        <v>29.65094954330262</v>
      </c>
      <c r="AA128" s="138">
        <f t="shared" si="136"/>
        <v>30.213987162675025</v>
      </c>
      <c r="AB128" s="138">
        <f t="shared" si="136"/>
        <v>30.440196584016711</v>
      </c>
      <c r="AC128" s="138">
        <f t="shared" si="136"/>
        <v>30.731952566317961</v>
      </c>
      <c r="AD128" s="138">
        <f t="shared" si="136"/>
        <v>31.022413555653085</v>
      </c>
      <c r="AE128" s="138">
        <f t="shared" si="136"/>
        <v>31.320780223960142</v>
      </c>
      <c r="AF128" s="138">
        <f t="shared" si="136"/>
        <v>31.519960908575083</v>
      </c>
      <c r="AG128" s="138">
        <f t="shared" si="136"/>
        <v>31.71318877358263</v>
      </c>
      <c r="AH128" s="138">
        <f t="shared" si="136"/>
        <v>31.901127537480033</v>
      </c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</row>
    <row r="129" spans="1:82">
      <c r="A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</row>
    <row r="130" spans="1:82">
      <c r="A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</row>
    <row r="131" spans="1:82">
      <c r="A131" s="1"/>
      <c r="B131" s="140" t="s">
        <v>182</v>
      </c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</row>
    <row r="132" spans="1:82">
      <c r="A132" s="1"/>
      <c r="B132" s="64" t="s">
        <v>151</v>
      </c>
      <c r="C132" s="64">
        <v>2019</v>
      </c>
      <c r="D132" s="64">
        <v>2020</v>
      </c>
      <c r="E132" s="64">
        <v>2021</v>
      </c>
      <c r="F132" s="64">
        <v>2022</v>
      </c>
      <c r="G132" s="64">
        <v>2023</v>
      </c>
      <c r="H132" s="64">
        <v>2024</v>
      </c>
      <c r="I132" s="64">
        <v>2025</v>
      </c>
      <c r="J132" s="64">
        <v>2026</v>
      </c>
      <c r="K132" s="64">
        <v>2027</v>
      </c>
      <c r="L132" s="64">
        <v>2028</v>
      </c>
      <c r="M132" s="64">
        <v>2029</v>
      </c>
      <c r="N132" s="64">
        <v>2030</v>
      </c>
      <c r="O132" s="64">
        <v>2031</v>
      </c>
      <c r="P132" s="64">
        <v>2032</v>
      </c>
      <c r="Q132" s="64">
        <v>2033</v>
      </c>
      <c r="R132" s="64">
        <v>2034</v>
      </c>
      <c r="S132" s="64">
        <v>2035</v>
      </c>
      <c r="T132" s="64">
        <v>2036</v>
      </c>
      <c r="U132" s="64">
        <v>2037</v>
      </c>
      <c r="V132" s="64">
        <v>2038</v>
      </c>
      <c r="W132" s="64">
        <v>2039</v>
      </c>
      <c r="X132" s="64">
        <v>2040</v>
      </c>
      <c r="Y132" s="64">
        <v>2041</v>
      </c>
      <c r="Z132" s="64">
        <v>2042</v>
      </c>
      <c r="AA132" s="64">
        <v>2043</v>
      </c>
      <c r="AB132" s="64">
        <v>2044</v>
      </c>
      <c r="AC132" s="64">
        <v>2045</v>
      </c>
      <c r="AD132" s="64">
        <v>2046</v>
      </c>
      <c r="AE132" s="64">
        <v>2047</v>
      </c>
      <c r="AF132" s="64">
        <v>2048</v>
      </c>
      <c r="AG132" s="64">
        <v>2049</v>
      </c>
      <c r="AH132" s="64">
        <v>2050</v>
      </c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</row>
    <row r="133" spans="1:82">
      <c r="A133" s="1"/>
      <c r="B133" s="64" t="s">
        <v>81</v>
      </c>
      <c r="C133" s="48">
        <v>0</v>
      </c>
      <c r="D133" s="48">
        <v>0</v>
      </c>
      <c r="E133" s="48">
        <v>0</v>
      </c>
      <c r="F133" s="48">
        <v>0</v>
      </c>
      <c r="G133" s="48">
        <v>0</v>
      </c>
      <c r="H133" s="48">
        <v>0</v>
      </c>
      <c r="I133" s="48">
        <v>0</v>
      </c>
      <c r="J133" s="48">
        <v>0</v>
      </c>
      <c r="K133" s="48">
        <v>0</v>
      </c>
      <c r="L133" s="48">
        <v>0</v>
      </c>
      <c r="M133" s="48">
        <v>0</v>
      </c>
      <c r="N133" s="48">
        <v>0</v>
      </c>
      <c r="O133" s="48">
        <v>0</v>
      </c>
      <c r="P133" s="48">
        <v>0</v>
      </c>
      <c r="Q133" s="48">
        <v>0</v>
      </c>
      <c r="R133" s="48">
        <v>0</v>
      </c>
      <c r="S133" s="48">
        <v>0</v>
      </c>
      <c r="T133" s="48">
        <v>0</v>
      </c>
      <c r="U133" s="48">
        <v>0</v>
      </c>
      <c r="V133" s="48">
        <v>0</v>
      </c>
      <c r="W133" s="48">
        <v>0</v>
      </c>
      <c r="X133" s="48">
        <v>0</v>
      </c>
      <c r="Y133" s="48">
        <v>0</v>
      </c>
      <c r="Z133" s="48">
        <v>0</v>
      </c>
      <c r="AA133" s="48">
        <v>0</v>
      </c>
      <c r="AB133" s="48">
        <v>0</v>
      </c>
      <c r="AC133" s="48">
        <v>0</v>
      </c>
      <c r="AD133" s="48">
        <v>0</v>
      </c>
      <c r="AE133" s="48">
        <v>0</v>
      </c>
      <c r="AF133" s="48">
        <v>0</v>
      </c>
      <c r="AG133" s="48">
        <v>0</v>
      </c>
      <c r="AH133" s="48">
        <v>0</v>
      </c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</row>
    <row r="134" spans="1:82">
      <c r="A134" s="1"/>
      <c r="B134" s="64" t="s">
        <v>96</v>
      </c>
      <c r="C134" s="48">
        <v>99.3</v>
      </c>
      <c r="D134" s="48">
        <v>99.3</v>
      </c>
      <c r="E134" s="48">
        <v>99.3</v>
      </c>
      <c r="F134" s="48">
        <v>99.3</v>
      </c>
      <c r="G134" s="48">
        <v>99.3</v>
      </c>
      <c r="H134" s="48">
        <v>99.3</v>
      </c>
      <c r="I134" s="48">
        <v>99.3</v>
      </c>
      <c r="J134" s="48">
        <v>99.3</v>
      </c>
      <c r="K134" s="48">
        <v>99.3</v>
      </c>
      <c r="L134" s="48">
        <v>99.3</v>
      </c>
      <c r="M134" s="48">
        <v>99.3</v>
      </c>
      <c r="N134" s="48">
        <v>99.3</v>
      </c>
      <c r="O134" s="48">
        <v>99.3</v>
      </c>
      <c r="P134" s="48">
        <v>99.3</v>
      </c>
      <c r="Q134" s="48">
        <v>99.3</v>
      </c>
      <c r="R134" s="48">
        <v>99.3</v>
      </c>
      <c r="S134" s="48">
        <v>99.3</v>
      </c>
      <c r="T134" s="48">
        <v>99.3</v>
      </c>
      <c r="U134" s="48">
        <v>99.3</v>
      </c>
      <c r="V134" s="48">
        <v>99.3</v>
      </c>
      <c r="W134" s="48">
        <v>99.3</v>
      </c>
      <c r="X134" s="48">
        <v>99.3</v>
      </c>
      <c r="Y134" s="48">
        <v>99.3</v>
      </c>
      <c r="Z134" s="48">
        <v>99.3</v>
      </c>
      <c r="AA134" s="48">
        <v>99.3</v>
      </c>
      <c r="AB134" s="48">
        <v>99.3</v>
      </c>
      <c r="AC134" s="48">
        <v>99.3</v>
      </c>
      <c r="AD134" s="48">
        <v>99.3</v>
      </c>
      <c r="AE134" s="48">
        <v>99.3</v>
      </c>
      <c r="AF134" s="48">
        <v>99.3</v>
      </c>
      <c r="AG134" s="48">
        <v>99.3</v>
      </c>
      <c r="AH134" s="48">
        <v>99.3</v>
      </c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</row>
    <row r="135" spans="1:82">
      <c r="A135" s="1"/>
      <c r="B135" s="64" t="s">
        <v>89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8">
        <v>0</v>
      </c>
      <c r="K135" s="48">
        <v>0</v>
      </c>
      <c r="L135" s="48">
        <v>0</v>
      </c>
      <c r="M135" s="48">
        <v>0</v>
      </c>
      <c r="N135" s="48">
        <v>0</v>
      </c>
      <c r="O135" s="48">
        <v>0</v>
      </c>
      <c r="P135" s="48">
        <v>0</v>
      </c>
      <c r="Q135" s="48">
        <v>0</v>
      </c>
      <c r="R135" s="48">
        <v>0</v>
      </c>
      <c r="S135" s="48">
        <v>0</v>
      </c>
      <c r="T135" s="48">
        <v>0</v>
      </c>
      <c r="U135" s="48">
        <v>0</v>
      </c>
      <c r="V135" s="48">
        <v>0</v>
      </c>
      <c r="W135" s="48">
        <v>0</v>
      </c>
      <c r="X135" s="48">
        <v>0</v>
      </c>
      <c r="Y135" s="48">
        <v>0</v>
      </c>
      <c r="Z135" s="48">
        <v>0</v>
      </c>
      <c r="AA135" s="48">
        <v>0</v>
      </c>
      <c r="AB135" s="48">
        <v>0</v>
      </c>
      <c r="AC135" s="48">
        <v>0</v>
      </c>
      <c r="AD135" s="48">
        <v>0</v>
      </c>
      <c r="AE135" s="48">
        <v>0</v>
      </c>
      <c r="AF135" s="48">
        <v>0</v>
      </c>
      <c r="AG135" s="48">
        <v>0</v>
      </c>
      <c r="AH135" s="48">
        <v>0</v>
      </c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</row>
    <row r="136" spans="1:82">
      <c r="A136" s="1"/>
      <c r="B136" s="64" t="s">
        <v>88</v>
      </c>
      <c r="C136" s="48">
        <v>0</v>
      </c>
      <c r="D136" s="48">
        <v>0</v>
      </c>
      <c r="E136" s="48">
        <v>0</v>
      </c>
      <c r="F136" s="48">
        <v>0</v>
      </c>
      <c r="G136" s="48">
        <v>0</v>
      </c>
      <c r="H136" s="48">
        <v>0</v>
      </c>
      <c r="I136" s="48">
        <v>0</v>
      </c>
      <c r="J136" s="48">
        <v>0</v>
      </c>
      <c r="K136" s="48">
        <v>0</v>
      </c>
      <c r="L136" s="48">
        <v>0</v>
      </c>
      <c r="M136" s="48">
        <v>0</v>
      </c>
      <c r="N136" s="48">
        <v>0</v>
      </c>
      <c r="O136" s="48">
        <v>0</v>
      </c>
      <c r="P136" s="48">
        <v>0</v>
      </c>
      <c r="Q136" s="48">
        <v>0</v>
      </c>
      <c r="R136" s="48">
        <v>0</v>
      </c>
      <c r="S136" s="48">
        <v>0</v>
      </c>
      <c r="T136" s="48">
        <v>0</v>
      </c>
      <c r="U136" s="48">
        <v>0</v>
      </c>
      <c r="V136" s="48">
        <v>0</v>
      </c>
      <c r="W136" s="48">
        <v>0</v>
      </c>
      <c r="X136" s="48">
        <v>0</v>
      </c>
      <c r="Y136" s="48">
        <v>0</v>
      </c>
      <c r="Z136" s="48">
        <v>0</v>
      </c>
      <c r="AA136" s="48">
        <v>0</v>
      </c>
      <c r="AB136" s="48">
        <v>0</v>
      </c>
      <c r="AC136" s="48">
        <v>0</v>
      </c>
      <c r="AD136" s="48">
        <v>0</v>
      </c>
      <c r="AE136" s="48">
        <v>0</v>
      </c>
      <c r="AF136" s="48">
        <v>0</v>
      </c>
      <c r="AG136" s="48">
        <v>0</v>
      </c>
      <c r="AH136" s="48">
        <v>0</v>
      </c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</row>
    <row r="137" spans="1:82">
      <c r="A137" s="1"/>
      <c r="B137" s="64" t="s">
        <v>97</v>
      </c>
      <c r="C137" s="48">
        <v>212.20500000000001</v>
      </c>
      <c r="D137" s="48">
        <v>212.20500000000001</v>
      </c>
      <c r="E137" s="48">
        <v>212.20500000000001</v>
      </c>
      <c r="F137" s="48">
        <v>212.20500000000001</v>
      </c>
      <c r="G137" s="48">
        <v>212.20500000000001</v>
      </c>
      <c r="H137" s="48">
        <v>212.20500000000001</v>
      </c>
      <c r="I137" s="48">
        <v>212.20500000000001</v>
      </c>
      <c r="J137" s="48">
        <v>212.20500000000001</v>
      </c>
      <c r="K137" s="48">
        <v>212.20500000000001</v>
      </c>
      <c r="L137" s="48">
        <v>212.20500000000001</v>
      </c>
      <c r="M137" s="48">
        <v>212.20500000000001</v>
      </c>
      <c r="N137" s="48">
        <v>212.20500000000001</v>
      </c>
      <c r="O137" s="48">
        <v>212.20500000000001</v>
      </c>
      <c r="P137" s="48">
        <v>212.20500000000001</v>
      </c>
      <c r="Q137" s="48">
        <v>212.20500000000001</v>
      </c>
      <c r="R137" s="48">
        <v>212.20500000000001</v>
      </c>
      <c r="S137" s="48">
        <v>212.20500000000001</v>
      </c>
      <c r="T137" s="48">
        <v>212.20500000000001</v>
      </c>
      <c r="U137" s="48">
        <v>212.20500000000001</v>
      </c>
      <c r="V137" s="48">
        <v>212.20500000000001</v>
      </c>
      <c r="W137" s="48">
        <v>212.20500000000001</v>
      </c>
      <c r="X137" s="48">
        <v>212.20500000000001</v>
      </c>
      <c r="Y137" s="48">
        <v>212.20500000000001</v>
      </c>
      <c r="Z137" s="48">
        <v>212.20500000000001</v>
      </c>
      <c r="AA137" s="48">
        <v>212.20500000000001</v>
      </c>
      <c r="AB137" s="48">
        <v>212.20500000000001</v>
      </c>
      <c r="AC137" s="48">
        <v>212.20500000000001</v>
      </c>
      <c r="AD137" s="48">
        <v>212.20500000000001</v>
      </c>
      <c r="AE137" s="48">
        <v>212.20500000000001</v>
      </c>
      <c r="AF137" s="48">
        <v>212.20500000000001</v>
      </c>
      <c r="AG137" s="48">
        <v>212.20500000000001</v>
      </c>
      <c r="AH137" s="48">
        <v>212.20500000000001</v>
      </c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</row>
    <row r="138" spans="1:82">
      <c r="A138" s="1"/>
      <c r="B138" s="64" t="s">
        <v>98</v>
      </c>
      <c r="C138" s="48">
        <v>17.231999999999999</v>
      </c>
      <c r="D138" s="48">
        <f t="shared" ref="D138:Q138" si="137">IF(C128&lt;30,IF(C138*(((D132-$C$132)/10)+1)&gt;100,100,C138*(((D132-$C$132)/10)+1)),0)</f>
        <v>18.955200000000001</v>
      </c>
      <c r="E138" s="48">
        <f t="shared" si="137"/>
        <v>22.74624</v>
      </c>
      <c r="F138" s="48">
        <f t="shared" si="137"/>
        <v>29.570112000000002</v>
      </c>
      <c r="G138" s="48">
        <f t="shared" si="137"/>
        <v>41.398156800000002</v>
      </c>
      <c r="H138" s="48">
        <f t="shared" si="137"/>
        <v>62.0972352</v>
      </c>
      <c r="I138" s="48">
        <f t="shared" si="137"/>
        <v>99.355576320000011</v>
      </c>
      <c r="J138" s="48">
        <f t="shared" si="137"/>
        <v>100</v>
      </c>
      <c r="K138" s="48">
        <f t="shared" si="137"/>
        <v>100</v>
      </c>
      <c r="L138" s="48">
        <f t="shared" si="137"/>
        <v>100</v>
      </c>
      <c r="M138" s="48">
        <f t="shared" si="137"/>
        <v>100</v>
      </c>
      <c r="N138" s="48">
        <f t="shared" si="137"/>
        <v>100</v>
      </c>
      <c r="O138" s="48">
        <f t="shared" si="137"/>
        <v>100</v>
      </c>
      <c r="P138" s="48">
        <f t="shared" si="137"/>
        <v>100</v>
      </c>
      <c r="Q138" s="48">
        <f t="shared" si="137"/>
        <v>100</v>
      </c>
      <c r="R138" s="48">
        <f t="shared" ref="R138:AH138" si="138">IF(Q128&lt;33,IF(Q138*(((R132-$C$132)/10)+1)&gt;100,100,Q138*(((R132-$C$132)/10)+1)),0)</f>
        <v>100</v>
      </c>
      <c r="S138" s="48">
        <f t="shared" si="138"/>
        <v>100</v>
      </c>
      <c r="T138" s="48">
        <f t="shared" si="138"/>
        <v>100</v>
      </c>
      <c r="U138" s="48">
        <f t="shared" si="138"/>
        <v>100</v>
      </c>
      <c r="V138" s="48">
        <f t="shared" si="138"/>
        <v>100</v>
      </c>
      <c r="W138" s="48">
        <f t="shared" si="138"/>
        <v>100</v>
      </c>
      <c r="X138" s="48">
        <f t="shared" si="138"/>
        <v>100</v>
      </c>
      <c r="Y138" s="48">
        <f t="shared" si="138"/>
        <v>100</v>
      </c>
      <c r="Z138" s="48">
        <f t="shared" si="138"/>
        <v>100</v>
      </c>
      <c r="AA138" s="48">
        <f t="shared" si="138"/>
        <v>100</v>
      </c>
      <c r="AB138" s="48">
        <f t="shared" si="138"/>
        <v>100</v>
      </c>
      <c r="AC138" s="48">
        <f t="shared" si="138"/>
        <v>100</v>
      </c>
      <c r="AD138" s="48">
        <f t="shared" si="138"/>
        <v>100</v>
      </c>
      <c r="AE138" s="48">
        <f t="shared" si="138"/>
        <v>100</v>
      </c>
      <c r="AF138" s="48">
        <f t="shared" si="138"/>
        <v>100</v>
      </c>
      <c r="AG138" s="48">
        <f t="shared" si="138"/>
        <v>100</v>
      </c>
      <c r="AH138" s="48">
        <f t="shared" si="138"/>
        <v>100</v>
      </c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</row>
    <row r="139" spans="1:82">
      <c r="A139" s="1"/>
      <c r="B139" s="64" t="s">
        <v>99</v>
      </c>
      <c r="C139" s="48">
        <v>0</v>
      </c>
      <c r="D139" s="48">
        <v>0</v>
      </c>
      <c r="E139" s="48">
        <v>0</v>
      </c>
      <c r="F139" s="48">
        <v>0</v>
      </c>
      <c r="G139" s="48">
        <v>0</v>
      </c>
      <c r="H139" s="48">
        <v>0</v>
      </c>
      <c r="I139" s="48">
        <v>0</v>
      </c>
      <c r="J139" s="48">
        <v>0</v>
      </c>
      <c r="K139" s="48">
        <v>0</v>
      </c>
      <c r="L139" s="48">
        <v>0</v>
      </c>
      <c r="M139" s="48">
        <v>0</v>
      </c>
      <c r="N139" s="48">
        <v>0</v>
      </c>
      <c r="O139" s="48">
        <v>0</v>
      </c>
      <c r="P139" s="48">
        <v>0</v>
      </c>
      <c r="Q139" s="48">
        <v>0</v>
      </c>
      <c r="R139" s="48">
        <v>0</v>
      </c>
      <c r="S139" s="48">
        <v>0</v>
      </c>
      <c r="T139" s="48">
        <v>0</v>
      </c>
      <c r="U139" s="48">
        <v>0</v>
      </c>
      <c r="V139" s="48">
        <v>0</v>
      </c>
      <c r="W139" s="48">
        <v>0</v>
      </c>
      <c r="X139" s="48">
        <v>0</v>
      </c>
      <c r="Y139" s="48">
        <v>0</v>
      </c>
      <c r="Z139" s="48">
        <v>0</v>
      </c>
      <c r="AA139" s="48">
        <v>0</v>
      </c>
      <c r="AB139" s="48">
        <v>0</v>
      </c>
      <c r="AC139" s="48">
        <v>0</v>
      </c>
      <c r="AD139" s="48">
        <v>0</v>
      </c>
      <c r="AE139" s="48">
        <v>0</v>
      </c>
      <c r="AF139" s="48">
        <v>0</v>
      </c>
      <c r="AG139" s="48">
        <v>0</v>
      </c>
      <c r="AH139" s="48">
        <v>0</v>
      </c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</row>
    <row r="140" spans="1:82">
      <c r="A140" s="1"/>
      <c r="B140" s="64" t="s">
        <v>100</v>
      </c>
      <c r="C140" s="48">
        <v>36.274000000000001</v>
      </c>
      <c r="D140" s="48">
        <f t="shared" ref="D140:N140" si="139">IF(C128&lt;30,IF(C140*(((D132-$C$132)/10)+1)&gt;100,100,C140*(((D132-$C$132)/10)+1)),0)</f>
        <v>39.901400000000002</v>
      </c>
      <c r="E140" s="48">
        <f t="shared" si="139"/>
        <v>47.881680000000003</v>
      </c>
      <c r="F140" s="48">
        <f t="shared" si="139"/>
        <v>62.246184000000007</v>
      </c>
      <c r="G140" s="48">
        <f t="shared" si="139"/>
        <v>87.144657600000002</v>
      </c>
      <c r="H140" s="48">
        <f t="shared" si="139"/>
        <v>100</v>
      </c>
      <c r="I140" s="48">
        <f t="shared" si="139"/>
        <v>100</v>
      </c>
      <c r="J140" s="48">
        <f t="shared" si="139"/>
        <v>100</v>
      </c>
      <c r="K140" s="48">
        <f t="shared" si="139"/>
        <v>100</v>
      </c>
      <c r="L140" s="48">
        <f t="shared" si="139"/>
        <v>100</v>
      </c>
      <c r="M140" s="48">
        <f t="shared" si="139"/>
        <v>100</v>
      </c>
      <c r="N140" s="48">
        <f t="shared" si="139"/>
        <v>100</v>
      </c>
      <c r="O140" s="48">
        <f t="shared" ref="O140:AH140" si="140">IF(N128&lt;33,IF(N140*(((O132-$C$132)/10)+1)&gt;100,100,N140*(((O132-$C$132)/10)+1)),0)</f>
        <v>100</v>
      </c>
      <c r="P140" s="48">
        <f t="shared" si="140"/>
        <v>100</v>
      </c>
      <c r="Q140" s="48">
        <f t="shared" si="140"/>
        <v>100</v>
      </c>
      <c r="R140" s="48">
        <f t="shared" si="140"/>
        <v>100</v>
      </c>
      <c r="S140" s="48">
        <f t="shared" si="140"/>
        <v>100</v>
      </c>
      <c r="T140" s="48">
        <f t="shared" si="140"/>
        <v>100</v>
      </c>
      <c r="U140" s="48">
        <f t="shared" si="140"/>
        <v>100</v>
      </c>
      <c r="V140" s="48">
        <f t="shared" si="140"/>
        <v>100</v>
      </c>
      <c r="W140" s="48">
        <f t="shared" si="140"/>
        <v>100</v>
      </c>
      <c r="X140" s="48">
        <f t="shared" si="140"/>
        <v>100</v>
      </c>
      <c r="Y140" s="48">
        <f t="shared" si="140"/>
        <v>100</v>
      </c>
      <c r="Z140" s="48">
        <f t="shared" si="140"/>
        <v>100</v>
      </c>
      <c r="AA140" s="48">
        <f t="shared" si="140"/>
        <v>100</v>
      </c>
      <c r="AB140" s="48">
        <f t="shared" si="140"/>
        <v>100</v>
      </c>
      <c r="AC140" s="48">
        <f t="shared" si="140"/>
        <v>100</v>
      </c>
      <c r="AD140" s="48">
        <f t="shared" si="140"/>
        <v>100</v>
      </c>
      <c r="AE140" s="48">
        <f t="shared" si="140"/>
        <v>100</v>
      </c>
      <c r="AF140" s="48">
        <f t="shared" si="140"/>
        <v>100</v>
      </c>
      <c r="AG140" s="48">
        <f t="shared" si="140"/>
        <v>100</v>
      </c>
      <c r="AH140" s="48">
        <f t="shared" si="140"/>
        <v>100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</row>
    <row r="141" spans="1:82">
      <c r="A141" s="1"/>
      <c r="B141" s="64" t="s">
        <v>101</v>
      </c>
      <c r="C141" s="48">
        <v>7.0000000000000001E-3</v>
      </c>
      <c r="D141" s="48">
        <f t="shared" ref="D141:AH141" si="141">IF(C128&lt;30,IF(C141*(((D132-$C$132)/10)+1)&gt;100,100,C141*(((D132-$C$132)/10)+1)),0)</f>
        <v>7.7000000000000011E-3</v>
      </c>
      <c r="E141" s="48">
        <f t="shared" si="141"/>
        <v>9.2400000000000017E-3</v>
      </c>
      <c r="F141" s="48">
        <f t="shared" si="141"/>
        <v>1.2012000000000002E-2</v>
      </c>
      <c r="G141" s="48">
        <f t="shared" si="141"/>
        <v>1.68168E-2</v>
      </c>
      <c r="H141" s="48">
        <f t="shared" si="141"/>
        <v>2.52252E-2</v>
      </c>
      <c r="I141" s="48">
        <f t="shared" si="141"/>
        <v>4.0360320000000005E-2</v>
      </c>
      <c r="J141" s="48">
        <f t="shared" si="141"/>
        <v>6.8612544000000011E-2</v>
      </c>
      <c r="K141" s="48">
        <f t="shared" si="141"/>
        <v>0.12350257920000002</v>
      </c>
      <c r="L141" s="48">
        <f t="shared" si="141"/>
        <v>0.23465490048000001</v>
      </c>
      <c r="M141" s="48">
        <f t="shared" si="141"/>
        <v>0.46930980096000002</v>
      </c>
      <c r="N141" s="48">
        <f t="shared" si="141"/>
        <v>0.9855505820160001</v>
      </c>
      <c r="O141" s="48">
        <f t="shared" si="141"/>
        <v>2.1682112804352003</v>
      </c>
      <c r="P141" s="48">
        <f t="shared" si="141"/>
        <v>4.9868859450009602</v>
      </c>
      <c r="Q141" s="48">
        <f t="shared" si="141"/>
        <v>11.968526268002304</v>
      </c>
      <c r="R141" s="48">
        <f t="shared" si="141"/>
        <v>29.921315670005761</v>
      </c>
      <c r="S141" s="48">
        <f t="shared" si="141"/>
        <v>77.795420742014983</v>
      </c>
      <c r="T141" s="48">
        <f t="shared" si="141"/>
        <v>100</v>
      </c>
      <c r="U141" s="48">
        <f t="shared" si="141"/>
        <v>100</v>
      </c>
      <c r="V141" s="48">
        <f t="shared" si="141"/>
        <v>100</v>
      </c>
      <c r="W141" s="48">
        <f t="shared" si="141"/>
        <v>100</v>
      </c>
      <c r="X141" s="48">
        <f t="shared" si="141"/>
        <v>100</v>
      </c>
      <c r="Y141" s="48">
        <f t="shared" si="141"/>
        <v>100</v>
      </c>
      <c r="Z141" s="48">
        <f t="shared" si="141"/>
        <v>100</v>
      </c>
      <c r="AA141" s="48">
        <f t="shared" si="141"/>
        <v>100</v>
      </c>
      <c r="AB141" s="48">
        <f t="shared" si="141"/>
        <v>0</v>
      </c>
      <c r="AC141" s="48">
        <f t="shared" si="141"/>
        <v>0</v>
      </c>
      <c r="AD141" s="48">
        <f t="shared" si="141"/>
        <v>0</v>
      </c>
      <c r="AE141" s="48">
        <f t="shared" si="141"/>
        <v>0</v>
      </c>
      <c r="AF141" s="48">
        <f t="shared" si="141"/>
        <v>0</v>
      </c>
      <c r="AG141" s="48">
        <f t="shared" si="141"/>
        <v>0</v>
      </c>
      <c r="AH141" s="48">
        <f t="shared" si="141"/>
        <v>0</v>
      </c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</row>
    <row r="142" spans="1:82">
      <c r="A142" s="1"/>
      <c r="B142" s="64" t="s">
        <v>5</v>
      </c>
      <c r="C142" s="48">
        <v>71.7</v>
      </c>
      <c r="D142" s="48">
        <v>71.7</v>
      </c>
      <c r="E142" s="48">
        <v>71.7</v>
      </c>
      <c r="F142" s="48">
        <v>71.7</v>
      </c>
      <c r="G142" s="48">
        <v>71.7</v>
      </c>
      <c r="H142" s="48">
        <v>71.7</v>
      </c>
      <c r="I142" s="48">
        <v>71.7</v>
      </c>
      <c r="J142" s="48">
        <v>71.7</v>
      </c>
      <c r="K142" s="48">
        <v>71.7</v>
      </c>
      <c r="L142" s="48">
        <v>71.7</v>
      </c>
      <c r="M142" s="48">
        <v>71.7</v>
      </c>
      <c r="N142" s="48">
        <v>71.7</v>
      </c>
      <c r="O142" s="48">
        <v>71.7</v>
      </c>
      <c r="P142" s="48">
        <v>71.7</v>
      </c>
      <c r="Q142" s="48">
        <v>71.7</v>
      </c>
      <c r="R142" s="48">
        <v>71.7</v>
      </c>
      <c r="S142" s="48">
        <v>71.7</v>
      </c>
      <c r="T142" s="48">
        <v>71.7</v>
      </c>
      <c r="U142" s="48">
        <v>71.7</v>
      </c>
      <c r="V142" s="48">
        <v>71.7</v>
      </c>
      <c r="W142" s="48">
        <v>71.7</v>
      </c>
      <c r="X142" s="48">
        <v>71.7</v>
      </c>
      <c r="Y142" s="48">
        <v>71.7</v>
      </c>
      <c r="Z142" s="48">
        <v>71.7</v>
      </c>
      <c r="AA142" s="48">
        <v>71.7</v>
      </c>
      <c r="AB142" s="48">
        <v>71.7</v>
      </c>
      <c r="AC142" s="48">
        <v>71.7</v>
      </c>
      <c r="AD142" s="48">
        <v>71.7</v>
      </c>
      <c r="AE142" s="48">
        <v>71.7</v>
      </c>
      <c r="AF142" s="48">
        <v>71.7</v>
      </c>
      <c r="AG142" s="48">
        <v>71.7</v>
      </c>
      <c r="AH142" s="48">
        <v>71.7</v>
      </c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</row>
    <row r="143" spans="1:82">
      <c r="A143" s="1"/>
      <c r="B143" s="64" t="s">
        <v>102</v>
      </c>
      <c r="C143" s="48">
        <v>4.3</v>
      </c>
      <c r="D143" s="48">
        <v>4.3</v>
      </c>
      <c r="E143" s="48">
        <v>4.3</v>
      </c>
      <c r="F143" s="48">
        <v>4.3</v>
      </c>
      <c r="G143" s="48">
        <v>4.3</v>
      </c>
      <c r="H143" s="48">
        <v>4.3</v>
      </c>
      <c r="I143" s="48">
        <v>4.3</v>
      </c>
      <c r="J143" s="48">
        <v>4.3</v>
      </c>
      <c r="K143" s="48">
        <v>4.3</v>
      </c>
      <c r="L143" s="48">
        <v>4.3</v>
      </c>
      <c r="M143" s="48">
        <v>4.3</v>
      </c>
      <c r="N143" s="48">
        <v>4.3</v>
      </c>
      <c r="O143" s="48">
        <v>4.3</v>
      </c>
      <c r="P143" s="48">
        <v>4.3</v>
      </c>
      <c r="Q143" s="48">
        <v>4.3</v>
      </c>
      <c r="R143" s="48">
        <v>4.3</v>
      </c>
      <c r="S143" s="48">
        <v>4.3</v>
      </c>
      <c r="T143" s="48">
        <v>4.3</v>
      </c>
      <c r="U143" s="48">
        <v>4.3</v>
      </c>
      <c r="V143" s="48">
        <v>4.3</v>
      </c>
      <c r="W143" s="48">
        <v>4.3</v>
      </c>
      <c r="X143" s="48">
        <v>4.3</v>
      </c>
      <c r="Y143" s="48">
        <v>4.3</v>
      </c>
      <c r="Z143" s="48">
        <v>4.3</v>
      </c>
      <c r="AA143" s="48">
        <v>4.3</v>
      </c>
      <c r="AB143" s="48">
        <v>4.3</v>
      </c>
      <c r="AC143" s="48">
        <v>4.3</v>
      </c>
      <c r="AD143" s="48">
        <v>4.3</v>
      </c>
      <c r="AE143" s="48">
        <v>4.3</v>
      </c>
      <c r="AF143" s="48">
        <v>4.3</v>
      </c>
      <c r="AG143" s="48">
        <v>4.3</v>
      </c>
      <c r="AH143" s="48">
        <v>4.3</v>
      </c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</row>
    <row r="144" spans="1:82">
      <c r="A144" s="1"/>
      <c r="B144" s="64" t="s">
        <v>7</v>
      </c>
      <c r="C144" s="48">
        <v>34.799999999999997</v>
      </c>
      <c r="D144" s="48">
        <v>34.799999999999997</v>
      </c>
      <c r="E144" s="48">
        <v>34.799999999999997</v>
      </c>
      <c r="F144" s="48">
        <v>34.799999999999997</v>
      </c>
      <c r="G144" s="48">
        <v>34.799999999999997</v>
      </c>
      <c r="H144" s="48">
        <v>34.799999999999997</v>
      </c>
      <c r="I144" s="48">
        <v>34.799999999999997</v>
      </c>
      <c r="J144" s="48">
        <v>34.799999999999997</v>
      </c>
      <c r="K144" s="48">
        <v>34.799999999999997</v>
      </c>
      <c r="L144" s="48">
        <v>34.799999999999997</v>
      </c>
      <c r="M144" s="48">
        <v>34.799999999999997</v>
      </c>
      <c r="N144" s="48">
        <v>34.799999999999997</v>
      </c>
      <c r="O144" s="48">
        <v>34.799999999999997</v>
      </c>
      <c r="P144" s="48">
        <v>34.799999999999997</v>
      </c>
      <c r="Q144" s="48">
        <v>34.799999999999997</v>
      </c>
      <c r="R144" s="48">
        <v>34.799999999999997</v>
      </c>
      <c r="S144" s="48">
        <v>34.799999999999997</v>
      </c>
      <c r="T144" s="48">
        <v>34.799999999999997</v>
      </c>
      <c r="U144" s="48">
        <v>34.799999999999997</v>
      </c>
      <c r="V144" s="48">
        <v>34.799999999999997</v>
      </c>
      <c r="W144" s="48">
        <v>34.799999999999997</v>
      </c>
      <c r="X144" s="48">
        <v>34.799999999999997</v>
      </c>
      <c r="Y144" s="48">
        <v>34.799999999999997</v>
      </c>
      <c r="Z144" s="48">
        <v>34.799999999999997</v>
      </c>
      <c r="AA144" s="48">
        <v>34.799999999999997</v>
      </c>
      <c r="AB144" s="48">
        <v>34.799999999999997</v>
      </c>
      <c r="AC144" s="48">
        <v>34.799999999999997</v>
      </c>
      <c r="AD144" s="48">
        <v>34.799999999999997</v>
      </c>
      <c r="AE144" s="48">
        <v>34.799999999999997</v>
      </c>
      <c r="AF144" s="48">
        <v>34.799999999999997</v>
      </c>
      <c r="AG144" s="48">
        <v>34.799999999999997</v>
      </c>
      <c r="AH144" s="48">
        <v>34.799999999999997</v>
      </c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</row>
    <row r="145" spans="1:82">
      <c r="A145" s="1"/>
      <c r="B145" s="64" t="s">
        <v>103</v>
      </c>
      <c r="C145" s="48">
        <v>59.9</v>
      </c>
      <c r="D145" s="48">
        <v>59.9</v>
      </c>
      <c r="E145" s="48">
        <v>59.9</v>
      </c>
      <c r="F145" s="48">
        <v>59.9</v>
      </c>
      <c r="G145" s="48">
        <v>59.9</v>
      </c>
      <c r="H145" s="48">
        <v>59.9</v>
      </c>
      <c r="I145" s="48">
        <v>59.9</v>
      </c>
      <c r="J145" s="48">
        <v>59.9</v>
      </c>
      <c r="K145" s="48">
        <v>59.9</v>
      </c>
      <c r="L145" s="48">
        <v>59.9</v>
      </c>
      <c r="M145" s="48">
        <v>59.9</v>
      </c>
      <c r="N145" s="48">
        <v>59.9</v>
      </c>
      <c r="O145" s="48">
        <v>59.9</v>
      </c>
      <c r="P145" s="48">
        <v>59.9</v>
      </c>
      <c r="Q145" s="48">
        <v>59.9</v>
      </c>
      <c r="R145" s="48">
        <v>59.9</v>
      </c>
      <c r="S145" s="48">
        <v>59.9</v>
      </c>
      <c r="T145" s="48">
        <v>59.9</v>
      </c>
      <c r="U145" s="48">
        <v>59.9</v>
      </c>
      <c r="V145" s="48">
        <v>59.9</v>
      </c>
      <c r="W145" s="48">
        <v>59.9</v>
      </c>
      <c r="X145" s="48">
        <v>59.9</v>
      </c>
      <c r="Y145" s="48">
        <v>59.9</v>
      </c>
      <c r="Z145" s="48">
        <v>59.9</v>
      </c>
      <c r="AA145" s="48">
        <v>59.9</v>
      </c>
      <c r="AB145" s="48">
        <v>59.9</v>
      </c>
      <c r="AC145" s="48">
        <v>59.9</v>
      </c>
      <c r="AD145" s="48">
        <v>59.9</v>
      </c>
      <c r="AE145" s="48">
        <v>59.9</v>
      </c>
      <c r="AF145" s="48">
        <v>59.9</v>
      </c>
      <c r="AG145" s="48">
        <v>59.9</v>
      </c>
      <c r="AH145" s="48">
        <v>59.9</v>
      </c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</row>
    <row r="146" spans="1:8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</row>
    <row r="147" spans="1:82">
      <c r="A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</row>
    <row r="148" spans="1:82">
      <c r="A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</row>
    <row r="149" spans="1:82">
      <c r="A149" s="1"/>
      <c r="B149" s="118" t="s">
        <v>77</v>
      </c>
      <c r="C149" s="118">
        <v>2019</v>
      </c>
      <c r="D149" s="118">
        <v>2020</v>
      </c>
      <c r="E149" s="118">
        <v>2021</v>
      </c>
      <c r="F149" s="118">
        <v>2022</v>
      </c>
      <c r="G149" s="118">
        <v>2023</v>
      </c>
      <c r="H149" s="118">
        <v>2024</v>
      </c>
      <c r="I149" s="118">
        <v>2025</v>
      </c>
      <c r="J149" s="118">
        <v>2026</v>
      </c>
      <c r="K149" s="118">
        <v>2027</v>
      </c>
      <c r="L149" s="118">
        <v>2028</v>
      </c>
      <c r="M149" s="118">
        <v>2029</v>
      </c>
      <c r="N149" s="118">
        <v>2030</v>
      </c>
      <c r="O149" s="118">
        <v>2031</v>
      </c>
      <c r="P149" s="118">
        <v>2032</v>
      </c>
      <c r="Q149" s="118">
        <v>2033</v>
      </c>
      <c r="R149" s="118">
        <v>2034</v>
      </c>
      <c r="S149" s="118">
        <v>2035</v>
      </c>
      <c r="T149" s="118">
        <v>2036</v>
      </c>
      <c r="U149" s="118">
        <v>2037</v>
      </c>
      <c r="V149" s="118">
        <v>2038</v>
      </c>
      <c r="W149" s="118">
        <v>2039</v>
      </c>
      <c r="X149" s="118">
        <v>2040</v>
      </c>
      <c r="Y149" s="118">
        <v>2041</v>
      </c>
      <c r="Z149" s="118">
        <v>2042</v>
      </c>
      <c r="AA149" s="118">
        <v>2043</v>
      </c>
      <c r="AB149" s="118">
        <v>2044</v>
      </c>
      <c r="AC149" s="118">
        <v>2045</v>
      </c>
      <c r="AD149" s="118">
        <v>2046</v>
      </c>
      <c r="AE149" s="118">
        <v>2047</v>
      </c>
      <c r="AF149" s="118">
        <v>2048</v>
      </c>
      <c r="AG149" s="118">
        <v>2049</v>
      </c>
      <c r="AH149" s="118">
        <v>2050</v>
      </c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</row>
    <row r="150" spans="1:82">
      <c r="A150" s="1"/>
      <c r="B150" s="118" t="s">
        <v>81</v>
      </c>
      <c r="C150" s="17">
        <f>C112*AL112/10^(12)</f>
        <v>1086.8469095199998</v>
      </c>
      <c r="D150" s="17">
        <f t="shared" ref="D150:AH150" si="142">D112*$AL$112/10^(12)</f>
        <v>1064.5649559999997</v>
      </c>
      <c r="E150" s="17">
        <f t="shared" si="142"/>
        <v>993.27435903999992</v>
      </c>
      <c r="F150" s="17">
        <f t="shared" si="142"/>
        <v>920.65656075999982</v>
      </c>
      <c r="G150" s="17">
        <f t="shared" si="142"/>
        <v>814.67102895999983</v>
      </c>
      <c r="H150" s="17">
        <f t="shared" si="142"/>
        <v>707.23311543999989</v>
      </c>
      <c r="I150" s="17">
        <f t="shared" si="142"/>
        <v>614.50424055999997</v>
      </c>
      <c r="J150" s="17">
        <f t="shared" si="142"/>
        <v>568.07186932000002</v>
      </c>
      <c r="K150" s="17">
        <f t="shared" si="142"/>
        <v>536.05742439999972</v>
      </c>
      <c r="L150" s="17">
        <f t="shared" si="142"/>
        <v>517.83319924000011</v>
      </c>
      <c r="M150" s="17">
        <f t="shared" si="142"/>
        <v>513.05026552000004</v>
      </c>
      <c r="N150" s="17">
        <f t="shared" si="142"/>
        <v>487.54111924</v>
      </c>
      <c r="O150" s="17">
        <f t="shared" si="142"/>
        <v>464.3796354399999</v>
      </c>
      <c r="P150" s="17">
        <f t="shared" si="142"/>
        <v>422.02491279999987</v>
      </c>
      <c r="Q150" s="17">
        <f t="shared" si="142"/>
        <v>422.02491279999987</v>
      </c>
      <c r="R150" s="17">
        <f t="shared" si="142"/>
        <v>396.61127679999987</v>
      </c>
      <c r="S150" s="17">
        <f t="shared" si="142"/>
        <v>396.61127679999987</v>
      </c>
      <c r="T150" s="17">
        <f t="shared" si="142"/>
        <v>396.61127679999987</v>
      </c>
      <c r="U150" s="17">
        <f t="shared" si="142"/>
        <v>386.41375203999968</v>
      </c>
      <c r="V150" s="17">
        <f t="shared" si="142"/>
        <v>386.41375203999968</v>
      </c>
      <c r="W150" s="17">
        <f t="shared" si="142"/>
        <v>386.41375203999968</v>
      </c>
      <c r="X150" s="17">
        <f t="shared" si="142"/>
        <v>386.41375203999968</v>
      </c>
      <c r="Y150" s="17">
        <f t="shared" si="142"/>
        <v>375.75287583999983</v>
      </c>
      <c r="Z150" s="17">
        <f t="shared" si="142"/>
        <v>375.75287583999983</v>
      </c>
      <c r="AA150" s="17">
        <f t="shared" si="142"/>
        <v>370.81220955999987</v>
      </c>
      <c r="AB150" s="17">
        <f t="shared" si="142"/>
        <v>370.81220955999987</v>
      </c>
      <c r="AC150" s="17">
        <f t="shared" si="142"/>
        <v>370.81220955999987</v>
      </c>
      <c r="AD150" s="17">
        <f t="shared" si="142"/>
        <v>370.81220955999987</v>
      </c>
      <c r="AE150" s="17">
        <f t="shared" si="142"/>
        <v>370.81220955999987</v>
      </c>
      <c r="AF150" s="17">
        <f t="shared" si="142"/>
        <v>370.81220955999987</v>
      </c>
      <c r="AG150" s="17">
        <f t="shared" si="142"/>
        <v>370.81220955999987</v>
      </c>
      <c r="AH150" s="17">
        <f t="shared" si="142"/>
        <v>370.81220955999987</v>
      </c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</row>
    <row r="151" spans="1:82">
      <c r="A151" s="1"/>
      <c r="B151" s="118" t="s">
        <v>96</v>
      </c>
      <c r="C151" s="17">
        <f t="shared" ref="C151:AH151" si="143">C113*$AL$113/10^(12)</f>
        <v>14.112301077025515</v>
      </c>
      <c r="D151" s="17">
        <f t="shared" si="143"/>
        <v>14.112301077025515</v>
      </c>
      <c r="E151" s="17">
        <f t="shared" si="143"/>
        <v>14.112301077025515</v>
      </c>
      <c r="F151" s="17">
        <f t="shared" si="143"/>
        <v>14.112301077025515</v>
      </c>
      <c r="G151" s="17">
        <f t="shared" si="143"/>
        <v>14.112301077025515</v>
      </c>
      <c r="H151" s="17">
        <f t="shared" si="143"/>
        <v>14.112301077025515</v>
      </c>
      <c r="I151" s="17">
        <f t="shared" si="143"/>
        <v>14.112301077025515</v>
      </c>
      <c r="J151" s="17">
        <f t="shared" si="143"/>
        <v>14.112301077025515</v>
      </c>
      <c r="K151" s="17">
        <f t="shared" si="143"/>
        <v>14.112301077025515</v>
      </c>
      <c r="L151" s="17">
        <f t="shared" si="143"/>
        <v>14.112301077025515</v>
      </c>
      <c r="M151" s="17">
        <f t="shared" si="143"/>
        <v>14.112301077025515</v>
      </c>
      <c r="N151" s="17">
        <f t="shared" si="143"/>
        <v>14.112301077025515</v>
      </c>
      <c r="O151" s="17">
        <f t="shared" si="143"/>
        <v>14.112301077025515</v>
      </c>
      <c r="P151" s="17">
        <f t="shared" si="143"/>
        <v>14.112301077025515</v>
      </c>
      <c r="Q151" s="17">
        <f t="shared" si="143"/>
        <v>14.112301077025515</v>
      </c>
      <c r="R151" s="17">
        <f t="shared" si="143"/>
        <v>14.112301077025515</v>
      </c>
      <c r="S151" s="17">
        <f t="shared" si="143"/>
        <v>14.112301077025515</v>
      </c>
      <c r="T151" s="17">
        <f t="shared" si="143"/>
        <v>14.112301077025515</v>
      </c>
      <c r="U151" s="17">
        <f t="shared" si="143"/>
        <v>14.112301077025515</v>
      </c>
      <c r="V151" s="17">
        <f t="shared" si="143"/>
        <v>14.112301077025515</v>
      </c>
      <c r="W151" s="17">
        <f t="shared" si="143"/>
        <v>14.112301077025515</v>
      </c>
      <c r="X151" s="17">
        <f t="shared" si="143"/>
        <v>14.112301077025515</v>
      </c>
      <c r="Y151" s="17">
        <f t="shared" si="143"/>
        <v>14.112301077025515</v>
      </c>
      <c r="Z151" s="17">
        <f t="shared" si="143"/>
        <v>14.112301077025515</v>
      </c>
      <c r="AA151" s="17">
        <f t="shared" si="143"/>
        <v>14.112301077025515</v>
      </c>
      <c r="AB151" s="17">
        <f t="shared" si="143"/>
        <v>14.112301077025515</v>
      </c>
      <c r="AC151" s="17">
        <f t="shared" si="143"/>
        <v>14.112301077025515</v>
      </c>
      <c r="AD151" s="17">
        <f t="shared" si="143"/>
        <v>14.112301077025515</v>
      </c>
      <c r="AE151" s="17">
        <f t="shared" si="143"/>
        <v>14.112301077025515</v>
      </c>
      <c r="AF151" s="17">
        <f t="shared" si="143"/>
        <v>14.112301077025515</v>
      </c>
      <c r="AG151" s="17">
        <f t="shared" si="143"/>
        <v>14.112301077025515</v>
      </c>
      <c r="AH151" s="17">
        <f t="shared" si="143"/>
        <v>14.112301077025515</v>
      </c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</row>
    <row r="152" spans="1:82">
      <c r="A152" s="1"/>
      <c r="B152" s="118" t="s">
        <v>89</v>
      </c>
      <c r="C152" s="17">
        <f t="shared" ref="C152:AH152" si="144">C114*$AL$114/10^(12)</f>
        <v>472.12309475199999</v>
      </c>
      <c r="D152" s="17">
        <f>D114*$AL$114/10^(12)</f>
        <v>467.35940149599998</v>
      </c>
      <c r="E152" s="17">
        <f t="shared" si="144"/>
        <v>440.27708425624007</v>
      </c>
      <c r="F152" s="17">
        <f t="shared" si="144"/>
        <v>433.72511408824005</v>
      </c>
      <c r="G152" s="17">
        <f t="shared" si="144"/>
        <v>422.92405576048009</v>
      </c>
      <c r="H152" s="17">
        <f t="shared" si="144"/>
        <v>412.57020944871999</v>
      </c>
      <c r="I152" s="17">
        <f t="shared" si="144"/>
        <v>407.00776297648002</v>
      </c>
      <c r="J152" s="17">
        <f t="shared" si="144"/>
        <v>391.40618636751998</v>
      </c>
      <c r="K152" s="17">
        <f t="shared" si="144"/>
        <v>388.97878465600007</v>
      </c>
      <c r="L152" s="17">
        <f t="shared" si="144"/>
        <v>383.40862192024002</v>
      </c>
      <c r="M152" s="17">
        <f t="shared" si="144"/>
        <v>373.86381241648007</v>
      </c>
      <c r="N152" s="17">
        <f t="shared" si="144"/>
        <v>373.69932064048004</v>
      </c>
      <c r="O152" s="17">
        <f t="shared" si="144"/>
        <v>371.91503322520009</v>
      </c>
      <c r="P152" s="17">
        <f t="shared" si="144"/>
        <v>371.91503322520009</v>
      </c>
      <c r="Q152" s="17">
        <f t="shared" si="144"/>
        <v>371.24394104824006</v>
      </c>
      <c r="R152" s="17">
        <f t="shared" si="144"/>
        <v>371.01548595976004</v>
      </c>
      <c r="S152" s="17">
        <f t="shared" si="144"/>
        <v>370.73276857552008</v>
      </c>
      <c r="T152" s="17">
        <f t="shared" si="144"/>
        <v>369.48365058424008</v>
      </c>
      <c r="U152" s="17">
        <f t="shared" si="144"/>
        <v>369.48365058424008</v>
      </c>
      <c r="V152" s="17">
        <f t="shared" si="144"/>
        <v>367.16477060848007</v>
      </c>
      <c r="W152" s="17">
        <f t="shared" si="144"/>
        <v>367.16477060848007</v>
      </c>
      <c r="X152" s="17">
        <f t="shared" si="144"/>
        <v>366.57477059247998</v>
      </c>
      <c r="Y152" s="17">
        <f t="shared" si="144"/>
        <v>358.76140552096007</v>
      </c>
      <c r="Z152" s="17">
        <f t="shared" si="144"/>
        <v>357.44490872824002</v>
      </c>
      <c r="AA152" s="17">
        <f t="shared" si="144"/>
        <v>356.85090493672004</v>
      </c>
      <c r="AB152" s="17">
        <f t="shared" si="144"/>
        <v>356.85090493672004</v>
      </c>
      <c r="AC152" s="17">
        <f t="shared" si="144"/>
        <v>355.97532892072002</v>
      </c>
      <c r="AD152" s="17">
        <f t="shared" si="144"/>
        <v>355.32135988072008</v>
      </c>
      <c r="AE152" s="17">
        <f t="shared" si="144"/>
        <v>355.32135988072008</v>
      </c>
      <c r="AF152" s="17">
        <f t="shared" si="144"/>
        <v>355.32135988072008</v>
      </c>
      <c r="AG152" s="17">
        <f t="shared" si="144"/>
        <v>355.32135988072008</v>
      </c>
      <c r="AH152" s="17">
        <f t="shared" si="144"/>
        <v>355.32135988072008</v>
      </c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</row>
    <row r="153" spans="1:82">
      <c r="A153" s="1"/>
      <c r="B153" s="118" t="s">
        <v>88</v>
      </c>
      <c r="C153" s="17">
        <f t="shared" ref="C153:AH153" si="145">C115*$AL$115/10^(12)</f>
        <v>413.67399066000007</v>
      </c>
      <c r="D153" s="17">
        <f t="shared" si="145"/>
        <v>450.95782410000021</v>
      </c>
      <c r="E153" s="17">
        <f t="shared" si="145"/>
        <v>527.57825055642024</v>
      </c>
      <c r="F153" s="17">
        <f t="shared" si="145"/>
        <v>593.93085207750039</v>
      </c>
      <c r="G153" s="17">
        <f t="shared" si="145"/>
        <v>676.72417188852012</v>
      </c>
      <c r="H153" s="17">
        <f t="shared" si="145"/>
        <v>719.04643592922025</v>
      </c>
      <c r="I153" s="17">
        <f t="shared" si="145"/>
        <v>747.21895333344048</v>
      </c>
      <c r="J153" s="17">
        <f t="shared" si="145"/>
        <v>752.96767916412023</v>
      </c>
      <c r="K153" s="17">
        <f t="shared" si="145"/>
        <v>750.39093985464024</v>
      </c>
      <c r="L153" s="17">
        <f t="shared" si="145"/>
        <v>748.82616882822026</v>
      </c>
      <c r="M153" s="17">
        <f t="shared" si="145"/>
        <v>745.6519976194802</v>
      </c>
      <c r="N153" s="17">
        <f t="shared" si="145"/>
        <v>744.77892345948021</v>
      </c>
      <c r="O153" s="17">
        <f t="shared" si="145"/>
        <v>743.5206903159002</v>
      </c>
      <c r="P153" s="17">
        <f t="shared" si="145"/>
        <v>741.55047871590023</v>
      </c>
      <c r="Q153" s="17">
        <f t="shared" si="145"/>
        <v>741.07724934222028</v>
      </c>
      <c r="R153" s="17">
        <f t="shared" si="145"/>
        <v>739.49722076538023</v>
      </c>
      <c r="S153" s="17">
        <f t="shared" si="145"/>
        <v>734.4051915009602</v>
      </c>
      <c r="T153" s="17">
        <f t="shared" si="145"/>
        <v>733.05771936138024</v>
      </c>
      <c r="U153" s="17">
        <f t="shared" si="145"/>
        <v>733.05771936138024</v>
      </c>
      <c r="V153" s="17">
        <f t="shared" si="145"/>
        <v>728.2658499026403</v>
      </c>
      <c r="W153" s="17">
        <f t="shared" si="145"/>
        <v>727.31551254264025</v>
      </c>
      <c r="X153" s="17">
        <f t="shared" si="145"/>
        <v>727.31551254264025</v>
      </c>
      <c r="Y153" s="17">
        <f t="shared" si="145"/>
        <v>726.88670178264022</v>
      </c>
      <c r="Z153" s="17">
        <f t="shared" si="145"/>
        <v>724.18056013422029</v>
      </c>
      <c r="AA153" s="17">
        <f t="shared" si="145"/>
        <v>717.50501965422029</v>
      </c>
      <c r="AB153" s="17">
        <f t="shared" si="145"/>
        <v>717.50501965422029</v>
      </c>
      <c r="AC153" s="17">
        <f t="shared" si="145"/>
        <v>716.04087815106027</v>
      </c>
      <c r="AD153" s="17">
        <f t="shared" si="145"/>
        <v>714.25995752790027</v>
      </c>
      <c r="AE153" s="17">
        <f t="shared" si="145"/>
        <v>711.6140831070602</v>
      </c>
      <c r="AF153" s="17">
        <f t="shared" si="145"/>
        <v>711.6140831070602</v>
      </c>
      <c r="AG153" s="17">
        <f t="shared" si="145"/>
        <v>711.6140831070602</v>
      </c>
      <c r="AH153" s="17">
        <f t="shared" si="145"/>
        <v>711.60172099506042</v>
      </c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</row>
    <row r="154" spans="1:82">
      <c r="A154" s="1"/>
      <c r="B154" s="118" t="s">
        <v>97</v>
      </c>
      <c r="C154" s="17">
        <f>C116*$AL$116/10^(12)</f>
        <v>20.868876315000001</v>
      </c>
      <c r="D154" s="17">
        <f t="shared" ref="D154:AH154" si="146">D116*$AL$116/10^(12)</f>
        <v>29.839148681706032</v>
      </c>
      <c r="E154" s="17">
        <f t="shared" si="146"/>
        <v>50.70802499670603</v>
      </c>
      <c r="F154" s="17">
        <f t="shared" si="146"/>
        <v>67.774624193472917</v>
      </c>
      <c r="G154" s="17">
        <f t="shared" si="146"/>
        <v>87.829848951049811</v>
      </c>
      <c r="H154" s="17">
        <f t="shared" si="146"/>
        <v>99.231612458869861</v>
      </c>
      <c r="I154" s="17">
        <f t="shared" si="146"/>
        <v>106.72920668892394</v>
      </c>
      <c r="J154" s="17">
        <f t="shared" si="146"/>
        <v>109.66616904494417</v>
      </c>
      <c r="K154" s="17">
        <f t="shared" si="146"/>
        <v>109.66616904494417</v>
      </c>
      <c r="L154" s="17">
        <f t="shared" si="146"/>
        <v>109.66616904494417</v>
      </c>
      <c r="M154" s="17">
        <f t="shared" si="146"/>
        <v>109.66616904494417</v>
      </c>
      <c r="N154" s="17">
        <f t="shared" si="146"/>
        <v>109.66616904494417</v>
      </c>
      <c r="O154" s="17">
        <f t="shared" si="146"/>
        <v>109.66616904494417</v>
      </c>
      <c r="P154" s="17">
        <f t="shared" si="146"/>
        <v>109.66616904494417</v>
      </c>
      <c r="Q154" s="17">
        <f t="shared" si="146"/>
        <v>109.66616904494417</v>
      </c>
      <c r="R154" s="17">
        <f t="shared" si="146"/>
        <v>109.66616904494417</v>
      </c>
      <c r="S154" s="17">
        <f t="shared" si="146"/>
        <v>109.66616904494417</v>
      </c>
      <c r="T154" s="17">
        <f t="shared" si="146"/>
        <v>109.66616904494417</v>
      </c>
      <c r="U154" s="17">
        <f t="shared" si="146"/>
        <v>109.66616904494417</v>
      </c>
      <c r="V154" s="17">
        <f t="shared" si="146"/>
        <v>109.66616904494417</v>
      </c>
      <c r="W154" s="17">
        <f t="shared" si="146"/>
        <v>109.66616904494417</v>
      </c>
      <c r="X154" s="17">
        <f t="shared" si="146"/>
        <v>109.66616904494417</v>
      </c>
      <c r="Y154" s="17">
        <f t="shared" si="146"/>
        <v>109.66616904494417</v>
      </c>
      <c r="Z154" s="17">
        <f t="shared" si="146"/>
        <v>109.66616904494417</v>
      </c>
      <c r="AA154" s="17">
        <f t="shared" si="146"/>
        <v>109.66616904494417</v>
      </c>
      <c r="AB154" s="17">
        <f t="shared" si="146"/>
        <v>109.66616904494417</v>
      </c>
      <c r="AC154" s="17">
        <f t="shared" si="146"/>
        <v>109.66616904494417</v>
      </c>
      <c r="AD154" s="17">
        <f t="shared" si="146"/>
        <v>109.66616904494417</v>
      </c>
      <c r="AE154" s="17">
        <f t="shared" si="146"/>
        <v>109.66616904494417</v>
      </c>
      <c r="AF154" s="17">
        <f t="shared" si="146"/>
        <v>109.66616904494417</v>
      </c>
      <c r="AG154" s="17">
        <f t="shared" si="146"/>
        <v>109.66616904494417</v>
      </c>
      <c r="AH154" s="17">
        <f t="shared" si="146"/>
        <v>109.66616904494417</v>
      </c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</row>
    <row r="155" spans="1:82">
      <c r="A155" s="1"/>
      <c r="B155" s="118" t="s">
        <v>98</v>
      </c>
      <c r="C155" s="17">
        <f>C117*$AL$117/10^(12)</f>
        <v>3.4746384600000004</v>
      </c>
      <c r="D155" s="17">
        <f t="shared" ref="D155:AH155" si="147">D117*$AL$117/10^(12)</f>
        <v>3.47457276</v>
      </c>
      <c r="E155" s="17">
        <f t="shared" si="147"/>
        <v>4.4981010000000001</v>
      </c>
      <c r="F155" s="17">
        <f t="shared" si="147"/>
        <v>4.4967935700000004</v>
      </c>
      <c r="G155" s="17">
        <f t="shared" si="147"/>
        <v>4.4963665199999996</v>
      </c>
      <c r="H155" s="17">
        <f t="shared" si="147"/>
        <v>7.2896909040000004</v>
      </c>
      <c r="I155" s="17">
        <f t="shared" si="147"/>
        <v>11.7605275884</v>
      </c>
      <c r="J155" s="17">
        <f t="shared" si="147"/>
        <v>16.260396188400001</v>
      </c>
      <c r="K155" s="17">
        <f t="shared" si="147"/>
        <v>19.572713639999982</v>
      </c>
      <c r="L155" s="17">
        <f t="shared" si="147"/>
        <v>22.341526788599996</v>
      </c>
      <c r="M155" s="17">
        <f t="shared" si="147"/>
        <v>24.932955738599997</v>
      </c>
      <c r="N155" s="17">
        <f t="shared" si="147"/>
        <v>27.515491905600005</v>
      </c>
      <c r="O155" s="17">
        <f t="shared" si="147"/>
        <v>30.109639082400026</v>
      </c>
      <c r="P155" s="17">
        <f t="shared" si="147"/>
        <v>34.048947569400028</v>
      </c>
      <c r="Q155" s="17">
        <f t="shared" si="147"/>
        <v>35.378854322400009</v>
      </c>
      <c r="R155" s="17">
        <f t="shared" si="147"/>
        <v>37.903664249999991</v>
      </c>
      <c r="S155" s="17">
        <f t="shared" si="147"/>
        <v>39.61655145000001</v>
      </c>
      <c r="T155" s="17">
        <f t="shared" si="147"/>
        <v>40.984541695800004</v>
      </c>
      <c r="U155" s="17">
        <f t="shared" si="147"/>
        <v>42.558918944400006</v>
      </c>
      <c r="V155" s="17">
        <f t="shared" si="147"/>
        <v>44.295463665000014</v>
      </c>
      <c r="W155" s="17">
        <f t="shared" si="147"/>
        <v>45.452816078400012</v>
      </c>
      <c r="X155" s="17">
        <f t="shared" si="147"/>
        <v>46.527417136800025</v>
      </c>
      <c r="Y155" s="17">
        <f t="shared" si="147"/>
        <v>48.598367349600011</v>
      </c>
      <c r="Z155" s="17">
        <f t="shared" si="147"/>
        <v>49.948506201600026</v>
      </c>
      <c r="AA155" s="17">
        <f t="shared" si="147"/>
        <v>51.851806624799998</v>
      </c>
      <c r="AB155" s="17">
        <f t="shared" si="147"/>
        <v>52.786918954799987</v>
      </c>
      <c r="AC155" s="17">
        <f t="shared" si="147"/>
        <v>53.908909565400016</v>
      </c>
      <c r="AD155" s="17">
        <f t="shared" si="147"/>
        <v>55.025510450399992</v>
      </c>
      <c r="AE155" s="17">
        <f t="shared" si="147"/>
        <v>56.177611725600002</v>
      </c>
      <c r="AF155" s="17">
        <f t="shared" si="147"/>
        <v>57.024459885599995</v>
      </c>
      <c r="AG155" s="17">
        <f t="shared" si="147"/>
        <v>57.850719645599995</v>
      </c>
      <c r="AH155" s="17">
        <f t="shared" si="147"/>
        <v>58.658269262400005</v>
      </c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</row>
    <row r="156" spans="1:82">
      <c r="A156" s="1"/>
      <c r="B156" s="118" t="s">
        <v>99</v>
      </c>
      <c r="C156" s="17">
        <f t="shared" ref="C156:AH156" si="148">C118*$AL$118/10^(12)</f>
        <v>8.3758135999999997E-2</v>
      </c>
      <c r="D156" s="17">
        <f t="shared" si="148"/>
        <v>8.3726016E-2</v>
      </c>
      <c r="E156" s="17">
        <f t="shared" si="148"/>
        <v>8.3700320000000009E-2</v>
      </c>
      <c r="F156" s="17">
        <f t="shared" si="148"/>
        <v>8.3061131999999996E-2</v>
      </c>
      <c r="G156" s="17">
        <f t="shared" si="148"/>
        <v>8.2852352000000004E-2</v>
      </c>
      <c r="H156" s="17">
        <f t="shared" si="148"/>
        <v>8.2338432000000003E-2</v>
      </c>
      <c r="I156" s="17">
        <f t="shared" si="148"/>
        <v>8.2258131999999998E-2</v>
      </c>
      <c r="J156" s="17">
        <f t="shared" si="148"/>
        <v>8.2193892000000005E-2</v>
      </c>
      <c r="K156" s="17">
        <f t="shared" si="148"/>
        <v>8.2193892000000005E-2</v>
      </c>
      <c r="L156" s="17">
        <f t="shared" si="148"/>
        <v>8.2193892000000005E-2</v>
      </c>
      <c r="M156" s="17">
        <f t="shared" si="148"/>
        <v>7.9784891999999996E-2</v>
      </c>
      <c r="N156" s="17">
        <f t="shared" si="148"/>
        <v>7.9784891999999996E-2</v>
      </c>
      <c r="O156" s="17">
        <f t="shared" si="148"/>
        <v>7.9784891999999996E-2</v>
      </c>
      <c r="P156" s="17">
        <f t="shared" si="148"/>
        <v>7.9784891999999996E-2</v>
      </c>
      <c r="Q156" s="17">
        <f t="shared" si="148"/>
        <v>7.9784891999999996E-2</v>
      </c>
      <c r="R156" s="17">
        <f t="shared" si="148"/>
        <v>7.9784891999999996E-2</v>
      </c>
      <c r="S156" s="17">
        <f t="shared" si="148"/>
        <v>7.9784891999999996E-2</v>
      </c>
      <c r="T156" s="17">
        <f t="shared" si="148"/>
        <v>7.9784891999999996E-2</v>
      </c>
      <c r="U156" s="17">
        <f t="shared" si="148"/>
        <v>7.9784891999999996E-2</v>
      </c>
      <c r="V156" s="17">
        <f t="shared" si="148"/>
        <v>7.9784891999999996E-2</v>
      </c>
      <c r="W156" s="17">
        <f t="shared" si="148"/>
        <v>7.9784891999999996E-2</v>
      </c>
      <c r="X156" s="17">
        <f t="shared" si="148"/>
        <v>7.9784891999999996E-2</v>
      </c>
      <c r="Y156" s="17">
        <f t="shared" si="148"/>
        <v>7.9784891999999996E-2</v>
      </c>
      <c r="Z156" s="17">
        <f t="shared" si="148"/>
        <v>7.9784891999999996E-2</v>
      </c>
      <c r="AA156" s="17">
        <f t="shared" si="148"/>
        <v>7.9784891999999996E-2</v>
      </c>
      <c r="AB156" s="17">
        <f t="shared" si="148"/>
        <v>7.9784891999999996E-2</v>
      </c>
      <c r="AC156" s="17">
        <f t="shared" si="148"/>
        <v>7.9784891999999996E-2</v>
      </c>
      <c r="AD156" s="17">
        <f t="shared" si="148"/>
        <v>7.9784891999999996E-2</v>
      </c>
      <c r="AE156" s="17">
        <f t="shared" si="148"/>
        <v>7.8403732000000004E-2</v>
      </c>
      <c r="AF156" s="17">
        <f t="shared" si="148"/>
        <v>7.8403732000000004E-2</v>
      </c>
      <c r="AG156" s="17">
        <f t="shared" si="148"/>
        <v>7.8403732000000004E-2</v>
      </c>
      <c r="AH156" s="17">
        <f t="shared" si="148"/>
        <v>7.8403732000000004E-2</v>
      </c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</row>
    <row r="157" spans="1:82">
      <c r="A157" s="1"/>
      <c r="B157" s="118" t="s">
        <v>100</v>
      </c>
      <c r="C157" s="17">
        <f t="shared" ref="C157:AH157" si="149">C119*$AL$119/10^(12)</f>
        <v>3.397968068</v>
      </c>
      <c r="D157" s="17">
        <f t="shared" si="149"/>
        <v>3.3979520079999994</v>
      </c>
      <c r="E157" s="17">
        <f t="shared" si="149"/>
        <v>3.4150320006000001</v>
      </c>
      <c r="F157" s="17">
        <f t="shared" si="149"/>
        <v>3.4147124066000005</v>
      </c>
      <c r="G157" s="17">
        <f t="shared" si="149"/>
        <v>3.4146080165999999</v>
      </c>
      <c r="H157" s="17">
        <f t="shared" si="149"/>
        <v>3.4143510566000006</v>
      </c>
      <c r="I157" s="17">
        <f t="shared" si="149"/>
        <v>3.4143109065999999</v>
      </c>
      <c r="J157" s="17">
        <f t="shared" si="149"/>
        <v>3.4142787866000006</v>
      </c>
      <c r="K157" s="17">
        <f t="shared" si="149"/>
        <v>3.4142787866000006</v>
      </c>
      <c r="L157" s="17">
        <f t="shared" si="149"/>
        <v>3.4142787866000006</v>
      </c>
      <c r="M157" s="17">
        <f t="shared" si="149"/>
        <v>3.4130742866000001</v>
      </c>
      <c r="N157" s="17">
        <f t="shared" si="149"/>
        <v>3.4130742866000001</v>
      </c>
      <c r="O157" s="17">
        <f t="shared" si="149"/>
        <v>3.4130742866000001</v>
      </c>
      <c r="P157" s="17">
        <f t="shared" si="149"/>
        <v>3.4130742866000001</v>
      </c>
      <c r="Q157" s="17">
        <f t="shared" si="149"/>
        <v>3.4130742866000001</v>
      </c>
      <c r="R157" s="17">
        <f t="shared" si="149"/>
        <v>3.4130742866000001</v>
      </c>
      <c r="S157" s="17">
        <f t="shared" si="149"/>
        <v>3.4130742866000001</v>
      </c>
      <c r="T157" s="17">
        <f t="shared" si="149"/>
        <v>3.4130742866000001</v>
      </c>
      <c r="U157" s="17">
        <f t="shared" si="149"/>
        <v>3.4130742866000001</v>
      </c>
      <c r="V157" s="17">
        <f t="shared" si="149"/>
        <v>3.4130742866000001</v>
      </c>
      <c r="W157" s="17">
        <f t="shared" si="149"/>
        <v>3.4130742866000001</v>
      </c>
      <c r="X157" s="17">
        <f t="shared" si="149"/>
        <v>3.4130742866000001</v>
      </c>
      <c r="Y157" s="17">
        <f t="shared" si="149"/>
        <v>3.4130742866000001</v>
      </c>
      <c r="Z157" s="17">
        <f t="shared" si="149"/>
        <v>3.4130742866000001</v>
      </c>
      <c r="AA157" s="17">
        <f t="shared" si="149"/>
        <v>3.4130742866000001</v>
      </c>
      <c r="AB157" s="17">
        <f t="shared" si="149"/>
        <v>3.4130742866000001</v>
      </c>
      <c r="AC157" s="17">
        <f t="shared" si="149"/>
        <v>3.4130742866000001</v>
      </c>
      <c r="AD157" s="17">
        <f t="shared" si="149"/>
        <v>3.4130742866000001</v>
      </c>
      <c r="AE157" s="17">
        <f t="shared" si="149"/>
        <v>3.4123837066000005</v>
      </c>
      <c r="AF157" s="17">
        <f t="shared" si="149"/>
        <v>3.4123837066000005</v>
      </c>
      <c r="AG157" s="17">
        <f t="shared" si="149"/>
        <v>3.4123837066000005</v>
      </c>
      <c r="AH157" s="17">
        <f t="shared" si="149"/>
        <v>3.4123837066000005</v>
      </c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</row>
    <row r="158" spans="1:82">
      <c r="A158" s="1"/>
      <c r="B158" s="118" t="s">
        <v>101</v>
      </c>
      <c r="C158" s="17">
        <f t="shared" ref="C158:AH158" si="150">C120*$AL$120/10^(12)</f>
        <v>0</v>
      </c>
      <c r="D158" s="17">
        <f t="shared" si="150"/>
        <v>0</v>
      </c>
      <c r="E158" s="17">
        <f t="shared" si="150"/>
        <v>0</v>
      </c>
      <c r="F158" s="17">
        <f t="shared" si="150"/>
        <v>0</v>
      </c>
      <c r="G158" s="17">
        <f t="shared" si="150"/>
        <v>0</v>
      </c>
      <c r="H158" s="17">
        <f t="shared" si="150"/>
        <v>0</v>
      </c>
      <c r="I158" s="17">
        <f t="shared" si="150"/>
        <v>0</v>
      </c>
      <c r="J158" s="17">
        <f t="shared" si="150"/>
        <v>0</v>
      </c>
      <c r="K158" s="17">
        <f t="shared" si="150"/>
        <v>0</v>
      </c>
      <c r="L158" s="17">
        <f t="shared" si="150"/>
        <v>0</v>
      </c>
      <c r="M158" s="17">
        <f t="shared" si="150"/>
        <v>0</v>
      </c>
      <c r="N158" s="17">
        <f t="shared" si="150"/>
        <v>0</v>
      </c>
      <c r="O158" s="17">
        <f t="shared" si="150"/>
        <v>0</v>
      </c>
      <c r="P158" s="17">
        <f t="shared" si="150"/>
        <v>0</v>
      </c>
      <c r="Q158" s="17">
        <f t="shared" si="150"/>
        <v>0</v>
      </c>
      <c r="R158" s="17">
        <f t="shared" si="150"/>
        <v>0</v>
      </c>
      <c r="S158" s="17">
        <f t="shared" si="150"/>
        <v>0</v>
      </c>
      <c r="T158" s="17">
        <f t="shared" si="150"/>
        <v>0</v>
      </c>
      <c r="U158" s="17">
        <f t="shared" si="150"/>
        <v>0</v>
      </c>
      <c r="V158" s="17">
        <f t="shared" si="150"/>
        <v>0</v>
      </c>
      <c r="W158" s="17">
        <f t="shared" si="150"/>
        <v>0</v>
      </c>
      <c r="X158" s="17">
        <f t="shared" si="150"/>
        <v>0</v>
      </c>
      <c r="Y158" s="17">
        <f t="shared" si="150"/>
        <v>0</v>
      </c>
      <c r="Z158" s="17">
        <f t="shared" si="150"/>
        <v>0</v>
      </c>
      <c r="AA158" s="17">
        <f t="shared" si="150"/>
        <v>0</v>
      </c>
      <c r="AB158" s="17">
        <f t="shared" si="150"/>
        <v>0</v>
      </c>
      <c r="AC158" s="17">
        <f t="shared" si="150"/>
        <v>0</v>
      </c>
      <c r="AD158" s="17">
        <f t="shared" si="150"/>
        <v>0</v>
      </c>
      <c r="AE158" s="17">
        <f t="shared" si="150"/>
        <v>0</v>
      </c>
      <c r="AF158" s="17">
        <f t="shared" si="150"/>
        <v>0</v>
      </c>
      <c r="AG158" s="17">
        <f t="shared" si="150"/>
        <v>0</v>
      </c>
      <c r="AH158" s="17">
        <f t="shared" si="150"/>
        <v>0</v>
      </c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</row>
    <row r="159" spans="1:82">
      <c r="A159" s="1"/>
      <c r="B159" s="118" t="s">
        <v>5</v>
      </c>
      <c r="C159" s="17">
        <f t="shared" ref="C159:AH159" si="151">C121*$AL$121/10^(12)</f>
        <v>56.18789799999999</v>
      </c>
      <c r="D159" s="17">
        <f t="shared" si="151"/>
        <v>55.109226639999996</v>
      </c>
      <c r="E159" s="17">
        <f t="shared" si="151"/>
        <v>51.999904059999992</v>
      </c>
      <c r="F159" s="17">
        <f t="shared" si="151"/>
        <v>49.972383401199991</v>
      </c>
      <c r="G159" s="17">
        <f t="shared" si="151"/>
        <v>48.046389039999994</v>
      </c>
      <c r="H159" s="17">
        <f t="shared" si="151"/>
        <v>48.046389039999994</v>
      </c>
      <c r="I159" s="17">
        <f t="shared" si="151"/>
        <v>46.210983941199991</v>
      </c>
      <c r="J159" s="17">
        <f t="shared" si="151"/>
        <v>45.574394741199995</v>
      </c>
      <c r="K159" s="17">
        <f t="shared" si="151"/>
        <v>45.574394741199995</v>
      </c>
      <c r="L159" s="17">
        <f t="shared" si="151"/>
        <v>45.574394741199995</v>
      </c>
      <c r="M159" s="17">
        <f t="shared" si="151"/>
        <v>45.574394741199995</v>
      </c>
      <c r="N159" s="17">
        <f t="shared" si="151"/>
        <v>45.574394741199995</v>
      </c>
      <c r="O159" s="17">
        <f t="shared" si="151"/>
        <v>45.574394741199995</v>
      </c>
      <c r="P159" s="17">
        <f t="shared" si="151"/>
        <v>44.7584451106</v>
      </c>
      <c r="Q159" s="17">
        <f t="shared" si="151"/>
        <v>44.7584451106</v>
      </c>
      <c r="R159" s="17">
        <f t="shared" si="151"/>
        <v>44.7584451106</v>
      </c>
      <c r="S159" s="17">
        <f t="shared" si="151"/>
        <v>44.7584451106</v>
      </c>
      <c r="T159" s="17">
        <f t="shared" si="151"/>
        <v>44.7584451106</v>
      </c>
      <c r="U159" s="17">
        <f t="shared" si="151"/>
        <v>44.7584451106</v>
      </c>
      <c r="V159" s="17">
        <f t="shared" si="151"/>
        <v>44.7584451106</v>
      </c>
      <c r="W159" s="17">
        <f t="shared" si="151"/>
        <v>44.7584451106</v>
      </c>
      <c r="X159" s="17">
        <f t="shared" si="151"/>
        <v>44.7584451106</v>
      </c>
      <c r="Y159" s="17">
        <f t="shared" si="151"/>
        <v>44.7584451106</v>
      </c>
      <c r="Z159" s="17">
        <f t="shared" si="151"/>
        <v>44.7584451106</v>
      </c>
      <c r="AA159" s="17">
        <f t="shared" si="151"/>
        <v>44.7584451106</v>
      </c>
      <c r="AB159" s="17">
        <f t="shared" si="151"/>
        <v>44.7584451106</v>
      </c>
      <c r="AC159" s="17">
        <f t="shared" si="151"/>
        <v>44.7584451106</v>
      </c>
      <c r="AD159" s="17">
        <f t="shared" si="151"/>
        <v>44.7584451106</v>
      </c>
      <c r="AE159" s="17">
        <f t="shared" si="151"/>
        <v>44.7584451106</v>
      </c>
      <c r="AF159" s="17">
        <f t="shared" si="151"/>
        <v>44.7584451106</v>
      </c>
      <c r="AG159" s="17">
        <f t="shared" si="151"/>
        <v>44.7584451106</v>
      </c>
      <c r="AH159" s="17">
        <f t="shared" si="151"/>
        <v>44.7584451106</v>
      </c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</row>
    <row r="160" spans="1:82">
      <c r="A160" s="1"/>
      <c r="B160" s="118" t="s">
        <v>102</v>
      </c>
      <c r="C160" s="17">
        <f t="shared" ref="C160:AH160" si="152">C122*$AL$122/10^(12)</f>
        <v>0.74961183600000003</v>
      </c>
      <c r="D160" s="17">
        <f t="shared" si="152"/>
        <v>0.74954321599999996</v>
      </c>
      <c r="E160" s="17">
        <f t="shared" si="152"/>
        <v>0.74948831999999999</v>
      </c>
      <c r="F160" s="17">
        <f t="shared" si="152"/>
        <v>0.74812278200000004</v>
      </c>
      <c r="G160" s="17">
        <f t="shared" si="152"/>
        <v>0.74767675199999994</v>
      </c>
      <c r="H160" s="17">
        <f t="shared" si="152"/>
        <v>0.74657883199999997</v>
      </c>
      <c r="I160" s="17">
        <f t="shared" si="152"/>
        <v>0.74640728199999995</v>
      </c>
      <c r="J160" s="17">
        <f t="shared" si="152"/>
        <v>0.74627004200000002</v>
      </c>
      <c r="K160" s="17">
        <f t="shared" si="152"/>
        <v>0.74627004200000002</v>
      </c>
      <c r="L160" s="17">
        <f t="shared" si="152"/>
        <v>0.74627004200000002</v>
      </c>
      <c r="M160" s="17">
        <f t="shared" si="152"/>
        <v>0.74112354199999997</v>
      </c>
      <c r="N160" s="17">
        <f t="shared" si="152"/>
        <v>0.74112354199999997</v>
      </c>
      <c r="O160" s="17">
        <f t="shared" si="152"/>
        <v>0.74112354199999997</v>
      </c>
      <c r="P160" s="17">
        <f t="shared" si="152"/>
        <v>0.74112354199999997</v>
      </c>
      <c r="Q160" s="17">
        <f t="shared" si="152"/>
        <v>0.74112354199999997</v>
      </c>
      <c r="R160" s="17">
        <f t="shared" si="152"/>
        <v>0.74112354199999997</v>
      </c>
      <c r="S160" s="17">
        <f t="shared" si="152"/>
        <v>0.74112354199999997</v>
      </c>
      <c r="T160" s="17">
        <f t="shared" si="152"/>
        <v>0.74112354199999997</v>
      </c>
      <c r="U160" s="17">
        <f t="shared" si="152"/>
        <v>0.74112354199999997</v>
      </c>
      <c r="V160" s="17">
        <f t="shared" si="152"/>
        <v>0.74112354199999997</v>
      </c>
      <c r="W160" s="17">
        <f t="shared" si="152"/>
        <v>0.74112354199999997</v>
      </c>
      <c r="X160" s="17">
        <f t="shared" si="152"/>
        <v>0.74112354199999997</v>
      </c>
      <c r="Y160" s="17">
        <f t="shared" si="152"/>
        <v>0.74112354199999997</v>
      </c>
      <c r="Z160" s="17">
        <f t="shared" si="152"/>
        <v>0.74112354199999997</v>
      </c>
      <c r="AA160" s="17">
        <f t="shared" si="152"/>
        <v>0.74112354199999997</v>
      </c>
      <c r="AB160" s="17">
        <f t="shared" si="152"/>
        <v>0.74112354199999997</v>
      </c>
      <c r="AC160" s="17">
        <f t="shared" si="152"/>
        <v>0.74112354199999997</v>
      </c>
      <c r="AD160" s="17">
        <f t="shared" si="152"/>
        <v>0.74112354199999997</v>
      </c>
      <c r="AE160" s="17">
        <f t="shared" si="152"/>
        <v>0.73817288199999997</v>
      </c>
      <c r="AF160" s="17">
        <f t="shared" si="152"/>
        <v>0.73817288199999997</v>
      </c>
      <c r="AG160" s="17">
        <f t="shared" si="152"/>
        <v>0.73817288199999997</v>
      </c>
      <c r="AH160" s="17">
        <f t="shared" si="152"/>
        <v>0.73817288199999997</v>
      </c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</row>
    <row r="161" spans="1:82">
      <c r="A161" s="1"/>
      <c r="B161" s="118" t="s">
        <v>7</v>
      </c>
      <c r="C161" s="17">
        <f t="shared" ref="C161:AH161" si="153">C123*$AL$123/10^(12)</f>
        <v>28.134807708</v>
      </c>
      <c r="D161" s="17">
        <f t="shared" si="153"/>
        <v>28.134382847999998</v>
      </c>
      <c r="E161" s="17">
        <f t="shared" si="153"/>
        <v>28.134042959999995</v>
      </c>
      <c r="F161" s="17">
        <f t="shared" si="153"/>
        <v>28.125588245999996</v>
      </c>
      <c r="G161" s="17">
        <f t="shared" si="153"/>
        <v>28.122826655999997</v>
      </c>
      <c r="H161" s="17">
        <f t="shared" si="153"/>
        <v>28.116028895999996</v>
      </c>
      <c r="I161" s="17">
        <f t="shared" si="153"/>
        <v>28.114966746</v>
      </c>
      <c r="J161" s="17">
        <f t="shared" si="153"/>
        <v>28.114117025999995</v>
      </c>
      <c r="K161" s="17">
        <f t="shared" si="153"/>
        <v>28.114117025999995</v>
      </c>
      <c r="L161" s="17">
        <f t="shared" si="153"/>
        <v>28.114117025999995</v>
      </c>
      <c r="M161" s="17">
        <f t="shared" si="153"/>
        <v>28.082252526000001</v>
      </c>
      <c r="N161" s="17">
        <f t="shared" si="153"/>
        <v>28.082252526000001</v>
      </c>
      <c r="O161" s="17">
        <f t="shared" si="153"/>
        <v>28.082252526000001</v>
      </c>
      <c r="P161" s="17">
        <f t="shared" si="153"/>
        <v>28.082252526000001</v>
      </c>
      <c r="Q161" s="17">
        <f t="shared" si="153"/>
        <v>28.082252526000001</v>
      </c>
      <c r="R161" s="17">
        <f t="shared" si="153"/>
        <v>28.082252526000001</v>
      </c>
      <c r="S161" s="17">
        <f t="shared" si="153"/>
        <v>28.082252526000001</v>
      </c>
      <c r="T161" s="17">
        <f t="shared" si="153"/>
        <v>28.082252526000001</v>
      </c>
      <c r="U161" s="17">
        <f t="shared" si="153"/>
        <v>28.082252526000001</v>
      </c>
      <c r="V161" s="17">
        <f t="shared" si="153"/>
        <v>28.082252526000001</v>
      </c>
      <c r="W161" s="17">
        <f t="shared" si="153"/>
        <v>28.082252526000001</v>
      </c>
      <c r="X161" s="17">
        <f t="shared" si="153"/>
        <v>28.082252526000001</v>
      </c>
      <c r="Y161" s="17">
        <f t="shared" si="153"/>
        <v>28.082252526000001</v>
      </c>
      <c r="Z161" s="17">
        <f t="shared" si="153"/>
        <v>28.082252526000001</v>
      </c>
      <c r="AA161" s="17">
        <f t="shared" si="153"/>
        <v>28.082252526000001</v>
      </c>
      <c r="AB161" s="17">
        <f t="shared" si="153"/>
        <v>28.082252526000001</v>
      </c>
      <c r="AC161" s="17">
        <f t="shared" si="153"/>
        <v>28.082252526000001</v>
      </c>
      <c r="AD161" s="17">
        <f t="shared" si="153"/>
        <v>28.082252526000001</v>
      </c>
      <c r="AE161" s="17">
        <f t="shared" si="153"/>
        <v>28.063983545999996</v>
      </c>
      <c r="AF161" s="17">
        <f t="shared" si="153"/>
        <v>28.063983545999996</v>
      </c>
      <c r="AG161" s="17">
        <f t="shared" si="153"/>
        <v>28.063983545999996</v>
      </c>
      <c r="AH161" s="17">
        <f t="shared" si="153"/>
        <v>28.063983545999996</v>
      </c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</row>
    <row r="162" spans="1:82">
      <c r="A162" s="1"/>
      <c r="B162" s="118" t="s">
        <v>103</v>
      </c>
      <c r="C162" s="17">
        <f t="shared" ref="C162:AH162" si="154">C124*$AL$124/10^(12)</f>
        <v>4.9336866319999997</v>
      </c>
      <c r="D162" s="17">
        <f t="shared" si="154"/>
        <v>4.9336661919999996</v>
      </c>
      <c r="E162" s="17">
        <f t="shared" si="154"/>
        <v>4.9336498400000002</v>
      </c>
      <c r="F162" s="17">
        <f t="shared" si="154"/>
        <v>4.9332430839999999</v>
      </c>
      <c r="G162" s="17">
        <f t="shared" si="154"/>
        <v>4.933110224</v>
      </c>
      <c r="H162" s="17">
        <f t="shared" si="154"/>
        <v>4.9327831839999998</v>
      </c>
      <c r="I162" s="17">
        <f t="shared" si="154"/>
        <v>4.9327320839999986</v>
      </c>
      <c r="J162" s="17">
        <f t="shared" si="154"/>
        <v>4.9326912040000002</v>
      </c>
      <c r="K162" s="17">
        <f t="shared" si="154"/>
        <v>4.9326912040000002</v>
      </c>
      <c r="L162" s="17">
        <f t="shared" si="154"/>
        <v>4.9326912040000002</v>
      </c>
      <c r="M162" s="17">
        <f t="shared" si="154"/>
        <v>4.931158203999999</v>
      </c>
      <c r="N162" s="17">
        <f t="shared" si="154"/>
        <v>4.931158203999999</v>
      </c>
      <c r="O162" s="17">
        <f t="shared" si="154"/>
        <v>4.931158203999999</v>
      </c>
      <c r="P162" s="17">
        <f t="shared" si="154"/>
        <v>4.931158203999999</v>
      </c>
      <c r="Q162" s="17">
        <f>Q124*$AL$124/10^(12)</f>
        <v>4.931158203999999</v>
      </c>
      <c r="R162" s="17">
        <f t="shared" si="154"/>
        <v>4.931158203999999</v>
      </c>
      <c r="S162" s="17">
        <f t="shared" si="154"/>
        <v>4.931158203999999</v>
      </c>
      <c r="T162" s="17">
        <f t="shared" si="154"/>
        <v>4.931158203999999</v>
      </c>
      <c r="U162" s="17">
        <f t="shared" si="154"/>
        <v>4.931158203999999</v>
      </c>
      <c r="V162" s="17">
        <f t="shared" si="154"/>
        <v>4.931158203999999</v>
      </c>
      <c r="W162" s="17">
        <f t="shared" si="154"/>
        <v>4.931158203999999</v>
      </c>
      <c r="X162" s="17">
        <f t="shared" si="154"/>
        <v>4.931158203999999</v>
      </c>
      <c r="Y162" s="17">
        <f t="shared" si="154"/>
        <v>4.931158203999999</v>
      </c>
      <c r="Z162" s="17">
        <f t="shared" si="154"/>
        <v>4.931158203999999</v>
      </c>
      <c r="AA162" s="17">
        <f t="shared" si="154"/>
        <v>4.931158203999999</v>
      </c>
      <c r="AB162" s="17">
        <f t="shared" si="154"/>
        <v>4.931158203999999</v>
      </c>
      <c r="AC162" s="17">
        <f t="shared" si="154"/>
        <v>4.931158203999999</v>
      </c>
      <c r="AD162" s="17">
        <f t="shared" si="154"/>
        <v>4.931158203999999</v>
      </c>
      <c r="AE162" s="17">
        <f t="shared" si="154"/>
        <v>4.930279284</v>
      </c>
      <c r="AF162" s="17">
        <f t="shared" si="154"/>
        <v>4.930279284</v>
      </c>
      <c r="AG162" s="17">
        <f t="shared" si="154"/>
        <v>4.930279284</v>
      </c>
      <c r="AH162" s="17">
        <f t="shared" si="154"/>
        <v>4.930279284</v>
      </c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</row>
    <row r="163" spans="1:82">
      <c r="A163" s="1"/>
      <c r="B163" s="118" t="s">
        <v>178</v>
      </c>
      <c r="C163" s="17">
        <f t="shared" ref="C163:AH163" si="155">C125*$AL$125/10^(12)</f>
        <v>0</v>
      </c>
      <c r="D163" s="17">
        <f t="shared" si="155"/>
        <v>0</v>
      </c>
      <c r="E163" s="17">
        <f t="shared" si="155"/>
        <v>0</v>
      </c>
      <c r="F163" s="17">
        <f t="shared" si="155"/>
        <v>0</v>
      </c>
      <c r="G163" s="17">
        <f t="shared" si="155"/>
        <v>0</v>
      </c>
      <c r="H163" s="17">
        <f t="shared" si="155"/>
        <v>0</v>
      </c>
      <c r="I163" s="17">
        <f t="shared" si="155"/>
        <v>0</v>
      </c>
      <c r="J163" s="17">
        <f t="shared" si="155"/>
        <v>0</v>
      </c>
      <c r="K163" s="17">
        <f t="shared" si="155"/>
        <v>0</v>
      </c>
      <c r="L163" s="17">
        <f t="shared" si="155"/>
        <v>0</v>
      </c>
      <c r="M163" s="17">
        <f t="shared" si="155"/>
        <v>0</v>
      </c>
      <c r="N163" s="17">
        <f t="shared" si="155"/>
        <v>0</v>
      </c>
      <c r="O163" s="17">
        <f t="shared" si="155"/>
        <v>0</v>
      </c>
      <c r="P163" s="17">
        <f t="shared" si="155"/>
        <v>0</v>
      </c>
      <c r="Q163" s="17">
        <f t="shared" si="155"/>
        <v>0</v>
      </c>
      <c r="R163" s="17">
        <f t="shared" si="155"/>
        <v>0</v>
      </c>
      <c r="S163" s="17">
        <f t="shared" si="155"/>
        <v>0</v>
      </c>
      <c r="T163" s="17">
        <f t="shared" si="155"/>
        <v>0</v>
      </c>
      <c r="U163" s="17">
        <f t="shared" si="155"/>
        <v>0</v>
      </c>
      <c r="V163" s="17">
        <f t="shared" si="155"/>
        <v>0</v>
      </c>
      <c r="W163" s="17">
        <f t="shared" si="155"/>
        <v>0</v>
      </c>
      <c r="X163" s="17">
        <f t="shared" si="155"/>
        <v>0</v>
      </c>
      <c r="Y163" s="17">
        <f t="shared" si="155"/>
        <v>0</v>
      </c>
      <c r="Z163" s="17">
        <f t="shared" si="155"/>
        <v>0</v>
      </c>
      <c r="AA163" s="17">
        <f t="shared" si="155"/>
        <v>0</v>
      </c>
      <c r="AB163" s="17">
        <f t="shared" si="155"/>
        <v>0</v>
      </c>
      <c r="AC163" s="17">
        <f t="shared" si="155"/>
        <v>0</v>
      </c>
      <c r="AD163" s="17">
        <f t="shared" si="155"/>
        <v>0</v>
      </c>
      <c r="AE163" s="17">
        <f t="shared" si="155"/>
        <v>0</v>
      </c>
      <c r="AF163" s="17">
        <f t="shared" si="155"/>
        <v>0</v>
      </c>
      <c r="AG163" s="17">
        <f t="shared" si="155"/>
        <v>0</v>
      </c>
      <c r="AH163" s="17">
        <f t="shared" si="155"/>
        <v>0</v>
      </c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</row>
    <row r="164" spans="1:82">
      <c r="A164" s="1"/>
      <c r="B164" s="118" t="s">
        <v>177</v>
      </c>
      <c r="C164" s="17">
        <f>C150+C151+C152+C153+C155+C156+C157+C159+C160+C161+C162</f>
        <v>2083.7186648490256</v>
      </c>
      <c r="D164" s="17">
        <f>D150+D151+D152+D153+D155+D156+D157+D159+D160+D161+D162</f>
        <v>2092.8775523530248</v>
      </c>
      <c r="E164" s="17">
        <f t="shared" ref="D164:AH164" si="156">E150+E151+E152+E153+E155+E156+E157+E159+E160+E161+E162</f>
        <v>2069.0559134302857</v>
      </c>
      <c r="F164" s="17">
        <f t="shared" si="156"/>
        <v>2054.1987326245658</v>
      </c>
      <c r="G164" s="17">
        <f t="shared" si="156"/>
        <v>2018.2753872466255</v>
      </c>
      <c r="H164" s="17">
        <f t="shared" si="156"/>
        <v>1945.5902222395657</v>
      </c>
      <c r="I164" s="17">
        <f t="shared" si="156"/>
        <v>1878.105444627146</v>
      </c>
      <c r="J164" s="17">
        <f t="shared" si="156"/>
        <v>1825.682377808866</v>
      </c>
      <c r="K164" s="17">
        <f t="shared" si="156"/>
        <v>1791.9761093194661</v>
      </c>
      <c r="L164" s="17">
        <f t="shared" si="156"/>
        <v>1769.3857635458864</v>
      </c>
      <c r="M164" s="17">
        <f t="shared" si="156"/>
        <v>1754.4331205633857</v>
      </c>
      <c r="N164" s="17">
        <f t="shared" si="156"/>
        <v>1730.4689445143856</v>
      </c>
      <c r="O164" s="17">
        <f t="shared" si="156"/>
        <v>1706.8590873323255</v>
      </c>
      <c r="P164" s="17">
        <f t="shared" si="156"/>
        <v>1665.6575119487256</v>
      </c>
      <c r="Q164" s="17">
        <f t="shared" si="156"/>
        <v>1665.8430971510857</v>
      </c>
      <c r="R164" s="17">
        <f t="shared" si="156"/>
        <v>1641.1457874133655</v>
      </c>
      <c r="S164" s="17">
        <f t="shared" si="156"/>
        <v>1637.4839279647056</v>
      </c>
      <c r="T164" s="17">
        <f t="shared" si="156"/>
        <v>1636.2553280796458</v>
      </c>
      <c r="U164" s="17">
        <f t="shared" si="156"/>
        <v>1627.6321805682453</v>
      </c>
      <c r="V164" s="17">
        <f t="shared" si="156"/>
        <v>1622.2579758543452</v>
      </c>
      <c r="W164" s="17">
        <f t="shared" si="156"/>
        <v>1622.4649909077452</v>
      </c>
      <c r="X164" s="17">
        <f t="shared" si="156"/>
        <v>1622.9495919501453</v>
      </c>
      <c r="Y164" s="17">
        <f t="shared" si="156"/>
        <v>1606.1174901314257</v>
      </c>
      <c r="Z164" s="17">
        <f t="shared" si="156"/>
        <v>1603.4449905422855</v>
      </c>
      <c r="AA164" s="17">
        <f t="shared" si="156"/>
        <v>1593.1380804139658</v>
      </c>
      <c r="AB164" s="17">
        <f t="shared" si="156"/>
        <v>1594.0731927439658</v>
      </c>
      <c r="AC164" s="17">
        <f t="shared" si="156"/>
        <v>1592.8554658354055</v>
      </c>
      <c r="AD164" s="17">
        <f t="shared" si="156"/>
        <v>1591.5371770572456</v>
      </c>
      <c r="AE164" s="17">
        <f t="shared" si="156"/>
        <v>1590.0192336116056</v>
      </c>
      <c r="AF164" s="17">
        <f t="shared" si="156"/>
        <v>1590.8660817716056</v>
      </c>
      <c r="AG164" s="17">
        <f t="shared" si="156"/>
        <v>1591.6923415316057</v>
      </c>
      <c r="AH164" s="17">
        <f t="shared" si="156"/>
        <v>1592.4875290364059</v>
      </c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</row>
    <row r="165" spans="1:8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</row>
    <row r="166" spans="1:8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</row>
    <row r="167" spans="1:8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</row>
    <row r="168" spans="1:8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</row>
    <row r="169" spans="1:8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</row>
    <row r="170" spans="1:8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</row>
    <row r="171" spans="1:8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</row>
    <row r="172" spans="1:8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</row>
    <row r="173" spans="1:8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</row>
    <row r="174" spans="1:8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</row>
    <row r="175" spans="1:8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</row>
    <row r="176" spans="1:8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</row>
    <row r="177" spans="1:8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</row>
    <row r="178" spans="1:8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</row>
    <row r="179" spans="1:8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</row>
    <row r="180" spans="1:8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</row>
    <row r="181" spans="1:8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</row>
    <row r="182" spans="1: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</row>
    <row r="183" spans="1:8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</row>
    <row r="184" spans="1:8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</row>
    <row r="185" spans="1:8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</row>
    <row r="186" spans="1:8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</row>
    <row r="187" spans="1:8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</row>
    <row r="188" spans="1:8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</row>
    <row r="189" spans="1:8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</row>
    <row r="190" spans="1:8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</row>
    <row r="191" spans="1:8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</row>
    <row r="192" spans="1:8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</row>
    <row r="193" spans="1:8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</row>
    <row r="194" spans="1:8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</row>
    <row r="195" spans="1:8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</row>
    <row r="196" spans="1:8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</row>
    <row r="197" spans="1:8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</row>
    <row r="198" spans="1:8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</row>
    <row r="199" spans="1:8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</row>
    <row r="200" spans="1:8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</row>
    <row r="201" spans="1:8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</row>
    <row r="202" spans="1:8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</row>
    <row r="203" spans="1:8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</row>
    <row r="204" spans="1:8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</row>
    <row r="205" spans="1:8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</row>
    <row r="206" spans="1:8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</row>
    <row r="207" spans="1:8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</row>
    <row r="208" spans="1:8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</row>
    <row r="209" spans="1:8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</row>
    <row r="210" spans="1:8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</row>
    <row r="211" spans="1:8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</row>
    <row r="212" spans="1:8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</row>
    <row r="213" spans="1:8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</row>
    <row r="214" spans="1:8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</row>
    <row r="215" spans="1:8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</row>
    <row r="216" spans="1:8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</row>
    <row r="217" spans="1:8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</row>
    <row r="218" spans="1:8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</row>
    <row r="219" spans="1:8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</row>
    <row r="220" spans="1:8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</row>
    <row r="221" spans="1:8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</row>
    <row r="222" spans="1:8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</row>
    <row r="223" spans="1:8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</row>
    <row r="224" spans="1:8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</row>
    <row r="225" spans="1:8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</row>
    <row r="226" spans="1:8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</row>
    <row r="227" spans="1:8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</row>
    <row r="228" spans="1:8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</row>
    <row r="229" spans="1:8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</row>
    <row r="230" spans="1:8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</row>
    <row r="231" spans="1:8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</row>
    <row r="232" spans="1:8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</row>
    <row r="233" spans="1:8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</row>
    <row r="234" spans="1:8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</row>
    <row r="235" spans="1:8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</row>
    <row r="236" spans="1:8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</row>
    <row r="237" spans="1:8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</row>
    <row r="238" spans="1:8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</row>
    <row r="239" spans="1:8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</row>
    <row r="240" spans="1:8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</row>
    <row r="241" spans="1:8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</row>
    <row r="242" spans="1:8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</row>
    <row r="243" spans="1:8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</row>
    <row r="244" spans="1:8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</row>
    <row r="245" spans="1:8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</row>
    <row r="246" spans="1:8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</row>
    <row r="247" spans="1:8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</row>
    <row r="248" spans="1:8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</row>
    <row r="249" spans="1:8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</row>
    <row r="250" spans="1:8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</row>
    <row r="251" spans="1:8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</row>
    <row r="252" spans="1:8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</row>
    <row r="253" spans="1:8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</row>
    <row r="254" spans="1:8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</row>
    <row r="255" spans="1:8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</row>
    <row r="256" spans="1:8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</row>
    <row r="257" spans="1:8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</row>
    <row r="258" spans="1:8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</row>
    <row r="259" spans="1:8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</row>
    <row r="260" spans="1:8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</row>
    <row r="261" spans="1:8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</row>
    <row r="262" spans="1:8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</row>
    <row r="263" spans="1:8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</row>
    <row r="264" spans="1:8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</row>
    <row r="265" spans="1:8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</row>
    <row r="266" spans="1:8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</row>
    <row r="267" spans="1:8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</row>
    <row r="268" spans="1:8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</row>
    <row r="269" spans="1:8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</row>
    <row r="270" spans="1:8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</row>
    <row r="271" spans="1:8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</row>
    <row r="272" spans="1:8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</row>
    <row r="273" spans="1:8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</row>
    <row r="274" spans="1:8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</row>
    <row r="275" spans="1:8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</row>
    <row r="276" spans="1:8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</row>
    <row r="277" spans="1:8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</row>
    <row r="278" spans="1:8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</row>
    <row r="279" spans="1:8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</row>
    <row r="280" spans="1:8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</row>
    <row r="281" spans="1:8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</row>
    <row r="282" spans="1: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</row>
    <row r="283" spans="1:8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</row>
    <row r="284" spans="1:8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</row>
    <row r="285" spans="1:8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</row>
    <row r="286" spans="1:8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</row>
    <row r="287" spans="1:8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</row>
    <row r="288" spans="1:8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</row>
    <row r="289" spans="1:8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</row>
    <row r="290" spans="1:8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</row>
    <row r="291" spans="1:8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</row>
    <row r="292" spans="1:8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</row>
    <row r="293" spans="1:8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</row>
    <row r="294" spans="1:8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</row>
    <row r="295" spans="1:8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</row>
    <row r="296" spans="1:8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</row>
    <row r="297" spans="1:8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</row>
    <row r="298" spans="1:8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</row>
    <row r="299" spans="1:8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</row>
    <row r="300" spans="1:8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</row>
    <row r="301" spans="1:8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</row>
    <row r="302" spans="1:8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</row>
    <row r="303" spans="1:8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</row>
    <row r="304" spans="1:8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</row>
    <row r="305" spans="1:8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</row>
    <row r="306" spans="1:8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</row>
    <row r="307" spans="1:8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</row>
    <row r="308" spans="1:8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</row>
    <row r="309" spans="1:8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</row>
    <row r="310" spans="1:8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</row>
    <row r="311" spans="1:8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</row>
    <row r="312" spans="1:8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</row>
    <row r="313" spans="1:8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</row>
    <row r="314" spans="1:8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</row>
    <row r="315" spans="1:8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</row>
    <row r="316" spans="1:8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</row>
    <row r="317" spans="1:8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</row>
    <row r="318" spans="1:8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</row>
    <row r="319" spans="1:8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</row>
    <row r="320" spans="1:8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</row>
    <row r="321" spans="1:8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</row>
    <row r="322" spans="1:8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</row>
    <row r="323" spans="1:8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</row>
    <row r="324" spans="1:8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</row>
    <row r="325" spans="1:8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</row>
    <row r="326" spans="1:8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</row>
    <row r="327" spans="1:8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</row>
    <row r="328" spans="1:8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</row>
    <row r="329" spans="1:8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</row>
    <row r="330" spans="1:8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</row>
    <row r="331" spans="1:8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</row>
    <row r="332" spans="1:8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</row>
    <row r="333" spans="1:8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</row>
    <row r="334" spans="1:8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</row>
    <row r="335" spans="1:8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</row>
    <row r="336" spans="1:8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</row>
    <row r="337" spans="1:8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</row>
    <row r="338" spans="1:8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</row>
    <row r="339" spans="1:8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</row>
    <row r="340" spans="1:8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</row>
    <row r="341" spans="1:8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</row>
    <row r="342" spans="1:8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</row>
    <row r="343" spans="1:8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</row>
    <row r="344" spans="1:8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</row>
    <row r="345" spans="1:8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</row>
    <row r="346" spans="1:8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</row>
    <row r="347" spans="1:8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</row>
    <row r="348" spans="1:8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</row>
    <row r="349" spans="1:8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</row>
    <row r="350" spans="1:8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</row>
    <row r="351" spans="1:8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</row>
    <row r="352" spans="1:8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</row>
    <row r="353" spans="1:8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</row>
    <row r="354" spans="1:8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</row>
    <row r="355" spans="1:8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</row>
    <row r="356" spans="1:8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</row>
    <row r="357" spans="1:8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</row>
    <row r="358" spans="1:8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</row>
    <row r="359" spans="1:8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</row>
    <row r="360" spans="1:8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</row>
    <row r="361" spans="1:8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</row>
    <row r="362" spans="1:8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</row>
    <row r="363" spans="1:8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</row>
    <row r="364" spans="1:8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</row>
    <row r="365" spans="1:8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</row>
    <row r="366" spans="1:8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</row>
    <row r="367" spans="1:8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</row>
    <row r="368" spans="1:8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</row>
    <row r="369" spans="1:8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</row>
    <row r="370" spans="1:8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</row>
    <row r="371" spans="1:8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</row>
    <row r="372" spans="1:8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</row>
    <row r="373" spans="1:8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</row>
    <row r="374" spans="1:8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</row>
    <row r="375" spans="1:8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</row>
    <row r="376" spans="1:8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</row>
    <row r="377" spans="1:8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</row>
    <row r="378" spans="1:8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</row>
    <row r="379" spans="1:8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</row>
    <row r="380" spans="1:8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</row>
    <row r="381" spans="1:8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</row>
    <row r="382" spans="1: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</row>
    <row r="383" spans="1:8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</row>
    <row r="384" spans="1:8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</row>
    <row r="385" spans="1: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</row>
    <row r="386" spans="1: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</row>
    <row r="387" spans="1: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</row>
    <row r="388" spans="1: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</row>
    <row r="389" spans="1: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</row>
    <row r="390" spans="1: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</row>
    <row r="391" spans="1: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</row>
    <row r="392" spans="1: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</row>
    <row r="393" spans="1: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</row>
    <row r="394" spans="1: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</row>
    <row r="395" spans="1: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</row>
    <row r="396" spans="1: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</row>
    <row r="397" spans="1: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</row>
    <row r="398" spans="1: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</row>
    <row r="399" spans="1: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</row>
    <row r="400" spans="1: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</row>
    <row r="401" spans="1: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</row>
    <row r="402" spans="1: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</row>
    <row r="403" spans="1: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</row>
    <row r="404" spans="1: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</row>
    <row r="405" spans="1: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</row>
    <row r="406" spans="1: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</row>
    <row r="407" spans="1: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</row>
    <row r="408" spans="1: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</row>
    <row r="409" spans="1: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</row>
    <row r="410" spans="1: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</row>
    <row r="411" spans="1: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</row>
    <row r="412" spans="1: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</row>
    <row r="413" spans="1: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</row>
    <row r="414" spans="1: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</row>
    <row r="415" spans="1: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</row>
    <row r="416" spans="1: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</row>
    <row r="417" spans="1: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</row>
    <row r="418" spans="1: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</row>
    <row r="419" spans="1: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</row>
    <row r="420" spans="1: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</row>
    <row r="421" spans="1: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</row>
    <row r="422" spans="1: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</row>
    <row r="423" spans="1: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</row>
    <row r="424" spans="1: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</row>
    <row r="425" spans="1: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</row>
    <row r="426" spans="1: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</row>
    <row r="427" spans="1: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</row>
    <row r="428" spans="1: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</row>
    <row r="429" spans="1: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</row>
    <row r="430" spans="1: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</row>
    <row r="431" spans="1: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</row>
    <row r="432" spans="1: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</row>
    <row r="433" spans="1: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</row>
    <row r="434" spans="1: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</row>
    <row r="435" spans="1: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</row>
    <row r="436" spans="1: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</row>
    <row r="437" spans="1: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</row>
    <row r="438" spans="1: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</row>
    <row r="439" spans="1: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</row>
    <row r="440" spans="1: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</row>
    <row r="441" spans="1: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</row>
    <row r="442" spans="1: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</row>
    <row r="443" spans="1: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</row>
    <row r="444" spans="1: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</row>
    <row r="445" spans="1: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</row>
    <row r="446" spans="1: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</row>
    <row r="447" spans="1: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</row>
    <row r="448" spans="1: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</row>
    <row r="449" spans="1: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</row>
    <row r="450" spans="1: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</row>
    <row r="451" spans="1: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</row>
    <row r="452" spans="1: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</row>
    <row r="453" spans="1: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</row>
    <row r="454" spans="1: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</row>
    <row r="455" spans="1: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</row>
    <row r="456" spans="1: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</row>
    <row r="457" spans="1: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</row>
    <row r="458" spans="1: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</row>
    <row r="459" spans="1: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</row>
    <row r="460" spans="1: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</row>
    <row r="461" spans="1: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</row>
    <row r="462" spans="1: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</row>
    <row r="463" spans="1: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</row>
    <row r="464" spans="1: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</row>
    <row r="465" spans="1: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</row>
    <row r="466" spans="1: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</row>
    <row r="467" spans="1: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</row>
    <row r="468" spans="1: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</row>
    <row r="469" spans="1: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</row>
    <row r="470" spans="1: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</row>
    <row r="471" spans="1: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</row>
    <row r="472" spans="1: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</row>
    <row r="473" spans="1: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D0072-FDA4-4BA7-A9FB-3338D29EA82C}">
  <dimension ref="A1:CD473"/>
  <sheetViews>
    <sheetView topLeftCell="A47" zoomScale="70" zoomScaleNormal="70" workbookViewId="0">
      <selection activeCell="AL19" sqref="AL19"/>
    </sheetView>
  </sheetViews>
  <sheetFormatPr defaultRowHeight="14.5"/>
  <cols>
    <col min="2" max="2" width="24" customWidth="1"/>
    <col min="3" max="3" width="12" bestFit="1" customWidth="1"/>
    <col min="4" max="8" width="9" bestFit="1" customWidth="1"/>
    <col min="9" max="9" width="9.81640625" bestFit="1" customWidth="1"/>
    <col min="10" max="12" width="9" bestFit="1" customWidth="1"/>
    <col min="13" max="34" width="9.1796875" bestFit="1" customWidth="1"/>
    <col min="37" max="37" width="17.81640625" bestFit="1" customWidth="1"/>
  </cols>
  <sheetData>
    <row r="1" spans="1:82" ht="15" thickBo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</row>
    <row r="2" spans="1:82" ht="15" thickBot="1">
      <c r="A2" s="1"/>
      <c r="B2" s="123" t="s">
        <v>180</v>
      </c>
      <c r="C2" s="124"/>
      <c r="D2" s="124"/>
      <c r="E2" s="124"/>
      <c r="F2" s="124"/>
      <c r="G2" s="124"/>
      <c r="H2" s="124"/>
      <c r="I2" s="124"/>
      <c r="J2" s="125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</row>
    <row r="3" spans="1:82" ht="15" thickBot="1">
      <c r="A3" s="1"/>
      <c r="B3" s="119" t="s">
        <v>125</v>
      </c>
      <c r="C3" s="120"/>
      <c r="D3" s="120"/>
      <c r="E3" s="121"/>
      <c r="F3" s="1"/>
      <c r="G3" s="59"/>
      <c r="H3" s="4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</row>
    <row r="4" spans="1:82">
      <c r="A4" s="1"/>
      <c r="B4" s="122" t="s">
        <v>77</v>
      </c>
      <c r="C4" s="122">
        <v>2019</v>
      </c>
      <c r="D4" s="122">
        <v>2020</v>
      </c>
      <c r="E4" s="122">
        <v>2021</v>
      </c>
      <c r="F4" s="118">
        <v>2022</v>
      </c>
      <c r="G4" s="118">
        <v>2023</v>
      </c>
      <c r="H4" s="118">
        <v>2024</v>
      </c>
      <c r="I4" s="118">
        <v>2025</v>
      </c>
      <c r="J4" s="118">
        <v>2026</v>
      </c>
      <c r="K4" s="118">
        <v>2027</v>
      </c>
      <c r="L4" s="118">
        <v>2028</v>
      </c>
      <c r="M4" s="118">
        <v>2029</v>
      </c>
      <c r="N4" s="118">
        <v>2030</v>
      </c>
      <c r="O4" s="118">
        <v>2031</v>
      </c>
      <c r="P4" s="118">
        <v>2032</v>
      </c>
      <c r="Q4" s="118">
        <v>2033</v>
      </c>
      <c r="R4" s="118">
        <v>2034</v>
      </c>
      <c r="S4" s="118">
        <v>2035</v>
      </c>
      <c r="T4" s="118">
        <v>2036</v>
      </c>
      <c r="U4" s="118">
        <v>2037</v>
      </c>
      <c r="V4" s="118">
        <v>2038</v>
      </c>
      <c r="W4" s="118">
        <v>2039</v>
      </c>
      <c r="X4" s="118">
        <v>2040</v>
      </c>
      <c r="Y4" s="118">
        <v>2041</v>
      </c>
      <c r="Z4" s="118">
        <v>2042</v>
      </c>
      <c r="AA4" s="118">
        <v>2043</v>
      </c>
      <c r="AB4" s="118">
        <v>2044</v>
      </c>
      <c r="AC4" s="118">
        <v>2045</v>
      </c>
      <c r="AD4" s="118">
        <v>2046</v>
      </c>
      <c r="AE4" s="118">
        <v>2047</v>
      </c>
      <c r="AF4" s="118">
        <v>2048</v>
      </c>
      <c r="AG4" s="118">
        <v>2049</v>
      </c>
      <c r="AH4" s="118">
        <v>2050</v>
      </c>
      <c r="AI4" s="1"/>
      <c r="AJ4" s="1"/>
      <c r="AK4" s="63" t="s">
        <v>110</v>
      </c>
      <c r="AL4" s="64" t="s">
        <v>109</v>
      </c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</row>
    <row r="5" spans="1:82">
      <c r="A5" s="1"/>
      <c r="B5" s="118" t="s">
        <v>81</v>
      </c>
      <c r="C5" s="100">
        <f>$AL$5*'LCOE &amp; CO2 Scaled'!C34+$AL$6*'Capital Employed Scaled'!C34+$AL$7*'LCOE &amp; CO2 Scaled'!$D$86</f>
        <v>15.842597281533472</v>
      </c>
      <c r="D5" s="100">
        <f>$AL$5*'LCOE &amp; CO2 Scaled'!D34+$AL$6*'Capital Employed Scaled'!D34+$AL$7*'LCOE &amp; CO2 Scaled'!$D$86</f>
        <v>15.80195361315835</v>
      </c>
      <c r="E5" s="100">
        <f>$AL$5*'LCOE &amp; CO2 Scaled'!E34+$AL$6*'Capital Employed Scaled'!E34+$AL$7*'LCOE &amp; CO2 Scaled'!$D$86</f>
        <v>15.737929337446122</v>
      </c>
      <c r="F5" s="100">
        <f>$AL$5*'LCOE &amp; CO2 Scaled'!F34+$AL$6*'Capital Employed Scaled'!F34+$AL$7*'LCOE &amp; CO2 Scaled'!$D$86</f>
        <v>15.675318105266101</v>
      </c>
      <c r="G5" s="100">
        <f>$AL$5*'LCOE &amp; CO2 Scaled'!G34+$AL$6*'Capital Employed Scaled'!G34+$AL$7*'LCOE &amp; CO2 Scaled'!$D$86</f>
        <v>15.614086725678362</v>
      </c>
      <c r="H5" s="100">
        <f>$AL$5*'LCOE &amp; CO2 Scaled'!H34+$AL$6*'Capital Employed Scaled'!H34+$AL$7*'LCOE &amp; CO2 Scaled'!$D$86</f>
        <v>15.554203160348472</v>
      </c>
      <c r="I5" s="100">
        <f>$AL$5*'LCOE &amp; CO2 Scaled'!I34+$AL$6*'Capital Employed Scaled'!I34+$AL$7*'LCOE &amp; CO2 Scaled'!$D$86</f>
        <v>15.495636475905536</v>
      </c>
      <c r="J5" s="100">
        <f>$AL$5*'LCOE &amp; CO2 Scaled'!J34+$AL$6*'Capital Employed Scaled'!J34+$AL$7*'LCOE &amp; CO2 Scaled'!$D$86</f>
        <v>15.438356798678168</v>
      </c>
      <c r="K5" s="100">
        <f>$AL$5*'LCOE &amp; CO2 Scaled'!K34+$AL$6*'Capital Employed Scaled'!K34+$AL$7*'LCOE &amp; CO2 Scaled'!$D$86</f>
        <v>15.382335271671671</v>
      </c>
      <c r="L5" s="100">
        <f>$AL$5*'LCOE &amp; CO2 Scaled'!L34+$AL$6*'Capital Employed Scaled'!L34+$AL$7*'LCOE &amp; CO2 Scaled'!$D$86</f>
        <v>15.327544013658907</v>
      </c>
      <c r="M5" s="100">
        <f>$AL$5*'LCOE &amp; CO2 Scaled'!M34+$AL$6*'Capital Employed Scaled'!M34+$AL$7*'LCOE &amp; CO2 Scaled'!$D$86</f>
        <v>15.273956080265233</v>
      </c>
      <c r="N5" s="100">
        <f>$AL$5*'LCOE &amp; CO2 Scaled'!N34+$AL$6*'Capital Employed Scaled'!N34+$AL$7*'LCOE &amp; CO2 Scaled'!$D$86</f>
        <v>16.001488020983242</v>
      </c>
      <c r="O5" s="100">
        <f>$AL$5*'LCOE &amp; CO2 Scaled'!O34+$AL$6*'Capital Employed Scaled'!O34+$AL$7*'LCOE &amp; CO2 Scaled'!$D$86</f>
        <v>15.980984889190074</v>
      </c>
      <c r="P5" s="100">
        <f>$AL$5*'LCOE &amp; CO2 Scaled'!P34+$AL$6*'Capital Employed Scaled'!P34+$AL$7*'LCOE &amp; CO2 Scaled'!$D$86</f>
        <v>15.960431338539768</v>
      </c>
      <c r="Q5" s="100">
        <f>$AL$5*'LCOE &amp; CO2 Scaled'!Q34+$AL$6*'Capital Employed Scaled'!Q34+$AL$7*'LCOE &amp; CO2 Scaled'!$D$86</f>
        <v>15.939827061165076</v>
      </c>
      <c r="R5" s="100">
        <f>$AL$5*'LCOE &amp; CO2 Scaled'!R34+$AL$6*'Capital Employed Scaled'!R34+$AL$7*'LCOE &amp; CO2 Scaled'!$D$86</f>
        <v>15.919171746817005</v>
      </c>
      <c r="S5" s="100">
        <f>$AL$5*'LCOE &amp; CO2 Scaled'!S34+$AL$6*'Capital Employed Scaled'!S34+$AL$7*'LCOE &amp; CO2 Scaled'!$D$86</f>
        <v>15.898465082841652</v>
      </c>
      <c r="T5" s="100">
        <f>$AL$5*'LCOE &amp; CO2 Scaled'!T34+$AL$6*'Capital Employed Scaled'!T34+$AL$7*'LCOE &amp; CO2 Scaled'!$D$86</f>
        <v>15.877706754156739</v>
      </c>
      <c r="U5" s="100">
        <f>$AL$5*'LCOE &amp; CO2 Scaled'!U34+$AL$6*'Capital Employed Scaled'!U34+$AL$7*'LCOE &amp; CO2 Scaled'!$D$86</f>
        <v>15.856896443227891</v>
      </c>
      <c r="V5" s="100">
        <f>$AL$5*'LCOE &amp; CO2 Scaled'!V34+$AL$6*'Capital Employed Scaled'!V34+$AL$7*'LCOE &amp; CO2 Scaled'!$D$86</f>
        <v>15.836033830044627</v>
      </c>
      <c r="W5" s="100">
        <f>$AL$5*'LCOE &amp; CO2 Scaled'!W34+$AL$6*'Capital Employed Scaled'!W34+$AL$7*'LCOE &amp; CO2 Scaled'!$D$86</f>
        <v>15.815118592096075</v>
      </c>
      <c r="X5" s="100">
        <f>$AL$5*'LCOE &amp; CO2 Scaled'!X34+$AL$6*'Capital Employed Scaled'!X34+$AL$7*'LCOE &amp; CO2 Scaled'!$D$86</f>
        <v>15.794150404346386</v>
      </c>
      <c r="Y5" s="100">
        <f>$AL$5*'LCOE &amp; CO2 Scaled'!Y34+$AL$6*'Capital Employed Scaled'!Y34+$AL$7*'LCOE &amp; CO2 Scaled'!$D$86</f>
        <v>15.773128939209887</v>
      </c>
      <c r="Z5" s="100">
        <f>$AL$5*'LCOE &amp; CO2 Scaled'!Z34+$AL$6*'Capital Employed Scaled'!Z34+$AL$7*'LCOE &amp; CO2 Scaled'!$D$86</f>
        <v>15.752053866525916</v>
      </c>
      <c r="AA5" s="100">
        <f>$AL$5*'LCOE &amp; CO2 Scaled'!AA34+$AL$6*'Capital Employed Scaled'!AA34+$AL$7*'LCOE &amp; CO2 Scaled'!$D$86</f>
        <v>15.730924853533335</v>
      </c>
      <c r="AB5" s="100">
        <f>$AL$5*'LCOE &amp; CO2 Scaled'!AB34+$AL$6*'Capital Employed Scaled'!AB34+$AL$7*'LCOE &amp; CO2 Scaled'!$D$86</f>
        <v>15.709741564844817</v>
      </c>
      <c r="AC5" s="100">
        <f>$AL$5*'LCOE &amp; CO2 Scaled'!AC34+$AL$6*'Capital Employed Scaled'!AC34+$AL$7*'LCOE &amp; CO2 Scaled'!$D$86</f>
        <v>15.688503662420747</v>
      </c>
      <c r="AD5" s="100">
        <f>$AL$5*'LCOE &amp; CO2 Scaled'!AD34+$AL$6*'Capital Employed Scaled'!AD34+$AL$7*'LCOE &amp; CO2 Scaled'!$D$86</f>
        <v>15.667210805542846</v>
      </c>
      <c r="AE5" s="100">
        <f>$AL$5*'LCOE &amp; CO2 Scaled'!AE34+$AL$6*'Capital Employed Scaled'!AE34+$AL$7*'LCOE &amp; CO2 Scaled'!$D$86</f>
        <v>15.645862650787496</v>
      </c>
      <c r="AF5" s="100">
        <f>$AL$5*'LCOE &amp; CO2 Scaled'!AF34+$AL$6*'Capital Employed Scaled'!AF34+$AL$7*'LCOE &amp; CO2 Scaled'!$D$86</f>
        <v>15.624458851998702</v>
      </c>
      <c r="AG5" s="100">
        <f>$AL$5*'LCOE &amp; CO2 Scaled'!AG34+$AL$6*'Capital Employed Scaled'!AG34+$AL$7*'LCOE &amp; CO2 Scaled'!$D$86</f>
        <v>15.602999060260764</v>
      </c>
      <c r="AH5" s="100">
        <f>$AL$5*'LCOE &amp; CO2 Scaled'!AH34+$AL$6*'Capital Employed Scaled'!AH34+$AL$7*'LCOE &amp; CO2 Scaled'!$D$86</f>
        <v>15.581482923870627</v>
      </c>
      <c r="AI5" s="118" t="s">
        <v>81</v>
      </c>
      <c r="AJ5" s="1"/>
      <c r="AK5" s="64" t="s">
        <v>111</v>
      </c>
      <c r="AL5" s="17">
        <v>0.1</v>
      </c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</row>
    <row r="6" spans="1:82">
      <c r="A6" s="1"/>
      <c r="B6" s="118" t="s">
        <v>36</v>
      </c>
      <c r="C6" s="100">
        <f>$AL$5*'LCOE &amp; CO2 Scaled'!C35+$AL$6*'Capital Employed Scaled'!C35+$AL$7*'LCOE &amp; CO2 Scaled'!$D$87</f>
        <v>76.04981731723592</v>
      </c>
      <c r="D6" s="100">
        <f>$AL$5*'LCOE &amp; CO2 Scaled'!D35+$AL$6*'Capital Employed Scaled'!D35+$AL$7*'LCOE &amp; CO2 Scaled'!$D$87</f>
        <v>76.017969700026526</v>
      </c>
      <c r="E6" s="100">
        <f>$AL$5*'LCOE &amp; CO2 Scaled'!E35+$AL$6*'Capital Employed Scaled'!E35+$AL$7*'LCOE &amp; CO2 Scaled'!$D$87</f>
        <v>75.962324697000227</v>
      </c>
      <c r="F6" s="100">
        <f>$AL$5*'LCOE &amp; CO2 Scaled'!F35+$AL$6*'Capital Employed Scaled'!F35+$AL$7*'LCOE &amp; CO2 Scaled'!$D$87</f>
        <v>75.907906427122228</v>
      </c>
      <c r="G6" s="100">
        <f>$AL$5*'LCOE &amp; CO2 Scaled'!G35+$AL$6*'Capital Employed Scaled'!G35+$AL$7*'LCOE &amp; CO2 Scaled'!$D$87</f>
        <v>75.854686066106069</v>
      </c>
      <c r="H6" s="100">
        <f>$AL$5*'LCOE &amp; CO2 Scaled'!H35+$AL$6*'Capital Employed Scaled'!H35+$AL$7*'LCOE &amp; CO2 Scaled'!$D$87</f>
        <v>75.802635790507367</v>
      </c>
      <c r="I6" s="100">
        <f>$AL$5*'LCOE &amp; CO2 Scaled'!I35+$AL$6*'Capital Employed Scaled'!I35+$AL$7*'LCOE &amp; CO2 Scaled'!$D$87</f>
        <v>75.751728736353016</v>
      </c>
      <c r="J6" s="100">
        <f>$AL$5*'LCOE &amp; CO2 Scaled'!J35+$AL$6*'Capital Employed Scaled'!J35+$AL$7*'LCOE &amp; CO2 Scaled'!$D$87</f>
        <v>75.701938959835346</v>
      </c>
      <c r="K6" s="100">
        <f>$AL$5*'LCOE &amp; CO2 Scaled'!K35+$AL$6*'Capital Employed Scaled'!K35+$AL$7*'LCOE &amp; CO2 Scaled'!$D$87</f>
        <v>75.653241399952378</v>
      </c>
      <c r="L6" s="100">
        <f>$AL$5*'LCOE &amp; CO2 Scaled'!L35+$AL$6*'Capital Employed Scaled'!L35+$AL$7*'LCOE &amp; CO2 Scaled'!$D$87</f>
        <v>75.605611842983507</v>
      </c>
      <c r="M6" s="100">
        <f>$AL$5*'LCOE &amp; CO2 Scaled'!M35+$AL$6*'Capital Employed Scaled'!M35+$AL$7*'LCOE &amp; CO2 Scaled'!$D$87</f>
        <v>75.559026888696849</v>
      </c>
      <c r="N6" s="100">
        <f>$AL$5*'LCOE &amp; CO2 Scaled'!N35+$AL$6*'Capital Employed Scaled'!N35+$AL$7*'LCOE &amp; CO2 Scaled'!$D$87</f>
        <v>76.319922614969897</v>
      </c>
      <c r="O6" s="100">
        <f>$AL$5*'LCOE &amp; CO2 Scaled'!O35+$AL$6*'Capital Employed Scaled'!O35+$AL$7*'LCOE &amp; CO2 Scaled'!$D$87</f>
        <v>76.295410892221369</v>
      </c>
      <c r="P6" s="100">
        <f>$AL$5*'LCOE &amp; CO2 Scaled'!P35+$AL$6*'Capital Employed Scaled'!P35+$AL$7*'LCOE &amp; CO2 Scaled'!$D$87</f>
        <v>76.270851984578471</v>
      </c>
      <c r="Q6" s="100">
        <f>$AL$5*'LCOE &amp; CO2 Scaled'!Q35+$AL$6*'Capital Employed Scaled'!Q35+$AL$7*'LCOE &amp; CO2 Scaled'!$D$87</f>
        <v>76.246245593464408</v>
      </c>
      <c r="R6" s="100">
        <f>$AL$5*'LCOE &amp; CO2 Scaled'!R35+$AL$6*'Capital Employed Scaled'!R35+$AL$7*'LCOE &amp; CO2 Scaled'!$D$87</f>
        <v>76.221591417999235</v>
      </c>
      <c r="S6" s="100">
        <f>$AL$5*'LCOE &amp; CO2 Scaled'!S35+$AL$6*'Capital Employed Scaled'!S35+$AL$7*'LCOE &amp; CO2 Scaled'!$D$87</f>
        <v>76.196889154977512</v>
      </c>
      <c r="T6" s="100">
        <f>$AL$5*'LCOE &amp; CO2 Scaled'!T35+$AL$6*'Capital Employed Scaled'!T35+$AL$7*'LCOE &amp; CO2 Scaled'!$D$87</f>
        <v>76.172138498845527</v>
      </c>
      <c r="U6" s="100">
        <f>$AL$5*'LCOE &amp; CO2 Scaled'!U35+$AL$6*'Capital Employed Scaled'!U35+$AL$7*'LCOE &amp; CO2 Scaled'!$D$87</f>
        <v>76.147339141678373</v>
      </c>
      <c r="V6" s="100">
        <f>$AL$5*'LCOE &amp; CO2 Scaled'!V35+$AL$6*'Capital Employed Scaled'!V35+$AL$7*'LCOE &amp; CO2 Scaled'!$D$87</f>
        <v>76.122490773156812</v>
      </c>
      <c r="W6" s="100">
        <f>$AL$5*'LCOE &amp; CO2 Scaled'!W35+$AL$6*'Capital Employed Scaled'!W35+$AL$7*'LCOE &amp; CO2 Scaled'!$D$87</f>
        <v>76.097593080543618</v>
      </c>
      <c r="X6" s="100">
        <f>$AL$5*'LCOE &amp; CO2 Scaled'!X35+$AL$6*'Capital Employed Scaled'!X35+$AL$7*'LCOE &amp; CO2 Scaled'!$D$87</f>
        <v>76.07264574865998</v>
      </c>
      <c r="Y6" s="100">
        <f>$AL$5*'LCOE &amp; CO2 Scaled'!Y35+$AL$6*'Capital Employed Scaled'!Y35+$AL$7*'LCOE &amp; CO2 Scaled'!$D$87</f>
        <v>76.047648459861321</v>
      </c>
      <c r="Z6" s="100">
        <f>$AL$5*'LCOE &amp; CO2 Scaled'!Z35+$AL$6*'Capital Employed Scaled'!Z35+$AL$7*'LCOE &amp; CO2 Scaled'!$D$87</f>
        <v>76.022600894013053</v>
      </c>
      <c r="AA6" s="100">
        <f>$AL$5*'LCOE &amp; CO2 Scaled'!AA35+$AL$6*'Capital Employed Scaled'!AA35+$AL$7*'LCOE &amp; CO2 Scaled'!$D$87</f>
        <v>75.997502728465889</v>
      </c>
      <c r="AB6" s="100">
        <f>$AL$5*'LCOE &amp; CO2 Scaled'!AB35+$AL$6*'Capital Employed Scaled'!AB35+$AL$7*'LCOE &amp; CO2 Scaled'!$D$87</f>
        <v>75.972353638030938</v>
      </c>
      <c r="AC6" s="100">
        <f>$AL$5*'LCOE &amp; CO2 Scaled'!AC35+$AL$6*'Capital Employed Scaled'!AC35+$AL$7*'LCOE &amp; CO2 Scaled'!$D$87</f>
        <v>75.94715329495456</v>
      </c>
      <c r="AD6" s="100">
        <f>$AL$5*'LCOE &amp; CO2 Scaled'!AD35+$AL$6*'Capital Employed Scaled'!AD35+$AL$7*'LCOE &amp; CO2 Scaled'!$D$87</f>
        <v>75.921901368892733</v>
      </c>
      <c r="AE6" s="100">
        <f>$AL$5*'LCOE &amp; CO2 Scaled'!AE35+$AL$6*'Capital Employed Scaled'!AE35+$AL$7*'LCOE &amp; CO2 Scaled'!$D$87</f>
        <v>75.89659752688533</v>
      </c>
      <c r="AF6" s="100">
        <f>$AL$5*'LCOE &amp; CO2 Scaled'!AF35+$AL$6*'Capital Employed Scaled'!AF35+$AL$7*'LCOE &amp; CO2 Scaled'!$D$87</f>
        <v>75.871241433329942</v>
      </c>
      <c r="AG6" s="100">
        <f>$AL$5*'LCOE &amp; CO2 Scaled'!AG35+$AL$6*'Capital Employed Scaled'!AG35+$AL$7*'LCOE &amp; CO2 Scaled'!$D$87</f>
        <v>75.845832749955491</v>
      </c>
      <c r="AH6" s="100">
        <f>$AL$5*'LCOE &amp; CO2 Scaled'!AH35+$AL$6*'Capital Employed Scaled'!AH35+$AL$7*'LCOE &amp; CO2 Scaled'!$D$87</f>
        <v>75.820371135795369</v>
      </c>
      <c r="AI6" s="118" t="s">
        <v>96</v>
      </c>
      <c r="AJ6" s="1"/>
      <c r="AK6" s="64" t="s">
        <v>112</v>
      </c>
      <c r="AL6" s="17">
        <v>0.1</v>
      </c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</row>
    <row r="7" spans="1:82">
      <c r="A7" s="1"/>
      <c r="B7" s="118" t="s">
        <v>89</v>
      </c>
      <c r="C7" s="100">
        <v>0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100">
        <v>0</v>
      </c>
      <c r="T7" s="100">
        <v>0</v>
      </c>
      <c r="U7" s="100">
        <v>0</v>
      </c>
      <c r="V7" s="100">
        <v>0</v>
      </c>
      <c r="W7" s="100">
        <v>0</v>
      </c>
      <c r="X7" s="100">
        <v>0</v>
      </c>
      <c r="Y7" s="100">
        <v>0</v>
      </c>
      <c r="Z7" s="100">
        <v>0</v>
      </c>
      <c r="AA7" s="100">
        <v>0</v>
      </c>
      <c r="AB7" s="100">
        <v>0</v>
      </c>
      <c r="AC7" s="100">
        <v>0</v>
      </c>
      <c r="AD7" s="100">
        <v>0</v>
      </c>
      <c r="AE7" s="100">
        <v>0</v>
      </c>
      <c r="AF7" s="100">
        <v>0</v>
      </c>
      <c r="AG7" s="100">
        <v>0</v>
      </c>
      <c r="AH7" s="100">
        <v>0</v>
      </c>
      <c r="AI7" s="118" t="s">
        <v>89</v>
      </c>
      <c r="AJ7" s="1"/>
      <c r="AK7" s="64" t="s">
        <v>113</v>
      </c>
      <c r="AL7" s="17">
        <v>0.8</v>
      </c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</row>
    <row r="8" spans="1:82">
      <c r="A8" s="1"/>
      <c r="B8" s="118" t="s">
        <v>88</v>
      </c>
      <c r="C8" s="100">
        <v>0.1</v>
      </c>
      <c r="D8" s="100">
        <v>0.1</v>
      </c>
      <c r="E8" s="100">
        <v>0.1</v>
      </c>
      <c r="F8" s="100">
        <v>0.1</v>
      </c>
      <c r="G8" s="100">
        <v>0.1</v>
      </c>
      <c r="H8" s="100">
        <v>0.1</v>
      </c>
      <c r="I8" s="100">
        <v>0.1</v>
      </c>
      <c r="J8" s="100">
        <v>0.1</v>
      </c>
      <c r="K8" s="100">
        <v>0.1</v>
      </c>
      <c r="L8" s="100">
        <v>0.1</v>
      </c>
      <c r="M8" s="100">
        <v>0.1</v>
      </c>
      <c r="N8" s="100">
        <v>0.1</v>
      </c>
      <c r="O8" s="100">
        <v>0.1</v>
      </c>
      <c r="P8" s="100">
        <v>0.1</v>
      </c>
      <c r="Q8" s="100">
        <v>0.1</v>
      </c>
      <c r="R8" s="100">
        <v>0.1</v>
      </c>
      <c r="S8" s="100">
        <v>0.1</v>
      </c>
      <c r="T8" s="100">
        <v>0.1</v>
      </c>
      <c r="U8" s="100">
        <v>0.1</v>
      </c>
      <c r="V8" s="100">
        <v>0.1</v>
      </c>
      <c r="W8" s="100">
        <v>0.1</v>
      </c>
      <c r="X8" s="100">
        <v>0.1</v>
      </c>
      <c r="Y8" s="100">
        <v>0.1</v>
      </c>
      <c r="Z8" s="100">
        <v>0.1</v>
      </c>
      <c r="AA8" s="100">
        <v>0.1</v>
      </c>
      <c r="AB8" s="100">
        <v>0.1</v>
      </c>
      <c r="AC8" s="100">
        <v>0.1</v>
      </c>
      <c r="AD8" s="100">
        <v>0.1</v>
      </c>
      <c r="AE8" s="100">
        <v>0.1</v>
      </c>
      <c r="AF8" s="100">
        <v>0.1</v>
      </c>
      <c r="AG8" s="100">
        <v>0.1</v>
      </c>
      <c r="AH8" s="100">
        <v>0.1</v>
      </c>
      <c r="AI8" s="118" t="s">
        <v>88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</row>
    <row r="9" spans="1:82">
      <c r="A9" s="1"/>
      <c r="B9" s="118" t="s">
        <v>90</v>
      </c>
      <c r="C9" s="100">
        <f>$AL$5*'LCOE &amp; CO2 Scaled'!C38+$AL$6*'Capital Employed Scaled'!C38+$AL$7*'LCOE &amp; CO2 Scaled'!$D$90</f>
        <v>91.270192890300905</v>
      </c>
      <c r="D9" s="100">
        <f>$AL$5*'LCOE &amp; CO2 Scaled'!D38+$AL$6*'Capital Employed Scaled'!D38+$AL$7*'LCOE &amp; CO2 Scaled'!$D$90</f>
        <v>91.196966256733774</v>
      </c>
      <c r="E9" s="100">
        <f>$AL$5*'LCOE &amp; CO2 Scaled'!E38+$AL$6*'Capital Employed Scaled'!E38+$AL$7*'LCOE &amp; CO2 Scaled'!$D$90</f>
        <v>91.098561520936997</v>
      </c>
      <c r="F9" s="100">
        <f>$AL$5*'LCOE &amp; CO2 Scaled'!F38+$AL$6*'Capital Employed Scaled'!F38+$AL$7*'LCOE &amp; CO2 Scaled'!$D$90</f>
        <v>91.002134030477578</v>
      </c>
      <c r="G9" s="100">
        <f>$AL$5*'LCOE &amp; CO2 Scaled'!G38+$AL$6*'Capital Employed Scaled'!G38+$AL$7*'LCOE &amp; CO2 Scaled'!$D$90</f>
        <v>90.907635986482035</v>
      </c>
      <c r="H9" s="100">
        <f>$AL$5*'LCOE &amp; CO2 Scaled'!H38+$AL$6*'Capital Employed Scaled'!H38+$AL$7*'LCOE &amp; CO2 Scaled'!$D$90</f>
        <v>90.815021232319367</v>
      </c>
      <c r="I9" s="100">
        <f>$AL$5*'LCOE &amp; CO2 Scaled'!I38+$AL$6*'Capital Employed Scaled'!I38+$AL$7*'LCOE &amp; CO2 Scaled'!$D$90</f>
        <v>90.724245185462664</v>
      </c>
      <c r="J9" s="100">
        <f>$AL$5*'LCOE &amp; CO2 Scaled'!J38+$AL$6*'Capital Employed Scaled'!J38+$AL$7*'LCOE &amp; CO2 Scaled'!$D$90</f>
        <v>90.635264772747178</v>
      </c>
      <c r="K9" s="100">
        <f>$AL$5*'LCOE &amp; CO2 Scaled'!K38+$AL$6*'Capital Employed Scaled'!K38+$AL$7*'LCOE &amp; CO2 Scaled'!$D$90</f>
        <v>90.54803836882914</v>
      </c>
      <c r="L9" s="100">
        <f>$AL$5*'LCOE &amp; CO2 Scaled'!L38+$AL$6*'Capital Employed Scaled'!L38+$AL$7*'LCOE &amp; CO2 Scaled'!$D$90</f>
        <v>90.462525737663242</v>
      </c>
      <c r="M9" s="100">
        <f>$AL$5*'LCOE &amp; CO2 Scaled'!M38+$AL$6*'Capital Employed Scaled'!M38+$AL$7*'LCOE &amp; CO2 Scaled'!$D$90</f>
        <v>90.378687976827777</v>
      </c>
      <c r="N9" s="100">
        <f>$AL$5*'LCOE &amp; CO2 Scaled'!N38+$AL$6*'Capital Employed Scaled'!N38+$AL$7*'LCOE &amp; CO2 Scaled'!$D$90</f>
        <v>91.11788943262485</v>
      </c>
      <c r="O9" s="100">
        <f>$AL$5*'LCOE &amp; CO2 Scaled'!O38+$AL$6*'Capital Employed Scaled'!O38+$AL$7*'LCOE &amp; CO2 Scaled'!$D$90</f>
        <v>91.135475608203279</v>
      </c>
      <c r="P9" s="100">
        <f>$AL$5*'LCOE &amp; CO2 Scaled'!P38+$AL$6*'Capital Employed Scaled'!P38+$AL$7*'LCOE &amp; CO2 Scaled'!$D$90</f>
        <v>91.153080349339803</v>
      </c>
      <c r="Q9" s="100">
        <f>$AL$5*'LCOE &amp; CO2 Scaled'!Q38+$AL$6*'Capital Employed Scaled'!Q38+$AL$7*'LCOE &amp; CO2 Scaled'!$D$90</f>
        <v>91.170703789112622</v>
      </c>
      <c r="R9" s="100">
        <f>$AL$5*'LCOE &amp; CO2 Scaled'!R38+$AL$6*'Capital Employed Scaled'!R38+$AL$7*'LCOE &amp; CO2 Scaled'!$D$90</f>
        <v>91.188346061616784</v>
      </c>
      <c r="S9" s="100">
        <f>$AL$5*'LCOE &amp; CO2 Scaled'!S38+$AL$6*'Capital Employed Scaled'!S38+$AL$7*'LCOE &amp; CO2 Scaled'!$D$90</f>
        <v>91.206007301974012</v>
      </c>
      <c r="T9" s="100">
        <f>$AL$5*'LCOE &amp; CO2 Scaled'!T38+$AL$6*'Capital Employed Scaled'!T38+$AL$7*'LCOE &amp; CO2 Scaled'!$D$90</f>
        <v>91.223687646342839</v>
      </c>
      <c r="U9" s="100">
        <f>$AL$5*'LCOE &amp; CO2 Scaled'!U38+$AL$6*'Capital Employed Scaled'!U38+$AL$7*'LCOE &amp; CO2 Scaled'!$D$90</f>
        <v>91.241387231928655</v>
      </c>
      <c r="V9" s="100">
        <f>$AL$5*'LCOE &amp; CO2 Scaled'!V38+$AL$6*'Capital Employed Scaled'!V38+$AL$7*'LCOE &amp; CO2 Scaled'!$D$90</f>
        <v>91.259106196994011</v>
      </c>
      <c r="W9" s="100">
        <f>$AL$5*'LCOE &amp; CO2 Scaled'!W38+$AL$6*'Capital Employed Scaled'!W38+$AL$7*'LCOE &amp; CO2 Scaled'!$D$90</f>
        <v>91.27684468086899</v>
      </c>
      <c r="X9" s="100">
        <f>$AL$5*'LCOE &amp; CO2 Scaled'!X38+$AL$6*'Capital Employed Scaled'!X38+$AL$7*'LCOE &amp; CO2 Scaled'!$D$90</f>
        <v>91.294602823961725</v>
      </c>
      <c r="Y9" s="100">
        <f>$AL$5*'LCOE &amp; CO2 Scaled'!Y38+$AL$6*'Capital Employed Scaled'!Y38+$AL$7*'LCOE &amp; CO2 Scaled'!$D$90</f>
        <v>91.312380767768985</v>
      </c>
      <c r="Z9" s="100">
        <f>$AL$5*'LCOE &amp; CO2 Scaled'!Z38+$AL$6*'Capital Employed Scaled'!Z38+$AL$7*'LCOE &amp; CO2 Scaled'!$D$90</f>
        <v>91.330178654886993</v>
      </c>
      <c r="AA9" s="100">
        <f>$AL$5*'LCOE &amp; CO2 Scaled'!AA38+$AL$6*'Capital Employed Scaled'!AA38+$AL$7*'LCOE &amp; CO2 Scaled'!$D$90</f>
        <v>91.347996629022234</v>
      </c>
      <c r="AB9" s="100">
        <f>$AL$5*'LCOE &amp; CO2 Scaled'!AB38+$AL$6*'Capital Employed Scaled'!AB38+$AL$7*'LCOE &amp; CO2 Scaled'!$D$90</f>
        <v>91.365834835002516</v>
      </c>
      <c r="AC9" s="100">
        <f>$AL$5*'LCOE &amp; CO2 Scaled'!AC38+$AL$6*'Capital Employed Scaled'!AC38+$AL$7*'LCOE &amp; CO2 Scaled'!$D$90</f>
        <v>91.383693418788098</v>
      </c>
      <c r="AD9" s="100">
        <f>$AL$5*'LCOE &amp; CO2 Scaled'!AD38+$AL$6*'Capital Employed Scaled'!AD38+$AL$7*'LCOE &amp; CO2 Scaled'!$D$90</f>
        <v>91.401572527482955</v>
      </c>
      <c r="AE9" s="100">
        <f>$AL$5*'LCOE &amp; CO2 Scaled'!AE38+$AL$6*'Capital Employed Scaled'!AE38+$AL$7*'LCOE &amp; CO2 Scaled'!$D$90</f>
        <v>91.419472309346162</v>
      </c>
      <c r="AF9" s="100">
        <f>$AL$5*'LCOE &amp; CO2 Scaled'!AF38+$AL$6*'Capital Employed Scaled'!AF38+$AL$7*'LCOE &amp; CO2 Scaled'!$D$90</f>
        <v>91.437392913803549</v>
      </c>
      <c r="AG9" s="100">
        <f>$AL$5*'LCOE &amp; CO2 Scaled'!AG38+$AL$6*'Capital Employed Scaled'!AG38+$AL$7*'LCOE &amp; CO2 Scaled'!$D$90</f>
        <v>91.455334491459212</v>
      </c>
      <c r="AH9" s="100">
        <f>$AL$5*'LCOE &amp; CO2 Scaled'!AH38+$AL$6*'Capital Employed Scaled'!AH38+$AL$7*'LCOE &amp; CO2 Scaled'!$D$90</f>
        <v>91.473297194107502</v>
      </c>
      <c r="AI9" s="118" t="s">
        <v>97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</row>
    <row r="10" spans="1:82">
      <c r="A10" s="1"/>
      <c r="B10" s="118" t="s">
        <v>48</v>
      </c>
      <c r="C10" s="100">
        <f>$AL$5*'LCOE &amp; CO2 Scaled'!C39+$AL$6*'Capital Employed Scaled'!C39+$AL$7*'LCOE &amp; CO2 Scaled'!$D$91</f>
        <v>96.228976396822688</v>
      </c>
      <c r="D10" s="100">
        <f>$AL$5*'LCOE &amp; CO2 Scaled'!D39+$AL$6*'Capital Employed Scaled'!D39+$AL$7*'LCOE &amp; CO2 Scaled'!$D$91</f>
        <v>96.35002266982093</v>
      </c>
      <c r="E10" s="100">
        <f>$AL$5*'LCOE &amp; CO2 Scaled'!E39+$AL$6*'Capital Employed Scaled'!E39+$AL$7*'LCOE &amp; CO2 Scaled'!$D$91</f>
        <v>96.443877312570635</v>
      </c>
      <c r="F10" s="100">
        <f>$AL$5*'LCOE &amp; CO2 Scaled'!F39+$AL$6*'Capital Employed Scaled'!F39+$AL$7*'LCOE &amp; CO2 Scaled'!$D$91</f>
        <v>96.538296243158101</v>
      </c>
      <c r="G10" s="100">
        <f>$AL$5*'LCOE &amp; CO2 Scaled'!G39+$AL$6*'Capital Employed Scaled'!G39+$AL$7*'LCOE &amp; CO2 Scaled'!$D$91</f>
        <v>96.633284565979977</v>
      </c>
      <c r="H10" s="100">
        <f>$AL$5*'LCOE &amp; CO2 Scaled'!H39+$AL$6*'Capital Employed Scaled'!H39+$AL$7*'LCOE &amp; CO2 Scaled'!$D$91</f>
        <v>96.728847447183028</v>
      </c>
      <c r="I10" s="100">
        <f>$AL$5*'LCOE &amp; CO2 Scaled'!I39+$AL$6*'Capital Employed Scaled'!I39+$AL$7*'LCOE &amp; CO2 Scaled'!$D$91</f>
        <v>96.824990115600912</v>
      </c>
      <c r="J10" s="100">
        <f>$AL$5*'LCOE &amp; CO2 Scaled'!J39+$AL$6*'Capital Employed Scaled'!J39+$AL$7*'LCOE &amp; CO2 Scaled'!$D$91</f>
        <v>96.921717863707727</v>
      </c>
      <c r="K10" s="100">
        <f>$AL$5*'LCOE &amp; CO2 Scaled'!K39+$AL$6*'Capital Employed Scaled'!K39+$AL$7*'LCOE &amp; CO2 Scaled'!$D$91</f>
        <v>97.019036048589271</v>
      </c>
      <c r="L10" s="100">
        <f>$AL$5*'LCOE &amp; CO2 Scaled'!L39+$AL$6*'Capital Employed Scaled'!L39+$AL$7*'LCOE &amp; CO2 Scaled'!$D$91</f>
        <v>97.116950092932086</v>
      </c>
      <c r="M10" s="100">
        <f>$AL$5*'LCOE &amp; CO2 Scaled'!M39+$AL$6*'Capital Employed Scaled'!M39+$AL$7*'LCOE &amp; CO2 Scaled'!$D$91</f>
        <v>97.215465486030567</v>
      </c>
      <c r="N10" s="100">
        <f>$AL$5*'LCOE &amp; CO2 Scaled'!N39+$AL$6*'Capital Employed Scaled'!N39+$AL$7*'LCOE &amp; CO2 Scaled'!$D$91</f>
        <v>97.277249747219415</v>
      </c>
      <c r="O10" s="100">
        <f>$AL$5*'LCOE &amp; CO2 Scaled'!O39+$AL$6*'Capital Employed Scaled'!O39+$AL$7*'LCOE &amp; CO2 Scaled'!$D$91</f>
        <v>97.277249747219415</v>
      </c>
      <c r="P10" s="100">
        <f>$AL$5*'LCOE &amp; CO2 Scaled'!P39+$AL$6*'Capital Employed Scaled'!P39+$AL$7*'LCOE &amp; CO2 Scaled'!$D$91</f>
        <v>97.277249747219415</v>
      </c>
      <c r="Q10" s="100">
        <f>$AL$5*'LCOE &amp; CO2 Scaled'!Q39+$AL$6*'Capital Employed Scaled'!Q39+$AL$7*'LCOE &amp; CO2 Scaled'!$D$91</f>
        <v>97.277249747219415</v>
      </c>
      <c r="R10" s="100">
        <f>$AL$5*'LCOE &amp; CO2 Scaled'!R39+$AL$6*'Capital Employed Scaled'!R39+$AL$7*'LCOE &amp; CO2 Scaled'!$D$91</f>
        <v>97.277249747219415</v>
      </c>
      <c r="S10" s="100">
        <f>$AL$5*'LCOE &amp; CO2 Scaled'!S39+$AL$6*'Capital Employed Scaled'!S39+$AL$7*'LCOE &amp; CO2 Scaled'!$D$91</f>
        <v>97.277249747219415</v>
      </c>
      <c r="T10" s="100">
        <f>$AL$5*'LCOE &amp; CO2 Scaled'!T39+$AL$6*'Capital Employed Scaled'!T39+$AL$7*'LCOE &amp; CO2 Scaled'!$D$91</f>
        <v>97.277249747219415</v>
      </c>
      <c r="U10" s="100">
        <f>$AL$5*'LCOE &amp; CO2 Scaled'!U39+$AL$6*'Capital Employed Scaled'!U39+$AL$7*'LCOE &amp; CO2 Scaled'!$D$91</f>
        <v>97.277249747219415</v>
      </c>
      <c r="V10" s="100">
        <f>$AL$5*'LCOE &amp; CO2 Scaled'!V39+$AL$6*'Capital Employed Scaled'!V39+$AL$7*'LCOE &amp; CO2 Scaled'!$D$91</f>
        <v>97.277249747219415</v>
      </c>
      <c r="W10" s="100">
        <f>$AL$5*'LCOE &amp; CO2 Scaled'!W39+$AL$6*'Capital Employed Scaled'!W39+$AL$7*'LCOE &amp; CO2 Scaled'!$D$91</f>
        <v>97.277249747219415</v>
      </c>
      <c r="X10" s="100">
        <f>$AL$5*'LCOE &amp; CO2 Scaled'!X39+$AL$6*'Capital Employed Scaled'!X39+$AL$7*'LCOE &amp; CO2 Scaled'!$D$91</f>
        <v>97.277249747219415</v>
      </c>
      <c r="Y10" s="100">
        <f>$AL$5*'LCOE &amp; CO2 Scaled'!Y39+$AL$6*'Capital Employed Scaled'!Y39+$AL$7*'LCOE &amp; CO2 Scaled'!$D$91</f>
        <v>97.277249747219415</v>
      </c>
      <c r="Z10" s="100">
        <f>$AL$5*'LCOE &amp; CO2 Scaled'!Z39+$AL$6*'Capital Employed Scaled'!Z39+$AL$7*'LCOE &amp; CO2 Scaled'!$D$91</f>
        <v>97.277249747219415</v>
      </c>
      <c r="AA10" s="100">
        <f>$AL$5*'LCOE &amp; CO2 Scaled'!AA39+$AL$6*'Capital Employed Scaled'!AA39+$AL$7*'LCOE &amp; CO2 Scaled'!$D$91</f>
        <v>97.277249747219415</v>
      </c>
      <c r="AB10" s="100">
        <f>$AL$5*'LCOE &amp; CO2 Scaled'!AB39+$AL$6*'Capital Employed Scaled'!AB39+$AL$7*'LCOE &amp; CO2 Scaled'!$D$91</f>
        <v>97.277249747219415</v>
      </c>
      <c r="AC10" s="100">
        <f>$AL$5*'LCOE &amp; CO2 Scaled'!AC39+$AL$6*'Capital Employed Scaled'!AC39+$AL$7*'LCOE &amp; CO2 Scaled'!$D$91</f>
        <v>97.277249747219415</v>
      </c>
      <c r="AD10" s="100">
        <f>$AL$5*'LCOE &amp; CO2 Scaled'!AD39+$AL$6*'Capital Employed Scaled'!AD39+$AL$7*'LCOE &amp; CO2 Scaled'!$D$91</f>
        <v>97.277249747219415</v>
      </c>
      <c r="AE10" s="100">
        <f>$AL$5*'LCOE &amp; CO2 Scaled'!AE39+$AL$6*'Capital Employed Scaled'!AE39+$AL$7*'LCOE &amp; CO2 Scaled'!$D$91</f>
        <v>97.277249747219415</v>
      </c>
      <c r="AF10" s="100">
        <f>$AL$5*'LCOE &amp; CO2 Scaled'!AF39+$AL$6*'Capital Employed Scaled'!AF39+$AL$7*'LCOE &amp; CO2 Scaled'!$D$91</f>
        <v>97.277249747219415</v>
      </c>
      <c r="AG10" s="100">
        <f>$AL$5*'LCOE &amp; CO2 Scaled'!AG39+$AL$6*'Capital Employed Scaled'!AG39+$AL$7*'LCOE &amp; CO2 Scaled'!$D$91</f>
        <v>97.277249747219415</v>
      </c>
      <c r="AH10" s="100">
        <f>$AL$5*'LCOE &amp; CO2 Scaled'!AH39+$AL$6*'Capital Employed Scaled'!AH39+$AL$7*'LCOE &amp; CO2 Scaled'!$D$91</f>
        <v>97.277249747219415</v>
      </c>
      <c r="AI10" s="118" t="s">
        <v>98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</row>
    <row r="11" spans="1:82">
      <c r="A11" s="1"/>
      <c r="B11" s="118" t="s">
        <v>51</v>
      </c>
      <c r="C11" s="100">
        <f>$AL$5*'LCOE &amp; CO2 Scaled'!C40+$AL$6*'Capital Employed Scaled'!C40+$AL$7*'LCOE &amp; CO2 Scaled'!$D$92</f>
        <v>88.237745786454184</v>
      </c>
      <c r="D11" s="100">
        <f>$AL$5*'LCOE &amp; CO2 Scaled'!D40+$AL$6*'Capital Employed Scaled'!D40+$AL$7*'LCOE &amp; CO2 Scaled'!$D$92</f>
        <v>88.462217822609247</v>
      </c>
      <c r="E11" s="100">
        <f>$AL$5*'LCOE &amp; CO2 Scaled'!E40+$AL$6*'Capital Employed Scaled'!E40+$AL$7*'LCOE &amp; CO2 Scaled'!$D$92</f>
        <v>88.667510565491099</v>
      </c>
      <c r="F11" s="100">
        <f>$AL$5*'LCOE &amp; CO2 Scaled'!F40+$AL$6*'Capital Employed Scaled'!F40+$AL$7*'LCOE &amp; CO2 Scaled'!$D$92</f>
        <v>88.873707175944531</v>
      </c>
      <c r="G11" s="100">
        <f>$AL$5*'LCOE &amp; CO2 Scaled'!G40+$AL$6*'Capital Employed Scaled'!G40+$AL$7*'LCOE &amp; CO2 Scaled'!$D$92</f>
        <v>89.080824278851821</v>
      </c>
      <c r="H11" s="100">
        <f>$AL$5*'LCOE &amp; CO2 Scaled'!H40+$AL$6*'Capital Employed Scaled'!H40+$AL$7*'LCOE &amp; CO2 Scaled'!$D$92</f>
        <v>89.288878414601569</v>
      </c>
      <c r="I11" s="100">
        <f>$AL$5*'LCOE &amp; CO2 Scaled'!I40+$AL$6*'Capital Employed Scaled'!I40+$AL$7*'LCOE &amp; CO2 Scaled'!$D$92</f>
        <v>89.497886049775303</v>
      </c>
      <c r="J11" s="100">
        <f>$AL$5*'LCOE &amp; CO2 Scaled'!J40+$AL$6*'Capital Employed Scaled'!J40+$AL$7*'LCOE &amp; CO2 Scaled'!$D$92</f>
        <v>89.707863587432527</v>
      </c>
      <c r="K11" s="100">
        <f>$AL$5*'LCOE &amp; CO2 Scaled'!K40+$AL$6*'Capital Employed Scaled'!K40+$AL$7*'LCOE &amp; CO2 Scaled'!$D$92</f>
        <v>89.918827377019838</v>
      </c>
      <c r="L11" s="100">
        <f>$AL$5*'LCOE &amp; CO2 Scaled'!L40+$AL$6*'Capital Employed Scaled'!L40+$AL$7*'LCOE &amp; CO2 Scaled'!$D$92</f>
        <v>90.130793723928363</v>
      </c>
      <c r="M11" s="100">
        <f>$AL$5*'LCOE &amp; CO2 Scaled'!M40+$AL$6*'Capital Employed Scaled'!M40+$AL$7*'LCOE &amp; CO2 Scaled'!$D$92</f>
        <v>90.343778898722306</v>
      </c>
      <c r="N11" s="100">
        <f>$AL$5*'LCOE &amp; CO2 Scaled'!N40+$AL$6*'Capital Employed Scaled'!N40+$AL$7*'LCOE &amp; CO2 Scaled'!$D$92</f>
        <v>91.271151667704942</v>
      </c>
      <c r="O11" s="100">
        <f>$AL$5*'LCOE &amp; CO2 Scaled'!O40+$AL$6*'Capital Employed Scaled'!O40+$AL$7*'LCOE &amp; CO2 Scaled'!$D$92</f>
        <v>91.337547157378538</v>
      </c>
      <c r="P11" s="100">
        <f>$AL$5*'LCOE &amp; CO2 Scaled'!P40+$AL$6*'Capital Employed Scaled'!P40+$AL$7*'LCOE &amp; CO2 Scaled'!$D$92</f>
        <v>91.404126797400636</v>
      </c>
      <c r="Q11" s="100">
        <f>$AL$5*'LCOE &amp; CO2 Scaled'!Q40+$AL$6*'Capital Employed Scaled'!Q40+$AL$7*'LCOE &amp; CO2 Scaled'!$D$92</f>
        <v>91.470891695552098</v>
      </c>
      <c r="R11" s="100">
        <f>$AL$5*'LCOE &amp; CO2 Scaled'!R40+$AL$6*'Capital Employed Scaled'!R40+$AL$7*'LCOE &amp; CO2 Scaled'!$D$92</f>
        <v>91.537842968194539</v>
      </c>
      <c r="S11" s="100">
        <f>$AL$5*'LCOE &amp; CO2 Scaled'!S40+$AL$6*'Capital Employed Scaled'!S40+$AL$7*'LCOE &amp; CO2 Scaled'!$D$92</f>
        <v>91.604981740353963</v>
      </c>
      <c r="T11" s="100">
        <f>$AL$5*'LCOE &amp; CO2 Scaled'!T40+$AL$6*'Capital Employed Scaled'!T40+$AL$7*'LCOE &amp; CO2 Scaled'!$D$92</f>
        <v>91.672309145805116</v>
      </c>
      <c r="U11" s="100">
        <f>$AL$5*'LCOE &amp; CO2 Scaled'!U40+$AL$6*'Capital Employed Scaled'!U40+$AL$7*'LCOE &amp; CO2 Scaled'!$D$92</f>
        <v>91.739826327157076</v>
      </c>
      <c r="V11" s="100">
        <f>$AL$5*'LCOE &amp; CO2 Scaled'!V40+$AL$6*'Capital Employed Scaled'!V40+$AL$7*'LCOE &amp; CO2 Scaled'!$D$92</f>
        <v>91.807534435939644</v>
      </c>
      <c r="W11" s="100">
        <f>$AL$5*'LCOE &amp; CO2 Scaled'!W40+$AL$6*'Capital Employed Scaled'!W40+$AL$7*'LCOE &amp; CO2 Scaled'!$D$92</f>
        <v>91.875434632690897</v>
      </c>
      <c r="X11" s="100">
        <f>$AL$5*'LCOE &amp; CO2 Scaled'!X40+$AL$6*'Capital Employed Scaled'!X40+$AL$7*'LCOE &amp; CO2 Scaled'!$D$92</f>
        <v>91.943528087045706</v>
      </c>
      <c r="Y11" s="100">
        <f>$AL$5*'LCOE &amp; CO2 Scaled'!Y40+$AL$6*'Capital Employed Scaled'!Y40+$AL$7*'LCOE &amp; CO2 Scaled'!$D$92</f>
        <v>92.011815977825265</v>
      </c>
      <c r="Z11" s="100">
        <f>$AL$5*'LCOE &amp; CO2 Scaled'!Z40+$AL$6*'Capital Employed Scaled'!Z40+$AL$7*'LCOE &amp; CO2 Scaled'!$D$92</f>
        <v>92.080299493127796</v>
      </c>
      <c r="AA11" s="100">
        <f>$AL$5*'LCOE &amp; CO2 Scaled'!AA40+$AL$6*'Capital Employed Scaled'!AA40+$AL$7*'LCOE &amp; CO2 Scaled'!$D$92</f>
        <v>92.148979830420245</v>
      </c>
      <c r="AB11" s="100">
        <f>$AL$5*'LCOE &amp; CO2 Scaled'!AB40+$AL$6*'Capital Employed Scaled'!AB40+$AL$7*'LCOE &amp; CO2 Scaled'!$D$92</f>
        <v>92.217858196630999</v>
      </c>
      <c r="AC11" s="100">
        <f>$AL$5*'LCOE &amp; CO2 Scaled'!AC40+$AL$6*'Capital Employed Scaled'!AC40+$AL$7*'LCOE &amp; CO2 Scaled'!$D$92</f>
        <v>92.286935808243896</v>
      </c>
      <c r="AD11" s="100">
        <f>$AL$5*'LCOE &amp; CO2 Scaled'!AD40+$AL$6*'Capital Employed Scaled'!AD40+$AL$7*'LCOE &amp; CO2 Scaled'!$D$92</f>
        <v>92.35621389139321</v>
      </c>
      <c r="AE11" s="100">
        <f>$AL$5*'LCOE &amp; CO2 Scaled'!AE40+$AL$6*'Capital Employed Scaled'!AE40+$AL$7*'LCOE &amp; CO2 Scaled'!$D$92</f>
        <v>92.425693681959785</v>
      </c>
      <c r="AF11" s="100">
        <f>$AL$5*'LCOE &amp; CO2 Scaled'!AF40+$AL$6*'Capital Employed Scaled'!AF40+$AL$7*'LCOE &amp; CO2 Scaled'!$D$92</f>
        <v>92.495376425668383</v>
      </c>
      <c r="AG11" s="100">
        <f>$AL$5*'LCOE &amp; CO2 Scaled'!AG40+$AL$6*'Capital Employed Scaled'!AG40+$AL$7*'LCOE &amp; CO2 Scaled'!$D$92</f>
        <v>92.56526337818616</v>
      </c>
      <c r="AH11" s="100">
        <f>$AL$5*'LCOE &amp; CO2 Scaled'!AH40+$AL$6*'Capital Employed Scaled'!AH40+$AL$7*'LCOE &amp; CO2 Scaled'!$D$92</f>
        <v>92.635355805222304</v>
      </c>
      <c r="AI11" s="118" t="s">
        <v>99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</row>
    <row r="12" spans="1:82">
      <c r="A12" s="1"/>
      <c r="B12" s="118" t="s">
        <v>56</v>
      </c>
      <c r="C12" s="100">
        <f>$AL$5*'LCOE &amp; CO2 Scaled'!C41+$AL$6*'Capital Employed Scaled'!C41+$AL$7*'LCOE &amp; CO2 Scaled'!$D$93</f>
        <v>98.602355287466722</v>
      </c>
      <c r="D12" s="100">
        <f>$AL$5*'LCOE &amp; CO2 Scaled'!D41+$AL$6*'Capital Employed Scaled'!D41+$AL$7*'LCOE &amp; CO2 Scaled'!$D$93</f>
        <v>98.5407391242843</v>
      </c>
      <c r="E12" s="100">
        <f>$AL$5*'LCOE &amp; CO2 Scaled'!E41+$AL$6*'Capital Employed Scaled'!E41+$AL$7*'LCOE &amp; CO2 Scaled'!$D$93</f>
        <v>98.453728317307863</v>
      </c>
      <c r="F12" s="100">
        <f>$AL$5*'LCOE &amp; CO2 Scaled'!F41+$AL$6*'Capital Employed Scaled'!F41+$AL$7*'LCOE &amp; CO2 Scaled'!$D$93</f>
        <v>98.367624774128984</v>
      </c>
      <c r="G12" s="100">
        <f>$AL$5*'LCOE &amp; CO2 Scaled'!G41+$AL$6*'Capital Employed Scaled'!G41+$AL$7*'LCOE &amp; CO2 Scaled'!$D$93</f>
        <v>98.282413481386584</v>
      </c>
      <c r="H12" s="100">
        <f>$AL$5*'LCOE &amp; CO2 Scaled'!H41+$AL$6*'Capital Employed Scaled'!H41+$AL$7*'LCOE &amp; CO2 Scaled'!$D$93</f>
        <v>98.198079412210973</v>
      </c>
      <c r="I12" s="100">
        <f>$AL$5*'LCOE &amp; CO2 Scaled'!I41+$AL$6*'Capital Employed Scaled'!I41+$AL$7*'LCOE &amp; CO2 Scaled'!$D$93</f>
        <v>98.11460755418544</v>
      </c>
      <c r="J12" s="100">
        <f>$AL$5*'LCOE &amp; CO2 Scaled'!J41+$AL$6*'Capital Employed Scaled'!J41+$AL$7*'LCOE &amp; CO2 Scaled'!$D$93</f>
        <v>98.031982934028946</v>
      </c>
      <c r="K12" s="100">
        <f>$AL$5*'LCOE &amp; CO2 Scaled'!K41+$AL$6*'Capital Employed Scaled'!K41+$AL$7*'LCOE &amp; CO2 Scaled'!$D$93</f>
        <v>97.950190639334934</v>
      </c>
      <c r="L12" s="100">
        <f>$AL$5*'LCOE &amp; CO2 Scaled'!L41+$AL$6*'Capital Employed Scaled'!L41+$AL$7*'LCOE &amp; CO2 Scaled'!$D$93</f>
        <v>97.869215837666303</v>
      </c>
      <c r="M12" s="100">
        <f>$AL$5*'LCOE &amp; CO2 Scaled'!M41+$AL$6*'Capital Employed Scaled'!M41+$AL$7*'LCOE &amp; CO2 Scaled'!$D$93</f>
        <v>97.789043793276051</v>
      </c>
      <c r="N12" s="100">
        <f>$AL$5*'LCOE &amp; CO2 Scaled'!N41+$AL$6*'Capital Employed Scaled'!N41+$AL$7*'LCOE &amp; CO2 Scaled'!$D$93</f>
        <v>98.533923448798134</v>
      </c>
      <c r="O12" s="100">
        <f>$AL$5*'LCOE &amp; CO2 Scaled'!O41+$AL$6*'Capital Employed Scaled'!O41+$AL$7*'LCOE &amp; CO2 Scaled'!$D$93</f>
        <v>98.51558780105475</v>
      </c>
      <c r="P12" s="100">
        <f>$AL$5*'LCOE &amp; CO2 Scaled'!P41+$AL$6*'Capital Employed Scaled'!P41+$AL$7*'LCOE &amp; CO2 Scaled'!$D$93</f>
        <v>98.49713959960134</v>
      </c>
      <c r="Q12" s="100">
        <f>$AL$5*'LCOE &amp; CO2 Scaled'!Q41+$AL$6*'Capital Employed Scaled'!Q41+$AL$7*'LCOE &amp; CO2 Scaled'!$D$93</f>
        <v>98.478579448106927</v>
      </c>
      <c r="R12" s="100">
        <f>$AL$5*'LCOE &amp; CO2 Scaled'!R41+$AL$6*'Capital Employed Scaled'!R41+$AL$7*'LCOE &amp; CO2 Scaled'!$D$93</f>
        <v>98.459907925174903</v>
      </c>
      <c r="S12" s="100">
        <f>$AL$5*'LCOE &amp; CO2 Scaled'!S41+$AL$6*'Capital Employed Scaled'!S41+$AL$7*'LCOE &amp; CO2 Scaled'!$D$93</f>
        <v>98.441125584963586</v>
      </c>
      <c r="T12" s="100">
        <f>$AL$5*'LCOE &amp; CO2 Scaled'!T41+$AL$6*'Capital Employed Scaled'!T41+$AL$7*'LCOE &amp; CO2 Scaled'!$D$93</f>
        <v>98.42223295778409</v>
      </c>
      <c r="U12" s="100">
        <f>$AL$5*'LCOE &amp; CO2 Scaled'!U41+$AL$6*'Capital Employed Scaled'!U41+$AL$7*'LCOE &amp; CO2 Scaled'!$D$93</f>
        <v>98.403230550676426</v>
      </c>
      <c r="V12" s="100">
        <f>$AL$5*'LCOE &amp; CO2 Scaled'!V41+$AL$6*'Capital Employed Scaled'!V41+$AL$7*'LCOE &amp; CO2 Scaled'!$D$93</f>
        <v>98.384118847964643</v>
      </c>
      <c r="W12" s="100">
        <f>$AL$5*'LCOE &amp; CO2 Scaled'!W41+$AL$6*'Capital Employed Scaled'!W41+$AL$7*'LCOE &amp; CO2 Scaled'!$D$93</f>
        <v>98.364898311791734</v>
      </c>
      <c r="X12" s="100">
        <f>$AL$5*'LCOE &amp; CO2 Scaled'!X41+$AL$6*'Capital Employed Scaled'!X41+$AL$7*'LCOE &amp; CO2 Scaled'!$D$93</f>
        <v>98.345569382635375</v>
      </c>
      <c r="Y12" s="100">
        <f>$AL$5*'LCOE &amp; CO2 Scaled'!Y41+$AL$6*'Capital Employed Scaled'!Y41+$AL$7*'LCOE &amp; CO2 Scaled'!$D$93</f>
        <v>98.326132479804926</v>
      </c>
      <c r="Z12" s="100">
        <f>$AL$5*'LCOE &amp; CO2 Scaled'!Z41+$AL$6*'Capital Employed Scaled'!Z41+$AL$7*'LCOE &amp; CO2 Scaled'!$D$93</f>
        <v>98.306588001920517</v>
      </c>
      <c r="AA12" s="100">
        <f>$AL$5*'LCOE &amp; CO2 Scaled'!AA41+$AL$6*'Capital Employed Scaled'!AA41+$AL$7*'LCOE &amp; CO2 Scaled'!$D$93</f>
        <v>98.286936327374946</v>
      </c>
      <c r="AB12" s="100">
        <f>$AL$5*'LCOE &amp; CO2 Scaled'!AB41+$AL$6*'Capital Employed Scaled'!AB41+$AL$7*'LCOE &amp; CO2 Scaled'!$D$93</f>
        <v>98.267177814778975</v>
      </c>
      <c r="AC12" s="100">
        <f>$AL$5*'LCOE &amp; CO2 Scaled'!AC41+$AL$6*'Capital Employed Scaled'!AC41+$AL$7*'LCOE &amp; CO2 Scaled'!$D$93</f>
        <v>98.247312803390685</v>
      </c>
      <c r="AD12" s="100">
        <f>$AL$5*'LCOE &amp; CO2 Scaled'!AD41+$AL$6*'Capital Employed Scaled'!AD41+$AL$7*'LCOE &amp; CO2 Scaled'!$D$93</f>
        <v>98.227341613529418</v>
      </c>
      <c r="AE12" s="100">
        <f>$AL$5*'LCOE &amp; CO2 Scaled'!AE41+$AL$6*'Capital Employed Scaled'!AE41+$AL$7*'LCOE &amp; CO2 Scaled'!$D$93</f>
        <v>98.207264546974955</v>
      </c>
      <c r="AF12" s="100">
        <f>$AL$5*'LCOE &amp; CO2 Scaled'!AF41+$AL$6*'Capital Employed Scaled'!AF41+$AL$7*'LCOE &amp; CO2 Scaled'!$D$93</f>
        <v>98.187081887352377</v>
      </c>
      <c r="AG12" s="100">
        <f>$AL$5*'LCOE &amp; CO2 Scaled'!AG41+$AL$6*'Capital Employed Scaled'!AG41+$AL$7*'LCOE &amp; CO2 Scaled'!$D$93</f>
        <v>98.166793900503166</v>
      </c>
      <c r="AH12" s="100">
        <f>$AL$5*'LCOE &amp; CO2 Scaled'!AH41+$AL$6*'Capital Employed Scaled'!AH41+$AL$7*'LCOE &amp; CO2 Scaled'!$D$93</f>
        <v>98.146400834843121</v>
      </c>
      <c r="AI12" s="118" t="s">
        <v>100</v>
      </c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</row>
    <row r="13" spans="1:82">
      <c r="A13" s="1"/>
      <c r="B13" s="118" t="s">
        <v>59</v>
      </c>
      <c r="C13" s="100">
        <f>$AL$5*'LCOE &amp; CO2 Scaled'!C42+$AL$6*'Capital Employed Scaled'!C42+$AL$7*'LCOE &amp; CO2 Scaled'!$D$94</f>
        <v>90.762710875329006</v>
      </c>
      <c r="D13" s="100">
        <f>$AL$5*'LCOE &amp; CO2 Scaled'!D42+$AL$6*'Capital Employed Scaled'!D42+$AL$7*'LCOE &amp; CO2 Scaled'!$D$94</f>
        <v>90.99565765657519</v>
      </c>
      <c r="E13" s="100">
        <f>$AL$5*'LCOE &amp; CO2 Scaled'!E42+$AL$6*'Capital Employed Scaled'!E42+$AL$7*'LCOE &amp; CO2 Scaled'!$D$94</f>
        <v>91.209404973250955</v>
      </c>
      <c r="F13" s="100">
        <f>$AL$5*'LCOE &amp; CO2 Scaled'!F42+$AL$6*'Capital Employed Scaled'!F42+$AL$7*'LCOE &amp; CO2 Scaled'!$D$94</f>
        <v>91.422574896310408</v>
      </c>
      <c r="G13" s="100">
        <f>$AL$5*'LCOE &amp; CO2 Scaled'!G42+$AL$6*'Capital Employed Scaled'!G42+$AL$7*'LCOE &amp; CO2 Scaled'!$D$94</f>
        <v>91.63522370233099</v>
      </c>
      <c r="H13" s="100">
        <f>$AL$5*'LCOE &amp; CO2 Scaled'!H42+$AL$6*'Capital Employed Scaled'!H42+$AL$7*'LCOE &amp; CO2 Scaled'!$D$94</f>
        <v>91.847406089078248</v>
      </c>
      <c r="I13" s="100">
        <f>$AL$5*'LCOE &amp; CO2 Scaled'!I42+$AL$6*'Capital Employed Scaled'!I42+$AL$7*'LCOE &amp; CO2 Scaled'!$D$94</f>
        <v>92.059175249174658</v>
      </c>
      <c r="J13" s="100">
        <f>$AL$5*'LCOE &amp; CO2 Scaled'!J42+$AL$6*'Capital Employed Scaled'!J42+$AL$7*'LCOE &amp; CO2 Scaled'!$D$94</f>
        <v>92.270582940188675</v>
      </c>
      <c r="K13" s="100">
        <f>$AL$5*'LCOE &amp; CO2 Scaled'!K42+$AL$6*'Capital Employed Scaled'!K42+$AL$7*'LCOE &amp; CO2 Scaled'!$D$94</f>
        <v>92.481679551352826</v>
      </c>
      <c r="L13" s="100">
        <f>$AL$5*'LCOE &amp; CO2 Scaled'!L42+$AL$6*'Capital Employed Scaled'!L42+$AL$7*'LCOE &amp; CO2 Scaled'!$D$94</f>
        <v>92.69251416710631</v>
      </c>
      <c r="M13" s="100">
        <f>$AL$5*'LCOE &amp; CO2 Scaled'!M42+$AL$6*'Capital Employed Scaled'!M42+$AL$7*'LCOE &amp; CO2 Scaled'!$D$94</f>
        <v>92.903134627645031</v>
      </c>
      <c r="N13" s="100">
        <f>$AL$5*'LCOE &amp; CO2 Scaled'!N42+$AL$6*'Capital Employed Scaled'!N42+$AL$7*'LCOE &amp; CO2 Scaled'!$D$94</f>
        <v>93.798546614845549</v>
      </c>
      <c r="O13" s="100">
        <f>$AL$5*'LCOE &amp; CO2 Scaled'!O42+$AL$6*'Capital Employed Scaled'!O42+$AL$7*'LCOE &amp; CO2 Scaled'!$D$94</f>
        <v>93.837223541288168</v>
      </c>
      <c r="P13" s="100">
        <f>$AL$5*'LCOE &amp; CO2 Scaled'!P42+$AL$6*'Capital Employed Scaled'!P42+$AL$7*'LCOE &amp; CO2 Scaled'!$D$94</f>
        <v>93.875890707801958</v>
      </c>
      <c r="Q13" s="100">
        <f>$AL$5*'LCOE &amp; CO2 Scaled'!Q42+$AL$6*'Capital Employed Scaled'!Q42+$AL$7*'LCOE &amp; CO2 Scaled'!$D$94</f>
        <v>93.91454909744823</v>
      </c>
      <c r="R13" s="100">
        <f>$AL$5*'LCOE &amp; CO2 Scaled'!R42+$AL$6*'Capital Employed Scaled'!R42+$AL$7*'LCOE &amp; CO2 Scaled'!$D$94</f>
        <v>93.95319969348833</v>
      </c>
      <c r="S13" s="100">
        <f>$AL$5*'LCOE &amp; CO2 Scaled'!S42+$AL$6*'Capital Employed Scaled'!S42+$AL$7*'LCOE &amp; CO2 Scaled'!$D$94</f>
        <v>93.991843479450964</v>
      </c>
      <c r="T13" s="100">
        <f>$AL$5*'LCOE &amp; CO2 Scaled'!T42+$AL$6*'Capital Employed Scaled'!T42+$AL$7*'LCOE &amp; CO2 Scaled'!$D$94</f>
        <v>94.030481439199519</v>
      </c>
      <c r="U13" s="100">
        <f>$AL$5*'LCOE &amp; CO2 Scaled'!U42+$AL$6*'Capital Employed Scaled'!U42+$AL$7*'LCOE &amp; CO2 Scaled'!$D$94</f>
        <v>94.069114556999466</v>
      </c>
      <c r="V13" s="100">
        <f>$AL$5*'LCOE &amp; CO2 Scaled'!V42+$AL$6*'Capital Employed Scaled'!V42+$AL$7*'LCOE &amp; CO2 Scaled'!$D$94</f>
        <v>94.10774381758597</v>
      </c>
      <c r="W13" s="100">
        <f>$AL$5*'LCOE &amp; CO2 Scaled'!W42+$AL$6*'Capital Employed Scaled'!W42+$AL$7*'LCOE &amp; CO2 Scaled'!$D$94</f>
        <v>94.146370206231524</v>
      </c>
      <c r="X13" s="100">
        <f>$AL$5*'LCOE &amp; CO2 Scaled'!X42+$AL$6*'Capital Employed Scaled'!X42+$AL$7*'LCOE &amp; CO2 Scaled'!$D$94</f>
        <v>94.184994708813875</v>
      </c>
      <c r="Y13" s="100">
        <f>$AL$5*'LCOE &amp; CO2 Scaled'!Y42+$AL$6*'Capital Employed Scaled'!Y42+$AL$7*'LCOE &amp; CO2 Scaled'!$D$94</f>
        <v>94.223618311883911</v>
      </c>
      <c r="Z13" s="100">
        <f>$AL$5*'LCOE &amp; CO2 Scaled'!Z42+$AL$6*'Capital Employed Scaled'!Z42+$AL$7*'LCOE &amp; CO2 Scaled'!$D$94</f>
        <v>94.262242002733899</v>
      </c>
      <c r="AA13" s="100">
        <f>$AL$5*'LCOE &amp; CO2 Scaled'!AA42+$AL$6*'Capital Employed Scaled'!AA42+$AL$7*'LCOE &amp; CO2 Scaled'!$D$94</f>
        <v>94.300866769465728</v>
      </c>
      <c r="AB13" s="100">
        <f>$AL$5*'LCOE &amp; CO2 Scaled'!AB42+$AL$6*'Capital Employed Scaled'!AB42+$AL$7*'LCOE &amp; CO2 Scaled'!$D$94</f>
        <v>94.339493601059417</v>
      </c>
      <c r="AC13" s="100">
        <f>$AL$5*'LCOE &amp; CO2 Scaled'!AC42+$AL$6*'Capital Employed Scaled'!AC42+$AL$7*'LCOE &amp; CO2 Scaled'!$D$94</f>
        <v>94.37812348744184</v>
      </c>
      <c r="AD13" s="100">
        <f>$AL$5*'LCOE &amp; CO2 Scaled'!AD42+$AL$6*'Capital Employed Scaled'!AD42+$AL$7*'LCOE &amp; CO2 Scaled'!$D$94</f>
        <v>94.416757419555594</v>
      </c>
      <c r="AE13" s="100">
        <f>$AL$5*'LCOE &amp; CO2 Scaled'!AE42+$AL$6*'Capital Employed Scaled'!AE42+$AL$7*'LCOE &amp; CO2 Scaled'!$D$94</f>
        <v>94.455396389428074</v>
      </c>
      <c r="AF13" s="100">
        <f>$AL$5*'LCOE &amp; CO2 Scaled'!AF42+$AL$6*'Capital Employed Scaled'!AF42+$AL$7*'LCOE &amp; CO2 Scaled'!$D$94</f>
        <v>94.49404139024081</v>
      </c>
      <c r="AG13" s="100">
        <f>$AL$5*'LCOE &amp; CO2 Scaled'!AG42+$AL$6*'Capital Employed Scaled'!AG42+$AL$7*'LCOE &amp; CO2 Scaled'!$D$94</f>
        <v>94.532693416399042</v>
      </c>
      <c r="AH13" s="100">
        <f>$AL$5*'LCOE &amp; CO2 Scaled'!AH42+$AL$6*'Capital Employed Scaled'!AH42+$AL$7*'LCOE &amp; CO2 Scaled'!$D$94</f>
        <v>94.57135346360144</v>
      </c>
      <c r="AI13" s="118" t="s">
        <v>101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</row>
    <row r="14" spans="1:82">
      <c r="A14" s="1"/>
      <c r="B14" s="118" t="s">
        <v>5</v>
      </c>
      <c r="C14" s="100">
        <f>$AL$5*'LCOE &amp; CO2 Scaled'!C43+$AL$6*'Capital Employed Scaled'!C43+$AL$7*'LCOE &amp; CO2 Scaled'!$D$95</f>
        <v>89.101755516297914</v>
      </c>
      <c r="D14" s="100">
        <f>$AL$5*'LCOE &amp; CO2 Scaled'!D43+$AL$6*'Capital Employed Scaled'!D43+$AL$7*'LCOE &amp; CO2 Scaled'!$D$95</f>
        <v>89.047785831715203</v>
      </c>
      <c r="E14" s="100">
        <f>$AL$5*'LCOE &amp; CO2 Scaled'!E43+$AL$6*'Capital Employed Scaled'!E43+$AL$7*'LCOE &amp; CO2 Scaled'!$D$95</f>
        <v>88.968767150594388</v>
      </c>
      <c r="F14" s="100">
        <f>$AL$5*'LCOE &amp; CO2 Scaled'!F43+$AL$6*'Capital Employed Scaled'!F43+$AL$7*'LCOE &amp; CO2 Scaled'!$D$95</f>
        <v>88.891223502668694</v>
      </c>
      <c r="G14" s="100">
        <f>$AL$5*'LCOE &amp; CO2 Scaled'!G43+$AL$6*'Capital Employed Scaled'!G43+$AL$7*'LCOE &amp; CO2 Scaled'!$D$95</f>
        <v>88.815118367603191</v>
      </c>
      <c r="H14" s="100">
        <f>$AL$5*'LCOE &amp; CO2 Scaled'!H43+$AL$6*'Capital Employed Scaled'!H43+$AL$7*'LCOE &amp; CO2 Scaled'!$D$95</f>
        <v>88.740416468898644</v>
      </c>
      <c r="I14" s="100">
        <f>$AL$5*'LCOE &amp; CO2 Scaled'!I43+$AL$6*'Capital Employed Scaled'!I43+$AL$7*'LCOE &amp; CO2 Scaled'!$D$95</f>
        <v>88.667083722122626</v>
      </c>
      <c r="J14" s="100">
        <f>$AL$5*'LCOE &amp; CO2 Scaled'!J43+$AL$6*'Capital Employed Scaled'!J43+$AL$7*'LCOE &amp; CO2 Scaled'!$D$95</f>
        <v>88.595087185718015</v>
      </c>
      <c r="K14" s="100">
        <f>$AL$5*'LCOE &amp; CO2 Scaled'!K43+$AL$6*'Capital Employed Scaled'!K43+$AL$7*'LCOE &amp; CO2 Scaled'!$D$95</f>
        <v>88.524395014240596</v>
      </c>
      <c r="L14" s="100">
        <f>$AL$5*'LCOE &amp; CO2 Scaled'!L43+$AL$6*'Capital Employed Scaled'!L43+$AL$7*'LCOE &amp; CO2 Scaled'!$D$95</f>
        <v>88.454976413887309</v>
      </c>
      <c r="M14" s="100">
        <f>$AL$5*'LCOE &amp; CO2 Scaled'!M43+$AL$6*'Capital Employed Scaled'!M43+$AL$7*'LCOE &amp; CO2 Scaled'!$D$95</f>
        <v>88.38680160018562</v>
      </c>
      <c r="N14" s="100">
        <f>$AL$5*'LCOE &amp; CO2 Scaled'!N43+$AL$6*'Capital Employed Scaled'!N43+$AL$7*'LCOE &amp; CO2 Scaled'!$D$95</f>
        <v>89.163436616125139</v>
      </c>
      <c r="O14" s="100">
        <f>$AL$5*'LCOE &amp; CO2 Scaled'!O43+$AL$6*'Capital Employed Scaled'!O43+$AL$7*'LCOE &amp; CO2 Scaled'!$D$95</f>
        <v>89.18228696720081</v>
      </c>
      <c r="P14" s="100">
        <f>$AL$5*'LCOE &amp; CO2 Scaled'!P43+$AL$6*'Capital Employed Scaled'!P43+$AL$7*'LCOE &amp; CO2 Scaled'!$D$95</f>
        <v>89.20121408703119</v>
      </c>
      <c r="Q14" s="100">
        <f>$AL$5*'LCOE &amp; CO2 Scaled'!Q43+$AL$6*'Capital Employed Scaled'!Q43+$AL$7*'LCOE &amp; CO2 Scaled'!$D$95</f>
        <v>89.220218420087733</v>
      </c>
      <c r="R14" s="100">
        <f>$AL$5*'LCOE &amp; CO2 Scaled'!R43+$AL$6*'Capital Employed Scaled'!R43+$AL$7*'LCOE &amp; CO2 Scaled'!$D$95</f>
        <v>89.239300414296139</v>
      </c>
      <c r="S14" s="100">
        <f>$AL$5*'LCOE &amp; CO2 Scaled'!S43+$AL$6*'Capital Employed Scaled'!S43+$AL$7*'LCOE &amp; CO2 Scaled'!$D$95</f>
        <v>89.258460521069892</v>
      </c>
      <c r="T14" s="100">
        <f>$AL$5*'LCOE &amp; CO2 Scaled'!T43+$AL$6*'Capital Employed Scaled'!T43+$AL$7*'LCOE &amp; CO2 Scaled'!$D$95</f>
        <v>89.277699195344269</v>
      </c>
      <c r="U14" s="100">
        <f>$AL$5*'LCOE &amp; CO2 Scaled'!U43+$AL$6*'Capital Employed Scaled'!U43+$AL$7*'LCOE &amp; CO2 Scaled'!$D$95</f>
        <v>89.297016895610767</v>
      </c>
      <c r="V14" s="100">
        <f>$AL$5*'LCOE &amp; CO2 Scaled'!V43+$AL$6*'Capital Employed Scaled'!V43+$AL$7*'LCOE &amp; CO2 Scaled'!$D$95</f>
        <v>89.316414083951884</v>
      </c>
      <c r="W14" s="100">
        <f>$AL$5*'LCOE &amp; CO2 Scaled'!W43+$AL$6*'Capital Employed Scaled'!W43+$AL$7*'LCOE &amp; CO2 Scaled'!$D$95</f>
        <v>89.335891226076299</v>
      </c>
      <c r="X14" s="100">
        <f>$AL$5*'LCOE &amp; CO2 Scaled'!X43+$AL$6*'Capital Employed Scaled'!X43+$AL$7*'LCOE &amp; CO2 Scaled'!$D$95</f>
        <v>89.355448791354576</v>
      </c>
      <c r="Y14" s="100">
        <f>$AL$5*'LCOE &amp; CO2 Scaled'!Y43+$AL$6*'Capital Employed Scaled'!Y43+$AL$7*'LCOE &amp; CO2 Scaled'!$D$95</f>
        <v>89.375087252855167</v>
      </c>
      <c r="Z14" s="100">
        <f>$AL$5*'LCOE &amp; CO2 Scaled'!Z43+$AL$6*'Capital Employed Scaled'!Z43+$AL$7*'LCOE &amp; CO2 Scaled'!$D$95</f>
        <v>89.394807087380855</v>
      </c>
      <c r="AA14" s="100">
        <f>$AL$5*'LCOE &amp; CO2 Scaled'!AA43+$AL$6*'Capital Employed Scaled'!AA43+$AL$7*'LCOE &amp; CO2 Scaled'!$D$95</f>
        <v>89.414608775505727</v>
      </c>
      <c r="AB14" s="100">
        <f>$AL$5*'LCOE &amp; CO2 Scaled'!AB43+$AL$6*'Capital Employed Scaled'!AB43+$AL$7*'LCOE &amp; CO2 Scaled'!$D$95</f>
        <v>89.434492801612478</v>
      </c>
      <c r="AC14" s="100">
        <f>$AL$5*'LCOE &amp; CO2 Scaled'!AC43+$AL$6*'Capital Employed Scaled'!AC43+$AL$7*'LCOE &amp; CO2 Scaled'!$D$95</f>
        <v>89.454459653930201</v>
      </c>
      <c r="AD14" s="100">
        <f>$AL$5*'LCOE &amp; CO2 Scaled'!AD43+$AL$6*'Capital Employed Scaled'!AD43+$AL$7*'LCOE &amp; CO2 Scaled'!$D$95</f>
        <v>89.474509824572664</v>
      </c>
      <c r="AE14" s="100">
        <f>$AL$5*'LCOE &amp; CO2 Scaled'!AE43+$AL$6*'Capital Employed Scaled'!AE43+$AL$7*'LCOE &amp; CO2 Scaled'!$D$95</f>
        <v>89.494643809576957</v>
      </c>
      <c r="AF14" s="100">
        <f>$AL$5*'LCOE &amp; CO2 Scaled'!AF43+$AL$6*'Capital Employed Scaled'!AF43+$AL$7*'LCOE &amp; CO2 Scaled'!$D$95</f>
        <v>89.514862108942665</v>
      </c>
      <c r="AG14" s="100">
        <f>$AL$5*'LCOE &amp; CO2 Scaled'!AG43+$AL$6*'Capital Employed Scaled'!AG43+$AL$7*'LCOE &amp; CO2 Scaled'!$D$95</f>
        <v>89.535165226671566</v>
      </c>
      <c r="AH14" s="100">
        <f>$AL$5*'LCOE &amp; CO2 Scaled'!AH43+$AL$6*'Capital Employed Scaled'!AH43+$AL$7*'LCOE &amp; CO2 Scaled'!$D$95</f>
        <v>89.55555367080764</v>
      </c>
      <c r="AI14" s="118" t="s">
        <v>5</v>
      </c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</row>
    <row r="15" spans="1:82">
      <c r="A15" s="1"/>
      <c r="B15" s="118" t="s">
        <v>6</v>
      </c>
      <c r="C15" s="100">
        <f>$AL$5*'LCOE &amp; CO2 Scaled'!C44+$AL$6*'Capital Employed Scaled'!C44+$AL$7*'LCOE &amp; CO2 Scaled'!$D$96</f>
        <v>77.317087967644085</v>
      </c>
      <c r="D15" s="100">
        <f>$AL$5*'LCOE &amp; CO2 Scaled'!D44+$AL$6*'Capital Employed Scaled'!D44+$AL$7*'LCOE &amp; CO2 Scaled'!$D$96</f>
        <v>77.317087967644085</v>
      </c>
      <c r="E15" s="100">
        <f>$AL$5*'LCOE &amp; CO2 Scaled'!E44+$AL$6*'Capital Employed Scaled'!E44+$AL$7*'LCOE &amp; CO2 Scaled'!$D$96</f>
        <v>77.317087967644085</v>
      </c>
      <c r="F15" s="100">
        <f>$AL$5*'LCOE &amp; CO2 Scaled'!F44+$AL$6*'Capital Employed Scaled'!F44+$AL$7*'LCOE &amp; CO2 Scaled'!$D$96</f>
        <v>77.317087967644085</v>
      </c>
      <c r="G15" s="100">
        <f>$AL$5*'LCOE &amp; CO2 Scaled'!G44+$AL$6*'Capital Employed Scaled'!G44+$AL$7*'LCOE &amp; CO2 Scaled'!$D$96</f>
        <v>77.317087967644085</v>
      </c>
      <c r="H15" s="100">
        <f>$AL$5*'LCOE &amp; CO2 Scaled'!H44+$AL$6*'Capital Employed Scaled'!H44+$AL$7*'LCOE &amp; CO2 Scaled'!$D$96</f>
        <v>77.317087967644085</v>
      </c>
      <c r="I15" s="100">
        <f>$AL$5*'LCOE &amp; CO2 Scaled'!I44+$AL$6*'Capital Employed Scaled'!I44+$AL$7*'LCOE &amp; CO2 Scaled'!$D$96</f>
        <v>77.317087967644085</v>
      </c>
      <c r="J15" s="100">
        <f>$AL$5*'LCOE &amp; CO2 Scaled'!J44+$AL$6*'Capital Employed Scaled'!J44+$AL$7*'LCOE &amp; CO2 Scaled'!$D$96</f>
        <v>77.317087967644085</v>
      </c>
      <c r="K15" s="100">
        <f>$AL$5*'LCOE &amp; CO2 Scaled'!K44+$AL$6*'Capital Employed Scaled'!K44+$AL$7*'LCOE &amp; CO2 Scaled'!$D$96</f>
        <v>77.317087967644085</v>
      </c>
      <c r="L15" s="100">
        <f>$AL$5*'LCOE &amp; CO2 Scaled'!L44+$AL$6*'Capital Employed Scaled'!L44+$AL$7*'LCOE &amp; CO2 Scaled'!$D$96</f>
        <v>77.317087967644085</v>
      </c>
      <c r="M15" s="100">
        <f>$AL$5*'LCOE &amp; CO2 Scaled'!M44+$AL$6*'Capital Employed Scaled'!M44+$AL$7*'LCOE &amp; CO2 Scaled'!$D$96</f>
        <v>77.317087967644085</v>
      </c>
      <c r="N15" s="100">
        <f>$AL$5*'LCOE &amp; CO2 Scaled'!N44+$AL$6*'Capital Employed Scaled'!N44+$AL$7*'LCOE &amp; CO2 Scaled'!$D$96</f>
        <v>77.317087967644085</v>
      </c>
      <c r="O15" s="100">
        <f>$AL$5*'LCOE &amp; CO2 Scaled'!O44+$AL$6*'Capital Employed Scaled'!O44+$AL$7*'LCOE &amp; CO2 Scaled'!$D$96</f>
        <v>77.317087967644085</v>
      </c>
      <c r="P15" s="100">
        <f>$AL$5*'LCOE &amp; CO2 Scaled'!P44+$AL$6*'Capital Employed Scaled'!P44+$AL$7*'LCOE &amp; CO2 Scaled'!$D$96</f>
        <v>77.317087967644085</v>
      </c>
      <c r="Q15" s="100">
        <f>$AL$5*'LCOE &amp; CO2 Scaled'!Q44+$AL$6*'Capital Employed Scaled'!Q44+$AL$7*'LCOE &amp; CO2 Scaled'!$D$96</f>
        <v>77.317087967644085</v>
      </c>
      <c r="R15" s="100">
        <f>$AL$5*'LCOE &amp; CO2 Scaled'!R44+$AL$6*'Capital Employed Scaled'!R44+$AL$7*'LCOE &amp; CO2 Scaled'!$D$96</f>
        <v>77.317087967644085</v>
      </c>
      <c r="S15" s="100">
        <f>$AL$5*'LCOE &amp; CO2 Scaled'!S44+$AL$6*'Capital Employed Scaled'!S44+$AL$7*'LCOE &amp; CO2 Scaled'!$D$96</f>
        <v>77.317087967644085</v>
      </c>
      <c r="T15" s="100">
        <f>$AL$5*'LCOE &amp; CO2 Scaled'!T44+$AL$6*'Capital Employed Scaled'!T44+$AL$7*'LCOE &amp; CO2 Scaled'!$D$96</f>
        <v>77.317087967644085</v>
      </c>
      <c r="U15" s="100">
        <f>$AL$5*'LCOE &amp; CO2 Scaled'!U44+$AL$6*'Capital Employed Scaled'!U44+$AL$7*'LCOE &amp; CO2 Scaled'!$D$96</f>
        <v>77.317087967644085</v>
      </c>
      <c r="V15" s="100">
        <f>$AL$5*'LCOE &amp; CO2 Scaled'!V44+$AL$6*'Capital Employed Scaled'!V44+$AL$7*'LCOE &amp; CO2 Scaled'!$D$96</f>
        <v>77.317087967644085</v>
      </c>
      <c r="W15" s="100">
        <f>$AL$5*'LCOE &amp; CO2 Scaled'!W44+$AL$6*'Capital Employed Scaled'!W44+$AL$7*'LCOE &amp; CO2 Scaled'!$D$96</f>
        <v>77.317087967644085</v>
      </c>
      <c r="X15" s="100">
        <f>$AL$5*'LCOE &amp; CO2 Scaled'!X44+$AL$6*'Capital Employed Scaled'!X44+$AL$7*'LCOE &amp; CO2 Scaled'!$D$96</f>
        <v>77.317087967644085</v>
      </c>
      <c r="Y15" s="100">
        <f>$AL$5*'LCOE &amp; CO2 Scaled'!Y44+$AL$6*'Capital Employed Scaled'!Y44+$AL$7*'LCOE &amp; CO2 Scaled'!$D$96</f>
        <v>77.317087967644085</v>
      </c>
      <c r="Z15" s="100">
        <f>$AL$5*'LCOE &amp; CO2 Scaled'!Z44+$AL$6*'Capital Employed Scaled'!Z44+$AL$7*'LCOE &amp; CO2 Scaled'!$D$96</f>
        <v>77.317087967644085</v>
      </c>
      <c r="AA15" s="100">
        <f>$AL$5*'LCOE &amp; CO2 Scaled'!AA44+$AL$6*'Capital Employed Scaled'!AA44+$AL$7*'LCOE &amp; CO2 Scaled'!$D$96</f>
        <v>77.317087967644085</v>
      </c>
      <c r="AB15" s="100">
        <f>$AL$5*'LCOE &amp; CO2 Scaled'!AB44+$AL$6*'Capital Employed Scaled'!AB44+$AL$7*'LCOE &amp; CO2 Scaled'!$D$96</f>
        <v>77.317087967644085</v>
      </c>
      <c r="AC15" s="100">
        <f>$AL$5*'LCOE &amp; CO2 Scaled'!AC44+$AL$6*'Capital Employed Scaled'!AC44+$AL$7*'LCOE &amp; CO2 Scaled'!$D$96</f>
        <v>77.317087967644085</v>
      </c>
      <c r="AD15" s="100">
        <f>$AL$5*'LCOE &amp; CO2 Scaled'!AD44+$AL$6*'Capital Employed Scaled'!AD44+$AL$7*'LCOE &amp; CO2 Scaled'!$D$96</f>
        <v>77.317087967644085</v>
      </c>
      <c r="AE15" s="100">
        <f>$AL$5*'LCOE &amp; CO2 Scaled'!AE44+$AL$6*'Capital Employed Scaled'!AE44+$AL$7*'LCOE &amp; CO2 Scaled'!$D$96</f>
        <v>77.317087967644085</v>
      </c>
      <c r="AF15" s="100">
        <f>$AL$5*'LCOE &amp; CO2 Scaled'!AF44+$AL$6*'Capital Employed Scaled'!AF44+$AL$7*'LCOE &amp; CO2 Scaled'!$D$96</f>
        <v>77.317087967644085</v>
      </c>
      <c r="AG15" s="100">
        <f>$AL$5*'LCOE &amp; CO2 Scaled'!AG44+$AL$6*'Capital Employed Scaled'!AG44+$AL$7*'LCOE &amp; CO2 Scaled'!$D$96</f>
        <v>77.317087967644085</v>
      </c>
      <c r="AH15" s="100">
        <f>$AL$5*'LCOE &amp; CO2 Scaled'!AH44+$AL$6*'Capital Employed Scaled'!AH44+$AL$7*'LCOE &amp; CO2 Scaled'!$D$96</f>
        <v>77.317087967644085</v>
      </c>
      <c r="AI15" s="118" t="s">
        <v>102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</row>
    <row r="16" spans="1:82">
      <c r="A16" s="1"/>
      <c r="B16" s="118" t="s">
        <v>7</v>
      </c>
      <c r="C16" s="100">
        <f>$AL$5*'LCOE &amp; CO2 Scaled'!C45+$AL$6*'Capital Employed Scaled'!C45+$AL$7*'LCOE &amp; CO2 Scaled'!$D$97</f>
        <v>72.522253861304435</v>
      </c>
      <c r="D16" s="100">
        <f>$AL$5*'LCOE &amp; CO2 Scaled'!D45+$AL$6*'Capital Employed Scaled'!D45+$AL$7*'LCOE &amp; CO2 Scaled'!$D$97</f>
        <v>72.47537079726213</v>
      </c>
      <c r="E16" s="100">
        <f>$AL$5*'LCOE &amp; CO2 Scaled'!E45+$AL$6*'Capital Employed Scaled'!E45+$AL$7*'LCOE &amp; CO2 Scaled'!$D$97</f>
        <v>72.405925836420579</v>
      </c>
      <c r="F16" s="100">
        <f>$AL$5*'LCOE &amp; CO2 Scaled'!F45+$AL$6*'Capital Employed Scaled'!F45+$AL$7*'LCOE &amp; CO2 Scaled'!$D$97</f>
        <v>72.337764782121425</v>
      </c>
      <c r="G16" s="100">
        <f>$AL$5*'LCOE &amp; CO2 Scaled'!G45+$AL$6*'Capital Employed Scaled'!G45+$AL$7*'LCOE &amp; CO2 Scaled'!$D$97</f>
        <v>72.270855743888802</v>
      </c>
      <c r="H16" s="100">
        <f>$AL$5*'LCOE &amp; CO2 Scaled'!H45+$AL$6*'Capital Employed Scaled'!H45+$AL$7*'LCOE &amp; CO2 Scaled'!$D$97</f>
        <v>72.205167916132595</v>
      </c>
      <c r="I16" s="100">
        <f>$AL$5*'LCOE &amp; CO2 Scaled'!I45+$AL$6*'Capital Employed Scaled'!I45+$AL$7*'LCOE &amp; CO2 Scaled'!$D$97</f>
        <v>72.140671532976484</v>
      </c>
      <c r="J16" s="100">
        <f>$AL$5*'LCOE &amp; CO2 Scaled'!J45+$AL$6*'Capital Employed Scaled'!J45+$AL$7*'LCOE &amp; CO2 Scaled'!$D$97</f>
        <v>72.077337825334283</v>
      </c>
      <c r="K16" s="100">
        <f>$AL$5*'LCOE &amp; CO2 Scaled'!K45+$AL$6*'Capital Employed Scaled'!K45+$AL$7*'LCOE &amp; CO2 Scaled'!$D$97</f>
        <v>72.01513898010576</v>
      </c>
      <c r="L16" s="100">
        <f>$AL$5*'LCOE &amp; CO2 Scaled'!L45+$AL$6*'Capital Employed Scaled'!L45+$AL$7*'LCOE &amp; CO2 Scaled'!$D$97</f>
        <v>71.954048101370759</v>
      </c>
      <c r="M16" s="100">
        <f>$AL$5*'LCOE &amp; CO2 Scaled'!M45+$AL$6*'Capital Employed Scaled'!M45+$AL$7*'LCOE &amp; CO2 Scaled'!$D$97</f>
        <v>71.894039173468741</v>
      </c>
      <c r="N16" s="100">
        <f>$AL$5*'LCOE &amp; CO2 Scaled'!N45+$AL$6*'Capital Employed Scaled'!N45+$AL$7*'LCOE &amp; CO2 Scaled'!$D$97</f>
        <v>72.585062505820531</v>
      </c>
      <c r="O16" s="100">
        <f>$AL$5*'LCOE &amp; CO2 Scaled'!O45+$AL$6*'Capital Employed Scaled'!O45+$AL$7*'LCOE &amp; CO2 Scaled'!$D$97</f>
        <v>72.582771583934573</v>
      </c>
      <c r="P16" s="100">
        <f>$AL$5*'LCOE &amp; CO2 Scaled'!P45+$AL$6*'Capital Employed Scaled'!P45+$AL$7*'LCOE &amp; CO2 Scaled'!$D$97</f>
        <v>72.580481553560361</v>
      </c>
      <c r="Q16" s="100">
        <f>$AL$5*'LCOE &amp; CO2 Scaled'!Q45+$AL$6*'Capital Employed Scaled'!Q45+$AL$7*'LCOE &amp; CO2 Scaled'!$D$97</f>
        <v>72.578192414929731</v>
      </c>
      <c r="R16" s="100">
        <f>$AL$5*'LCOE &amp; CO2 Scaled'!R45+$AL$6*'Capital Employed Scaled'!R45+$AL$7*'LCOE &amp; CO2 Scaled'!$D$97</f>
        <v>72.575904168279678</v>
      </c>
      <c r="S16" s="100">
        <f>$AL$5*'LCOE &amp; CO2 Scaled'!S45+$AL$6*'Capital Employed Scaled'!S45+$AL$7*'LCOE &amp; CO2 Scaled'!$D$97</f>
        <v>72.573616813852411</v>
      </c>
      <c r="T16" s="100">
        <f>$AL$5*'LCOE &amp; CO2 Scaled'!T45+$AL$6*'Capital Employed Scaled'!T45+$AL$7*'LCOE &amp; CO2 Scaled'!$D$97</f>
        <v>72.571330351895369</v>
      </c>
      <c r="U16" s="100">
        <f>$AL$5*'LCOE &amp; CO2 Scaled'!U45+$AL$6*'Capital Employed Scaled'!U45+$AL$7*'LCOE &amp; CO2 Scaled'!$D$97</f>
        <v>72.569044782661308</v>
      </c>
      <c r="V16" s="100">
        <f>$AL$5*'LCOE &amp; CO2 Scaled'!V45+$AL$6*'Capital Employed Scaled'!V45+$AL$7*'LCOE &amp; CO2 Scaled'!$D$97</f>
        <v>72.566760106408296</v>
      </c>
      <c r="W16" s="100">
        <f>$AL$5*'LCOE &amp; CO2 Scaled'!W45+$AL$6*'Capital Employed Scaled'!W45+$AL$7*'LCOE &amp; CO2 Scaled'!$D$97</f>
        <v>72.564476323399845</v>
      </c>
      <c r="X16" s="100">
        <f>$AL$5*'LCOE &amp; CO2 Scaled'!X45+$AL$6*'Capital Employed Scaled'!X45+$AL$7*'LCOE &amp; CO2 Scaled'!$D$97</f>
        <v>72.562193433904866</v>
      </c>
      <c r="Y16" s="100">
        <f>$AL$5*'LCOE &amp; CO2 Scaled'!Y45+$AL$6*'Capital Employed Scaled'!Y45+$AL$7*'LCOE &amp; CO2 Scaled'!$D$97</f>
        <v>72.559911438197787</v>
      </c>
      <c r="Z16" s="100">
        <f>$AL$5*'LCOE &amp; CO2 Scaled'!Z45+$AL$6*'Capital Employed Scaled'!Z45+$AL$7*'LCOE &amp; CO2 Scaled'!$D$97</f>
        <v>72.557630336558589</v>
      </c>
      <c r="AA16" s="100">
        <f>$AL$5*'LCOE &amp; CO2 Scaled'!AA45+$AL$6*'Capital Employed Scaled'!AA45+$AL$7*'LCOE &amp; CO2 Scaled'!$D$97</f>
        <v>72.555350129272824</v>
      </c>
      <c r="AB16" s="100">
        <f>$AL$5*'LCOE &amp; CO2 Scaled'!AB45+$AL$6*'Capital Employed Scaled'!AB45+$AL$7*'LCOE &amp; CO2 Scaled'!$D$97</f>
        <v>72.553070816631731</v>
      </c>
      <c r="AC16" s="100">
        <f>$AL$5*'LCOE &amp; CO2 Scaled'!AC45+$AL$6*'Capital Employed Scaled'!AC45+$AL$7*'LCOE &amp; CO2 Scaled'!$D$97</f>
        <v>72.550792398932245</v>
      </c>
      <c r="AD16" s="100">
        <f>$AL$5*'LCOE &amp; CO2 Scaled'!AD45+$AL$6*'Capital Employed Scaled'!AD45+$AL$7*'LCOE &amp; CO2 Scaled'!$D$97</f>
        <v>72.548514876477029</v>
      </c>
      <c r="AE16" s="100">
        <f>$AL$5*'LCOE &amp; CO2 Scaled'!AE45+$AL$6*'Capital Employed Scaled'!AE45+$AL$7*'LCOE &amp; CO2 Scaled'!$D$97</f>
        <v>72.546238249574586</v>
      </c>
      <c r="AF16" s="100">
        <f>$AL$5*'LCOE &amp; CO2 Scaled'!AF45+$AL$6*'Capital Employed Scaled'!AF45+$AL$7*'LCOE &amp; CO2 Scaled'!$D$97</f>
        <v>72.543962518539303</v>
      </c>
      <c r="AG16" s="100">
        <f>$AL$5*'LCOE &amp; CO2 Scaled'!AG45+$AL$6*'Capital Employed Scaled'!AG45+$AL$7*'LCOE &amp; CO2 Scaled'!$D$97</f>
        <v>72.54168768369145</v>
      </c>
      <c r="AH16" s="100">
        <f>$AL$5*'LCOE &amp; CO2 Scaled'!AH45+$AL$6*'Capital Employed Scaled'!AH45+$AL$7*'LCOE &amp; CO2 Scaled'!$D$97</f>
        <v>72.539413745357294</v>
      </c>
      <c r="AI16" s="118" t="s">
        <v>7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</row>
    <row r="17" spans="1:82">
      <c r="A17" s="1"/>
      <c r="B17" s="118" t="s">
        <v>72</v>
      </c>
      <c r="C17" s="100">
        <f>$AL$5*'LCOE &amp; CO2 Scaled'!C46+$AL$6*'Capital Employed Scaled'!C46+$AL$7*'LCOE &amp; CO2 Scaled'!$D$98</f>
        <v>93.528648908247575</v>
      </c>
      <c r="D17" s="100">
        <f>$AL$5*'LCOE &amp; CO2 Scaled'!D46+$AL$6*'Capital Employed Scaled'!D46+$AL$7*'LCOE &amp; CO2 Scaled'!$D$98</f>
        <v>93.46234370899694</v>
      </c>
      <c r="E17" s="100">
        <f>$AL$5*'LCOE &amp; CO2 Scaled'!E46+$AL$6*'Capital Employed Scaled'!E46+$AL$7*'LCOE &amp; CO2 Scaled'!$D$98</f>
        <v>93.371470999001247</v>
      </c>
      <c r="F17" s="100">
        <f>$AL$5*'LCOE &amp; CO2 Scaled'!F46+$AL$6*'Capital Employed Scaled'!F46+$AL$7*'LCOE &amp; CO2 Scaled'!$D$98</f>
        <v>93.281990220931448</v>
      </c>
      <c r="G17" s="100">
        <f>$AL$5*'LCOE &amp; CO2 Scaled'!G46+$AL$6*'Capital Employed Scaled'!G46+$AL$7*'LCOE &amp; CO2 Scaled'!$D$98</f>
        <v>93.19386440523968</v>
      </c>
      <c r="H17" s="100">
        <f>$AL$5*'LCOE &amp; CO2 Scaled'!H46+$AL$6*'Capital Employed Scaled'!H46+$AL$7*'LCOE &amp; CO2 Scaled'!$D$98</f>
        <v>93.107057810553343</v>
      </c>
      <c r="I17" s="100">
        <f>$AL$5*'LCOE &amp; CO2 Scaled'!I46+$AL$6*'Capital Employed Scaled'!I46+$AL$7*'LCOE &amp; CO2 Scaled'!$D$98</f>
        <v>93.021535872097232</v>
      </c>
      <c r="J17" s="100">
        <f>$AL$5*'LCOE &amp; CO2 Scaled'!J46+$AL$6*'Capital Employed Scaled'!J46+$AL$7*'LCOE &amp; CO2 Scaled'!$D$98</f>
        <v>92.937265152675096</v>
      </c>
      <c r="K17" s="100">
        <f>$AL$5*'LCOE &amp; CO2 Scaled'!K46+$AL$6*'Capital Employed Scaled'!K46+$AL$7*'LCOE &amp; CO2 Scaled'!$D$98</f>
        <v>92.854213296063364</v>
      </c>
      <c r="L17" s="100">
        <f>$AL$5*'LCOE &amp; CO2 Scaled'!L46+$AL$6*'Capital Employed Scaled'!L46+$AL$7*'LCOE &amp; CO2 Scaled'!$D$98</f>
        <v>92.772348982679148</v>
      </c>
      <c r="M17" s="100">
        <f>$AL$5*'LCOE &amp; CO2 Scaled'!M46+$AL$6*'Capital Employed Scaled'!M46+$AL$7*'LCOE &amp; CO2 Scaled'!$D$98</f>
        <v>92.69164188739397</v>
      </c>
      <c r="N17" s="100">
        <f>$AL$5*'LCOE &amp; CO2 Scaled'!N46+$AL$6*'Capital Employed Scaled'!N46+$AL$7*'LCOE &amp; CO2 Scaled'!$D$98</f>
        <v>93.434604370303504</v>
      </c>
      <c r="O17" s="100">
        <f>$AL$5*'LCOE &amp; CO2 Scaled'!O46+$AL$6*'Capital Employed Scaled'!O46+$AL$7*'LCOE &amp; CO2 Scaled'!$D$98</f>
        <v>93.419846766001683</v>
      </c>
      <c r="P17" s="100">
        <f>$AL$5*'LCOE &amp; CO2 Scaled'!P46+$AL$6*'Capital Employed Scaled'!P46+$AL$7*'LCOE &amp; CO2 Scaled'!$D$98</f>
        <v>93.405054612584649</v>
      </c>
      <c r="Q17" s="100">
        <f>$AL$5*'LCOE &amp; CO2 Scaled'!Q46+$AL$6*'Capital Employed Scaled'!Q46+$AL$7*'LCOE &amp; CO2 Scaled'!$D$98</f>
        <v>93.39022769769818</v>
      </c>
      <c r="R17" s="100">
        <f>$AL$5*'LCOE &amp; CO2 Scaled'!R46+$AL$6*'Capital Employed Scaled'!R46+$AL$7*'LCOE &amp; CO2 Scaled'!$D$98</f>
        <v>93.375365807346171</v>
      </c>
      <c r="S17" s="100">
        <f>$AL$5*'LCOE &amp; CO2 Scaled'!S46+$AL$6*'Capital Employed Scaled'!S46+$AL$7*'LCOE &amp; CO2 Scaled'!$D$98</f>
        <v>93.360468725874583</v>
      </c>
      <c r="T17" s="100">
        <f>$AL$5*'LCOE &amp; CO2 Scaled'!T46+$AL$6*'Capital Employed Scaled'!T46+$AL$7*'LCOE &amp; CO2 Scaled'!$D$98</f>
        <v>93.345536235955308</v>
      </c>
      <c r="U17" s="100">
        <f>$AL$5*'LCOE &amp; CO2 Scaled'!U46+$AL$6*'Capital Employed Scaled'!U46+$AL$7*'LCOE &amp; CO2 Scaled'!$D$98</f>
        <v>93.330568118569801</v>
      </c>
      <c r="V17" s="100">
        <f>$AL$5*'LCOE &amp; CO2 Scaled'!V46+$AL$6*'Capital Employed Scaled'!V46+$AL$7*'LCOE &amp; CO2 Scaled'!$D$98</f>
        <v>93.315564152992536</v>
      </c>
      <c r="W17" s="100">
        <f>$AL$5*'LCOE &amp; CO2 Scaled'!W46+$AL$6*'Capital Employed Scaled'!W46+$AL$7*'LCOE &amp; CO2 Scaled'!$D$98</f>
        <v>93.300524116774241</v>
      </c>
      <c r="X17" s="100">
        <f>$AL$5*'LCOE &amp; CO2 Scaled'!X46+$AL$6*'Capital Employed Scaled'!X46+$AL$7*'LCOE &amp; CO2 Scaled'!$D$98</f>
        <v>93.285447785724983</v>
      </c>
      <c r="Y17" s="100">
        <f>$AL$5*'LCOE &amp; CO2 Scaled'!Y46+$AL$6*'Capital Employed Scaled'!Y46+$AL$7*'LCOE &amp; CO2 Scaled'!$D$98</f>
        <v>93.27033493389699</v>
      </c>
      <c r="Z17" s="100">
        <f>$AL$5*'LCOE &amp; CO2 Scaled'!Z46+$AL$6*'Capital Employed Scaled'!Z46+$AL$7*'LCOE &amp; CO2 Scaled'!$D$98</f>
        <v>93.255185333567368</v>
      </c>
      <c r="AA17" s="100">
        <f>$AL$5*'LCOE &amp; CO2 Scaled'!AA46+$AL$6*'Capital Employed Scaled'!AA46+$AL$7*'LCOE &amp; CO2 Scaled'!$D$98</f>
        <v>93.239998755220483</v>
      </c>
      <c r="AB17" s="100">
        <f>$AL$5*'LCOE &amp; CO2 Scaled'!AB46+$AL$6*'Capital Employed Scaled'!AB46+$AL$7*'LCOE &amp; CO2 Scaled'!$D$98</f>
        <v>93.224774967530209</v>
      </c>
      <c r="AC17" s="100">
        <f>$AL$5*'LCOE &amp; CO2 Scaled'!AC46+$AL$6*'Capital Employed Scaled'!AC46+$AL$7*'LCOE &amp; CO2 Scaled'!$D$98</f>
        <v>93.209513737342007</v>
      </c>
      <c r="AD17" s="100">
        <f>$AL$5*'LCOE &amp; CO2 Scaled'!AD46+$AL$6*'Capital Employed Scaled'!AD46+$AL$7*'LCOE &amp; CO2 Scaled'!$D$98</f>
        <v>93.194214829654712</v>
      </c>
      <c r="AE17" s="100">
        <f>$AL$5*'LCOE &amp; CO2 Scaled'!AE46+$AL$6*'Capital Employed Scaled'!AE46+$AL$7*'LCOE &amp; CO2 Scaled'!$D$98</f>
        <v>93.178878007602094</v>
      </c>
      <c r="AF17" s="100">
        <f>$AL$5*'LCOE &amp; CO2 Scaled'!AF46+$AL$6*'Capital Employed Scaled'!AF46+$AL$7*'LCOE &amp; CO2 Scaled'!$D$98</f>
        <v>93.163503032434278</v>
      </c>
      <c r="AG17" s="100">
        <f>$AL$5*'LCOE &amp; CO2 Scaled'!AG46+$AL$6*'Capital Employed Scaled'!AG46+$AL$7*'LCOE &amp; CO2 Scaled'!$D$98</f>
        <v>93.148089663498922</v>
      </c>
      <c r="AH17" s="100">
        <f>$AL$5*'LCOE &amp; CO2 Scaled'!AH46+$AL$6*'Capital Employed Scaled'!AH46+$AL$7*'LCOE &amp; CO2 Scaled'!$D$98</f>
        <v>93.132637658222023</v>
      </c>
      <c r="AI17" s="118" t="s">
        <v>103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</row>
    <row r="18" spans="1:82">
      <c r="A18" s="1"/>
      <c r="B18" s="1" t="s">
        <v>124</v>
      </c>
      <c r="C18" s="6">
        <f>SUM(C5:C17)</f>
        <v>889.5641420886368</v>
      </c>
      <c r="D18" s="6">
        <f t="shared" ref="D18:AH18" si="0">SUM(D5:D17)</f>
        <v>889.76811514882672</v>
      </c>
      <c r="E18" s="6">
        <f t="shared" si="0"/>
        <v>889.73658867766426</v>
      </c>
      <c r="F18" s="6">
        <f t="shared" si="0"/>
        <v>889.71562812577361</v>
      </c>
      <c r="G18" s="6">
        <f t="shared" si="0"/>
        <v>889.7050812911915</v>
      </c>
      <c r="H18" s="6">
        <f t="shared" si="0"/>
        <v>889.70480170947758</v>
      </c>
      <c r="I18" s="6">
        <f t="shared" si="0"/>
        <v>889.714648461298</v>
      </c>
      <c r="J18" s="6">
        <f t="shared" si="0"/>
        <v>889.73448598799007</v>
      </c>
      <c r="K18" s="6">
        <f t="shared" si="0"/>
        <v>889.76418391480377</v>
      </c>
      <c r="L18" s="6">
        <f t="shared" si="0"/>
        <v>889.80361688151993</v>
      </c>
      <c r="M18" s="6">
        <f t="shared" si="0"/>
        <v>889.85266438015617</v>
      </c>
      <c r="N18" s="6">
        <f t="shared" si="0"/>
        <v>896.92036300703921</v>
      </c>
      <c r="O18" s="6">
        <f t="shared" si="0"/>
        <v>896.98147292133672</v>
      </c>
      <c r="P18" s="6">
        <f t="shared" si="0"/>
        <v>897.04260874530166</v>
      </c>
      <c r="Q18" s="6">
        <f t="shared" si="0"/>
        <v>897.10377293242834</v>
      </c>
      <c r="R18" s="6">
        <f t="shared" si="0"/>
        <v>897.16496791807617</v>
      </c>
      <c r="S18" s="6">
        <f t="shared" si="0"/>
        <v>897.22619612022208</v>
      </c>
      <c r="T18" s="6">
        <f t="shared" si="0"/>
        <v>897.28745994019209</v>
      </c>
      <c r="U18" s="6">
        <f t="shared" si="0"/>
        <v>897.3487617633732</v>
      </c>
      <c r="V18" s="6">
        <f t="shared" si="0"/>
        <v>897.4101039599019</v>
      </c>
      <c r="W18" s="6">
        <f t="shared" si="0"/>
        <v>897.47148888533661</v>
      </c>
      <c r="X18" s="6">
        <f t="shared" si="0"/>
        <v>897.53291888131093</v>
      </c>
      <c r="Y18" s="6">
        <f t="shared" si="0"/>
        <v>897.59439627616757</v>
      </c>
      <c r="Z18" s="6">
        <f t="shared" si="0"/>
        <v>897.65592338557849</v>
      </c>
      <c r="AA18" s="6">
        <f t="shared" si="0"/>
        <v>897.71750251314484</v>
      </c>
      <c r="AB18" s="6">
        <f t="shared" si="0"/>
        <v>897.77913595098539</v>
      </c>
      <c r="AC18" s="6">
        <f t="shared" si="0"/>
        <v>897.84082598030773</v>
      </c>
      <c r="AD18" s="6">
        <f t="shared" si="0"/>
        <v>897.90257487196459</v>
      </c>
      <c r="AE18" s="6">
        <f t="shared" si="0"/>
        <v>897.9643848869988</v>
      </c>
      <c r="AF18" s="6">
        <f t="shared" si="0"/>
        <v>898.02625827717338</v>
      </c>
      <c r="AG18" s="6">
        <f t="shared" si="0"/>
        <v>898.08819728548917</v>
      </c>
      <c r="AH18" s="6">
        <f t="shared" si="0"/>
        <v>898.15020414669073</v>
      </c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</row>
    <row r="19" spans="1:82">
      <c r="A19" s="1"/>
      <c r="AJ19" s="1"/>
      <c r="AK19" s="1"/>
      <c r="AL19" s="1"/>
      <c r="AQ19" s="1"/>
      <c r="AR19" s="1"/>
      <c r="AS19" s="1"/>
      <c r="AT19" s="1"/>
      <c r="AU19" s="1"/>
      <c r="AV19" s="1"/>
      <c r="AW19" s="1"/>
      <c r="AX19" s="1"/>
      <c r="AY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</row>
    <row r="20" spans="1:82">
      <c r="A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</row>
    <row r="21" spans="1:82">
      <c r="A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</row>
    <row r="22" spans="1:82">
      <c r="A22" s="1"/>
      <c r="B22" s="118" t="s">
        <v>173</v>
      </c>
      <c r="C22" s="118">
        <v>2019</v>
      </c>
      <c r="D22" s="118">
        <v>2020</v>
      </c>
      <c r="E22" s="118">
        <v>2021</v>
      </c>
      <c r="F22" s="118">
        <v>2022</v>
      </c>
      <c r="G22" s="118">
        <v>2023</v>
      </c>
      <c r="H22" s="118">
        <v>2024</v>
      </c>
      <c r="I22" s="118">
        <v>2025</v>
      </c>
      <c r="J22" s="118">
        <v>2026</v>
      </c>
      <c r="K22" s="118">
        <v>2027</v>
      </c>
      <c r="L22" s="118">
        <v>2028</v>
      </c>
      <c r="M22" s="118">
        <v>2029</v>
      </c>
      <c r="N22" s="118">
        <v>2030</v>
      </c>
      <c r="O22" s="118">
        <v>2031</v>
      </c>
      <c r="P22" s="118">
        <v>2032</v>
      </c>
      <c r="Q22" s="118">
        <v>2033</v>
      </c>
      <c r="R22" s="118">
        <v>2034</v>
      </c>
      <c r="S22" s="118">
        <v>2035</v>
      </c>
      <c r="T22" s="118">
        <v>2036</v>
      </c>
      <c r="U22" s="118">
        <v>2037</v>
      </c>
      <c r="V22" s="118">
        <v>2038</v>
      </c>
      <c r="W22" s="118">
        <v>2039</v>
      </c>
      <c r="X22" s="118">
        <v>2040</v>
      </c>
      <c r="Y22" s="118">
        <v>2041</v>
      </c>
      <c r="Z22" s="118">
        <v>2042</v>
      </c>
      <c r="AA22" s="118">
        <v>2043</v>
      </c>
      <c r="AB22" s="118">
        <v>2044</v>
      </c>
      <c r="AC22" s="118">
        <v>2045</v>
      </c>
      <c r="AD22" s="118">
        <v>2046</v>
      </c>
      <c r="AE22" s="118">
        <v>2047</v>
      </c>
      <c r="AF22" s="118">
        <v>2048</v>
      </c>
      <c r="AG22" s="118">
        <v>2049</v>
      </c>
      <c r="AH22" s="118">
        <v>2050</v>
      </c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</row>
    <row r="23" spans="1:82">
      <c r="A23" s="1"/>
      <c r="B23" s="118">
        <v>1</v>
      </c>
      <c r="C23" s="77">
        <f t="shared" ref="C23:C35" si="1">LARGE($C$5:$C$17,B23)</f>
        <v>98.602355287466722</v>
      </c>
      <c r="D23" s="77">
        <f t="shared" ref="D23:D35" si="2">LARGE($D$5:$D$17,B23)</f>
        <v>98.5407391242843</v>
      </c>
      <c r="E23" s="77">
        <f t="shared" ref="E23:E35" si="3">LARGE($E$5:$E$17,B23)</f>
        <v>98.453728317307863</v>
      </c>
      <c r="F23" s="77">
        <f t="shared" ref="F23:F35" si="4">LARGE($F$5:$F$17,B23)</f>
        <v>98.367624774128984</v>
      </c>
      <c r="G23" s="77">
        <f t="shared" ref="G23:G35" si="5">LARGE($G$5:$G$17,B23)</f>
        <v>98.282413481386584</v>
      </c>
      <c r="H23" s="77">
        <f t="shared" ref="H23:H35" si="6">LARGE($H$5:$H$17,B23)</f>
        <v>98.198079412210973</v>
      </c>
      <c r="I23" s="77">
        <f t="shared" ref="I23:I32" si="7">LARGE($I$5:$I$17,B23)</f>
        <v>98.11460755418544</v>
      </c>
      <c r="J23" s="77">
        <f t="shared" ref="J23:J35" si="8">LARGE($J$5:$J$17,B23)</f>
        <v>98.031982934028946</v>
      </c>
      <c r="K23" s="77">
        <f t="shared" ref="K23:K35" si="9">LARGE($K$5:$K$17,B23)</f>
        <v>97.950190639334934</v>
      </c>
      <c r="L23" s="77">
        <f t="shared" ref="L23:L35" si="10">LARGE($L$5:$L$17,B23)</f>
        <v>97.869215837666303</v>
      </c>
      <c r="M23" s="77">
        <f t="shared" ref="M23:M35" si="11">LARGE($M$5:$M$17,B23)</f>
        <v>97.789043793276051</v>
      </c>
      <c r="N23" s="77">
        <f t="shared" ref="N23:N35" si="12">LARGE($N$5:$N$17,B23)</f>
        <v>98.533923448798134</v>
      </c>
      <c r="O23" s="77">
        <f t="shared" ref="O23:O35" si="13">LARGE($O$5:$O$17,B23)</f>
        <v>98.51558780105475</v>
      </c>
      <c r="P23" s="77">
        <f t="shared" ref="P23:P35" si="14">LARGE($P$5:$P$17,B23)</f>
        <v>98.49713959960134</v>
      </c>
      <c r="Q23" s="77">
        <f t="shared" ref="Q23:Q35" si="15">LARGE($Q$5:$Q$17,B23)</f>
        <v>98.478579448106927</v>
      </c>
      <c r="R23" s="77">
        <f t="shared" ref="R23:R35" si="16">LARGE($R$5:$R$17,B23)</f>
        <v>98.459907925174903</v>
      </c>
      <c r="S23" s="77">
        <f t="shared" ref="S23:S35" si="17">LARGE($S$5:$S$17,B23)</f>
        <v>98.441125584963586</v>
      </c>
      <c r="T23" s="77">
        <f t="shared" ref="T23:T35" si="18">LARGE($T$5:$T$17,B23)</f>
        <v>98.42223295778409</v>
      </c>
      <c r="U23" s="77">
        <f t="shared" ref="U23:U35" si="19">LARGE($U$5:$U$17,B23)</f>
        <v>98.403230550676426</v>
      </c>
      <c r="V23" s="77">
        <f t="shared" ref="V23:V35" si="20">LARGE($V$5:$V$17,B23)</f>
        <v>98.384118847964643</v>
      </c>
      <c r="W23" s="77">
        <f t="shared" ref="W23:W35" si="21">LARGE($W$5:$W$17,B23)</f>
        <v>98.364898311791734</v>
      </c>
      <c r="X23" s="77">
        <f t="shared" ref="X23:X35" si="22">LARGE($X$5:$X$17,B23)</f>
        <v>98.345569382635375</v>
      </c>
      <c r="Y23" s="77">
        <f t="shared" ref="Y23:Y35" si="23">LARGE($Y$5:$Y$17,B23)</f>
        <v>98.326132479804926</v>
      </c>
      <c r="Z23" s="77">
        <f t="shared" ref="Z23:Z35" si="24">LARGE($Z$5:$Z$17,B23)</f>
        <v>98.306588001920517</v>
      </c>
      <c r="AA23" s="77">
        <f t="shared" ref="AA23:AA35" si="25">LARGE($AA$5:$AA$17,B23)</f>
        <v>98.286936327374946</v>
      </c>
      <c r="AB23" s="77">
        <f t="shared" ref="AB23:AB35" si="26">LARGE($AB$5:$AB$17,B23)</f>
        <v>98.267177814778975</v>
      </c>
      <c r="AC23" s="77">
        <f t="shared" ref="AC23:AC35" si="27">LARGE($AC$5:$AC$17,B23)</f>
        <v>98.247312803390685</v>
      </c>
      <c r="AD23" s="77">
        <f t="shared" ref="AD23:AD35" si="28">LARGE($AD$5:$AD$17,B23)</f>
        <v>98.227341613529418</v>
      </c>
      <c r="AE23" s="77">
        <f t="shared" ref="AE23:AE35" si="29">LARGE($AE$5:$AE$17,B23)</f>
        <v>98.207264546974955</v>
      </c>
      <c r="AF23" s="77">
        <f t="shared" ref="AF23:AF35" si="30">LARGE($AF$5:$AF$17,B23)</f>
        <v>98.187081887352377</v>
      </c>
      <c r="AG23" s="77">
        <f t="shared" ref="AG23:AG35" si="31">LARGE($AG$5:$AG$17,B23)</f>
        <v>98.166793900503166</v>
      </c>
      <c r="AH23" s="77">
        <f t="shared" ref="AH23:AH35" si="32">LARGE($AH$5:$AH$17,B23)</f>
        <v>98.146400834843121</v>
      </c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</row>
    <row r="24" spans="1:82">
      <c r="A24" s="1"/>
      <c r="B24" s="118">
        <v>2</v>
      </c>
      <c r="C24" s="77">
        <f t="shared" si="1"/>
        <v>96.228976396822688</v>
      </c>
      <c r="D24" s="77">
        <f t="shared" si="2"/>
        <v>96.35002266982093</v>
      </c>
      <c r="E24" s="77">
        <f t="shared" si="3"/>
        <v>96.443877312570635</v>
      </c>
      <c r="F24" s="77">
        <f t="shared" si="4"/>
        <v>96.538296243158101</v>
      </c>
      <c r="G24" s="77">
        <f t="shared" si="5"/>
        <v>96.633284565979977</v>
      </c>
      <c r="H24" s="77">
        <f t="shared" si="6"/>
        <v>96.728847447183028</v>
      </c>
      <c r="I24" s="77">
        <f t="shared" si="7"/>
        <v>96.824990115600912</v>
      </c>
      <c r="J24" s="77">
        <f t="shared" si="8"/>
        <v>96.921717863707727</v>
      </c>
      <c r="K24" s="77">
        <f t="shared" si="9"/>
        <v>97.019036048589271</v>
      </c>
      <c r="L24" s="77">
        <f t="shared" si="10"/>
        <v>97.116950092932086</v>
      </c>
      <c r="M24" s="77">
        <f t="shared" si="11"/>
        <v>97.215465486030567</v>
      </c>
      <c r="N24" s="77">
        <f t="shared" si="12"/>
        <v>97.277249747219415</v>
      </c>
      <c r="O24" s="77">
        <f t="shared" si="13"/>
        <v>97.277249747219415</v>
      </c>
      <c r="P24" s="77">
        <f t="shared" si="14"/>
        <v>97.277249747219415</v>
      </c>
      <c r="Q24" s="77">
        <f t="shared" si="15"/>
        <v>97.277249747219415</v>
      </c>
      <c r="R24" s="77">
        <f t="shared" si="16"/>
        <v>97.277249747219415</v>
      </c>
      <c r="S24" s="77">
        <f t="shared" si="17"/>
        <v>97.277249747219415</v>
      </c>
      <c r="T24" s="77">
        <f t="shared" si="18"/>
        <v>97.277249747219415</v>
      </c>
      <c r="U24" s="77">
        <f t="shared" si="19"/>
        <v>97.277249747219415</v>
      </c>
      <c r="V24" s="77">
        <f t="shared" si="20"/>
        <v>97.277249747219415</v>
      </c>
      <c r="W24" s="77">
        <f t="shared" si="21"/>
        <v>97.277249747219415</v>
      </c>
      <c r="X24" s="77">
        <f t="shared" si="22"/>
        <v>97.277249747219415</v>
      </c>
      <c r="Y24" s="77">
        <f t="shared" si="23"/>
        <v>97.277249747219415</v>
      </c>
      <c r="Z24" s="77">
        <f t="shared" si="24"/>
        <v>97.277249747219415</v>
      </c>
      <c r="AA24" s="77">
        <f t="shared" si="25"/>
        <v>97.277249747219415</v>
      </c>
      <c r="AB24" s="77">
        <f t="shared" si="26"/>
        <v>97.277249747219415</v>
      </c>
      <c r="AC24" s="77">
        <f t="shared" si="27"/>
        <v>97.277249747219415</v>
      </c>
      <c r="AD24" s="77">
        <f t="shared" si="28"/>
        <v>97.277249747219415</v>
      </c>
      <c r="AE24" s="77">
        <f t="shared" si="29"/>
        <v>97.277249747219415</v>
      </c>
      <c r="AF24" s="77">
        <f t="shared" si="30"/>
        <v>97.277249747219415</v>
      </c>
      <c r="AG24" s="77">
        <f t="shared" si="31"/>
        <v>97.277249747219415</v>
      </c>
      <c r="AH24" s="77">
        <f t="shared" si="32"/>
        <v>97.277249747219415</v>
      </c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</row>
    <row r="25" spans="1:82">
      <c r="A25" s="1"/>
      <c r="B25" s="118">
        <v>3</v>
      </c>
      <c r="C25" s="77">
        <f t="shared" si="1"/>
        <v>93.528648908247575</v>
      </c>
      <c r="D25" s="77">
        <f t="shared" si="2"/>
        <v>93.46234370899694</v>
      </c>
      <c r="E25" s="77">
        <f t="shared" si="3"/>
        <v>93.371470999001247</v>
      </c>
      <c r="F25" s="77">
        <f t="shared" si="4"/>
        <v>93.281990220931448</v>
      </c>
      <c r="G25" s="77">
        <f t="shared" si="5"/>
        <v>93.19386440523968</v>
      </c>
      <c r="H25" s="77">
        <f t="shared" si="6"/>
        <v>93.107057810553343</v>
      </c>
      <c r="I25" s="77">
        <f t="shared" si="7"/>
        <v>93.021535872097232</v>
      </c>
      <c r="J25" s="77">
        <f t="shared" si="8"/>
        <v>92.937265152675096</v>
      </c>
      <c r="K25" s="77">
        <f t="shared" si="9"/>
        <v>92.854213296063364</v>
      </c>
      <c r="L25" s="77">
        <f t="shared" si="10"/>
        <v>92.772348982679148</v>
      </c>
      <c r="M25" s="77">
        <f t="shared" si="11"/>
        <v>92.903134627645031</v>
      </c>
      <c r="N25" s="77">
        <f t="shared" si="12"/>
        <v>93.798546614845549</v>
      </c>
      <c r="O25" s="77">
        <f t="shared" si="13"/>
        <v>93.837223541288168</v>
      </c>
      <c r="P25" s="77">
        <f t="shared" si="14"/>
        <v>93.875890707801958</v>
      </c>
      <c r="Q25" s="77">
        <f t="shared" si="15"/>
        <v>93.91454909744823</v>
      </c>
      <c r="R25" s="77">
        <f t="shared" si="16"/>
        <v>93.95319969348833</v>
      </c>
      <c r="S25" s="77">
        <f t="shared" si="17"/>
        <v>93.991843479450964</v>
      </c>
      <c r="T25" s="77">
        <f t="shared" si="18"/>
        <v>94.030481439199519</v>
      </c>
      <c r="U25" s="77">
        <f t="shared" si="19"/>
        <v>94.069114556999466</v>
      </c>
      <c r="V25" s="77">
        <f t="shared" si="20"/>
        <v>94.10774381758597</v>
      </c>
      <c r="W25" s="77">
        <f t="shared" si="21"/>
        <v>94.146370206231524</v>
      </c>
      <c r="X25" s="77">
        <f t="shared" si="22"/>
        <v>94.184994708813875</v>
      </c>
      <c r="Y25" s="77">
        <f t="shared" si="23"/>
        <v>94.223618311883911</v>
      </c>
      <c r="Z25" s="77">
        <f t="shared" si="24"/>
        <v>94.262242002733899</v>
      </c>
      <c r="AA25" s="77">
        <f t="shared" si="25"/>
        <v>94.300866769465728</v>
      </c>
      <c r="AB25" s="77">
        <f t="shared" si="26"/>
        <v>94.339493601059417</v>
      </c>
      <c r="AC25" s="77">
        <f t="shared" si="27"/>
        <v>94.37812348744184</v>
      </c>
      <c r="AD25" s="77">
        <f t="shared" si="28"/>
        <v>94.416757419555594</v>
      </c>
      <c r="AE25" s="77">
        <f t="shared" si="29"/>
        <v>94.455396389428074</v>
      </c>
      <c r="AF25" s="77">
        <f t="shared" si="30"/>
        <v>94.49404139024081</v>
      </c>
      <c r="AG25" s="77">
        <f t="shared" si="31"/>
        <v>94.532693416399042</v>
      </c>
      <c r="AH25" s="77">
        <f t="shared" si="32"/>
        <v>94.57135346360144</v>
      </c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</row>
    <row r="26" spans="1:82">
      <c r="A26" s="1"/>
      <c r="B26" s="118">
        <v>4</v>
      </c>
      <c r="C26" s="77">
        <f t="shared" si="1"/>
        <v>91.270192890300905</v>
      </c>
      <c r="D26" s="77">
        <f t="shared" si="2"/>
        <v>91.196966256733774</v>
      </c>
      <c r="E26" s="77">
        <f t="shared" si="3"/>
        <v>91.209404973250955</v>
      </c>
      <c r="F26" s="77">
        <f t="shared" si="4"/>
        <v>91.422574896310408</v>
      </c>
      <c r="G26" s="77">
        <f t="shared" si="5"/>
        <v>91.63522370233099</v>
      </c>
      <c r="H26" s="77">
        <f t="shared" si="6"/>
        <v>91.847406089078248</v>
      </c>
      <c r="I26" s="77">
        <f t="shared" si="7"/>
        <v>92.059175249174658</v>
      </c>
      <c r="J26" s="77">
        <f t="shared" si="8"/>
        <v>92.270582940188675</v>
      </c>
      <c r="K26" s="77">
        <f t="shared" si="9"/>
        <v>92.481679551352826</v>
      </c>
      <c r="L26" s="77">
        <f t="shared" si="10"/>
        <v>92.69251416710631</v>
      </c>
      <c r="M26" s="77">
        <f t="shared" si="11"/>
        <v>92.69164188739397</v>
      </c>
      <c r="N26" s="77">
        <f t="shared" si="12"/>
        <v>93.434604370303504</v>
      </c>
      <c r="O26" s="77">
        <f t="shared" si="13"/>
        <v>93.419846766001683</v>
      </c>
      <c r="P26" s="77">
        <f t="shared" si="14"/>
        <v>93.405054612584649</v>
      </c>
      <c r="Q26" s="77">
        <f t="shared" si="15"/>
        <v>93.39022769769818</v>
      </c>
      <c r="R26" s="77">
        <f t="shared" si="16"/>
        <v>93.375365807346171</v>
      </c>
      <c r="S26" s="77">
        <f t="shared" si="17"/>
        <v>93.360468725874583</v>
      </c>
      <c r="T26" s="77">
        <f t="shared" si="18"/>
        <v>93.345536235955308</v>
      </c>
      <c r="U26" s="77">
        <f t="shared" si="19"/>
        <v>93.330568118569801</v>
      </c>
      <c r="V26" s="77">
        <f t="shared" si="20"/>
        <v>93.315564152992536</v>
      </c>
      <c r="W26" s="77">
        <f t="shared" si="21"/>
        <v>93.300524116774241</v>
      </c>
      <c r="X26" s="77">
        <f t="shared" si="22"/>
        <v>93.285447785724983</v>
      </c>
      <c r="Y26" s="77">
        <f t="shared" si="23"/>
        <v>93.27033493389699</v>
      </c>
      <c r="Z26" s="77">
        <f t="shared" si="24"/>
        <v>93.255185333567368</v>
      </c>
      <c r="AA26" s="77">
        <f t="shared" si="25"/>
        <v>93.239998755220483</v>
      </c>
      <c r="AB26" s="77">
        <f t="shared" si="26"/>
        <v>93.224774967530209</v>
      </c>
      <c r="AC26" s="77">
        <f t="shared" si="27"/>
        <v>93.209513737342007</v>
      </c>
      <c r="AD26" s="77">
        <f t="shared" si="28"/>
        <v>93.194214829654712</v>
      </c>
      <c r="AE26" s="77">
        <f t="shared" si="29"/>
        <v>93.178878007602094</v>
      </c>
      <c r="AF26" s="77">
        <f t="shared" si="30"/>
        <v>93.163503032434278</v>
      </c>
      <c r="AG26" s="77">
        <f t="shared" si="31"/>
        <v>93.148089663498922</v>
      </c>
      <c r="AH26" s="77">
        <f t="shared" si="32"/>
        <v>93.132637658222023</v>
      </c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</row>
    <row r="27" spans="1:82">
      <c r="A27" s="1"/>
      <c r="B27" s="118">
        <v>5</v>
      </c>
      <c r="C27" s="77">
        <f t="shared" si="1"/>
        <v>90.762710875329006</v>
      </c>
      <c r="D27" s="77">
        <f t="shared" si="2"/>
        <v>90.99565765657519</v>
      </c>
      <c r="E27" s="77">
        <f t="shared" si="3"/>
        <v>91.098561520936997</v>
      </c>
      <c r="F27" s="77">
        <f t="shared" si="4"/>
        <v>91.002134030477578</v>
      </c>
      <c r="G27" s="77">
        <f t="shared" si="5"/>
        <v>90.907635986482035</v>
      </c>
      <c r="H27" s="77">
        <f t="shared" si="6"/>
        <v>90.815021232319367</v>
      </c>
      <c r="I27" s="77">
        <f t="shared" si="7"/>
        <v>90.724245185462664</v>
      </c>
      <c r="J27" s="77">
        <f t="shared" si="8"/>
        <v>90.635264772747178</v>
      </c>
      <c r="K27" s="77">
        <f t="shared" si="9"/>
        <v>90.54803836882914</v>
      </c>
      <c r="L27" s="77">
        <f t="shared" si="10"/>
        <v>90.462525737663242</v>
      </c>
      <c r="M27" s="77">
        <f t="shared" si="11"/>
        <v>90.378687976827777</v>
      </c>
      <c r="N27" s="77">
        <f t="shared" si="12"/>
        <v>91.271151667704942</v>
      </c>
      <c r="O27" s="77">
        <f t="shared" si="13"/>
        <v>91.337547157378538</v>
      </c>
      <c r="P27" s="77">
        <f t="shared" si="14"/>
        <v>91.404126797400636</v>
      </c>
      <c r="Q27" s="77">
        <f t="shared" si="15"/>
        <v>91.470891695552098</v>
      </c>
      <c r="R27" s="77">
        <f t="shared" si="16"/>
        <v>91.537842968194539</v>
      </c>
      <c r="S27" s="77">
        <f t="shared" si="17"/>
        <v>91.604981740353963</v>
      </c>
      <c r="T27" s="77">
        <f t="shared" si="18"/>
        <v>91.672309145805116</v>
      </c>
      <c r="U27" s="77">
        <f t="shared" si="19"/>
        <v>91.739826327157076</v>
      </c>
      <c r="V27" s="77">
        <f t="shared" si="20"/>
        <v>91.807534435939644</v>
      </c>
      <c r="W27" s="77">
        <f t="shared" si="21"/>
        <v>91.875434632690897</v>
      </c>
      <c r="X27" s="77">
        <f t="shared" si="22"/>
        <v>91.943528087045706</v>
      </c>
      <c r="Y27" s="77">
        <f t="shared" si="23"/>
        <v>92.011815977825265</v>
      </c>
      <c r="Z27" s="77">
        <f t="shared" si="24"/>
        <v>92.080299493127796</v>
      </c>
      <c r="AA27" s="77">
        <f t="shared" si="25"/>
        <v>92.148979830420245</v>
      </c>
      <c r="AB27" s="77">
        <f t="shared" si="26"/>
        <v>92.217858196630999</v>
      </c>
      <c r="AC27" s="77">
        <f t="shared" si="27"/>
        <v>92.286935808243896</v>
      </c>
      <c r="AD27" s="77">
        <f t="shared" si="28"/>
        <v>92.35621389139321</v>
      </c>
      <c r="AE27" s="77">
        <f t="shared" si="29"/>
        <v>92.425693681959785</v>
      </c>
      <c r="AF27" s="77">
        <f t="shared" si="30"/>
        <v>92.495376425668383</v>
      </c>
      <c r="AG27" s="77">
        <f t="shared" si="31"/>
        <v>92.56526337818616</v>
      </c>
      <c r="AH27" s="77">
        <f t="shared" si="32"/>
        <v>92.635355805222304</v>
      </c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</row>
    <row r="28" spans="1:82">
      <c r="A28" s="1"/>
      <c r="B28" s="118">
        <v>6</v>
      </c>
      <c r="C28" s="77">
        <f t="shared" si="1"/>
        <v>89.101755516297914</v>
      </c>
      <c r="D28" s="77">
        <f t="shared" si="2"/>
        <v>89.047785831715203</v>
      </c>
      <c r="E28" s="77">
        <f t="shared" si="3"/>
        <v>88.968767150594388</v>
      </c>
      <c r="F28" s="77">
        <f t="shared" si="4"/>
        <v>88.891223502668694</v>
      </c>
      <c r="G28" s="77">
        <f t="shared" si="5"/>
        <v>89.080824278851821</v>
      </c>
      <c r="H28" s="77">
        <f t="shared" si="6"/>
        <v>89.288878414601569</v>
      </c>
      <c r="I28" s="77">
        <f t="shared" si="7"/>
        <v>89.497886049775303</v>
      </c>
      <c r="J28" s="77">
        <f t="shared" si="8"/>
        <v>89.707863587432527</v>
      </c>
      <c r="K28" s="77">
        <f t="shared" si="9"/>
        <v>89.918827377019838</v>
      </c>
      <c r="L28" s="77">
        <f t="shared" si="10"/>
        <v>90.130793723928363</v>
      </c>
      <c r="M28" s="77">
        <f t="shared" si="11"/>
        <v>90.343778898722306</v>
      </c>
      <c r="N28" s="77">
        <f t="shared" si="12"/>
        <v>91.11788943262485</v>
      </c>
      <c r="O28" s="77">
        <f t="shared" si="13"/>
        <v>91.135475608203279</v>
      </c>
      <c r="P28" s="77">
        <f t="shared" si="14"/>
        <v>91.153080349339803</v>
      </c>
      <c r="Q28" s="77">
        <f t="shared" si="15"/>
        <v>91.170703789112622</v>
      </c>
      <c r="R28" s="77">
        <f t="shared" si="16"/>
        <v>91.188346061616784</v>
      </c>
      <c r="S28" s="77">
        <f t="shared" si="17"/>
        <v>91.206007301974012</v>
      </c>
      <c r="T28" s="77">
        <f t="shared" si="18"/>
        <v>91.223687646342839</v>
      </c>
      <c r="U28" s="77">
        <f t="shared" si="19"/>
        <v>91.241387231928655</v>
      </c>
      <c r="V28" s="77">
        <f t="shared" si="20"/>
        <v>91.259106196994011</v>
      </c>
      <c r="W28" s="77">
        <f t="shared" si="21"/>
        <v>91.27684468086899</v>
      </c>
      <c r="X28" s="77">
        <f t="shared" si="22"/>
        <v>91.294602823961725</v>
      </c>
      <c r="Y28" s="77">
        <f t="shared" si="23"/>
        <v>91.312380767768985</v>
      </c>
      <c r="Z28" s="77">
        <f t="shared" si="24"/>
        <v>91.330178654886993</v>
      </c>
      <c r="AA28" s="77">
        <f t="shared" si="25"/>
        <v>91.347996629022234</v>
      </c>
      <c r="AB28" s="77">
        <f t="shared" si="26"/>
        <v>91.365834835002516</v>
      </c>
      <c r="AC28" s="77">
        <f t="shared" si="27"/>
        <v>91.383693418788098</v>
      </c>
      <c r="AD28" s="77">
        <f t="shared" si="28"/>
        <v>91.401572527482955</v>
      </c>
      <c r="AE28" s="77">
        <f t="shared" si="29"/>
        <v>91.419472309346162</v>
      </c>
      <c r="AF28" s="77">
        <f t="shared" si="30"/>
        <v>91.437392913803549</v>
      </c>
      <c r="AG28" s="77">
        <f t="shared" si="31"/>
        <v>91.455334491459212</v>
      </c>
      <c r="AH28" s="77">
        <f t="shared" si="32"/>
        <v>91.473297194107502</v>
      </c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</row>
    <row r="29" spans="1:82">
      <c r="A29" s="1"/>
      <c r="B29" s="118">
        <v>7</v>
      </c>
      <c r="C29" s="77">
        <f t="shared" si="1"/>
        <v>88.237745786454184</v>
      </c>
      <c r="D29" s="77">
        <f t="shared" si="2"/>
        <v>88.462217822609247</v>
      </c>
      <c r="E29" s="77">
        <f t="shared" si="3"/>
        <v>88.667510565491099</v>
      </c>
      <c r="F29" s="77">
        <f t="shared" si="4"/>
        <v>88.873707175944531</v>
      </c>
      <c r="G29" s="77">
        <f t="shared" si="5"/>
        <v>88.815118367603191</v>
      </c>
      <c r="H29" s="77">
        <f t="shared" si="6"/>
        <v>88.740416468898644</v>
      </c>
      <c r="I29" s="77">
        <f t="shared" si="7"/>
        <v>88.667083722122626</v>
      </c>
      <c r="J29" s="77">
        <f t="shared" si="8"/>
        <v>88.595087185718015</v>
      </c>
      <c r="K29" s="77">
        <f t="shared" si="9"/>
        <v>88.524395014240596</v>
      </c>
      <c r="L29" s="77">
        <f t="shared" si="10"/>
        <v>88.454976413887309</v>
      </c>
      <c r="M29" s="77">
        <f t="shared" si="11"/>
        <v>88.38680160018562</v>
      </c>
      <c r="N29" s="77">
        <f t="shared" si="12"/>
        <v>89.163436616125139</v>
      </c>
      <c r="O29" s="77">
        <f t="shared" si="13"/>
        <v>89.18228696720081</v>
      </c>
      <c r="P29" s="77">
        <f t="shared" si="14"/>
        <v>89.20121408703119</v>
      </c>
      <c r="Q29" s="77">
        <f t="shared" si="15"/>
        <v>89.220218420087733</v>
      </c>
      <c r="R29" s="77">
        <f t="shared" si="16"/>
        <v>89.239300414296139</v>
      </c>
      <c r="S29" s="77">
        <f t="shared" si="17"/>
        <v>89.258460521069892</v>
      </c>
      <c r="T29" s="77">
        <f t="shared" si="18"/>
        <v>89.277699195344269</v>
      </c>
      <c r="U29" s="77">
        <f t="shared" si="19"/>
        <v>89.297016895610767</v>
      </c>
      <c r="V29" s="77">
        <f t="shared" si="20"/>
        <v>89.316414083951884</v>
      </c>
      <c r="W29" s="77">
        <f t="shared" si="21"/>
        <v>89.335891226076299</v>
      </c>
      <c r="X29" s="77">
        <f t="shared" si="22"/>
        <v>89.355448791354576</v>
      </c>
      <c r="Y29" s="77">
        <f t="shared" si="23"/>
        <v>89.375087252855167</v>
      </c>
      <c r="Z29" s="77">
        <f t="shared" si="24"/>
        <v>89.394807087380855</v>
      </c>
      <c r="AA29" s="77">
        <f t="shared" si="25"/>
        <v>89.414608775505727</v>
      </c>
      <c r="AB29" s="77">
        <f t="shared" si="26"/>
        <v>89.434492801612478</v>
      </c>
      <c r="AC29" s="77">
        <f t="shared" si="27"/>
        <v>89.454459653930201</v>
      </c>
      <c r="AD29" s="77">
        <f t="shared" si="28"/>
        <v>89.474509824572664</v>
      </c>
      <c r="AE29" s="77">
        <f t="shared" si="29"/>
        <v>89.494643809576957</v>
      </c>
      <c r="AF29" s="77">
        <f t="shared" si="30"/>
        <v>89.514862108942665</v>
      </c>
      <c r="AG29" s="77">
        <f t="shared" si="31"/>
        <v>89.535165226671566</v>
      </c>
      <c r="AH29" s="77">
        <f t="shared" si="32"/>
        <v>89.55555367080764</v>
      </c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</row>
    <row r="30" spans="1:82">
      <c r="B30" s="118">
        <v>8</v>
      </c>
      <c r="C30" s="77">
        <f t="shared" si="1"/>
        <v>77.317087967644085</v>
      </c>
      <c r="D30" s="77">
        <f t="shared" si="2"/>
        <v>77.317087967644085</v>
      </c>
      <c r="E30" s="77">
        <f t="shared" si="3"/>
        <v>77.317087967644085</v>
      </c>
      <c r="F30" s="77">
        <f t="shared" si="4"/>
        <v>77.317087967644085</v>
      </c>
      <c r="G30" s="77">
        <f t="shared" si="5"/>
        <v>77.317087967644085</v>
      </c>
      <c r="H30" s="77">
        <f t="shared" si="6"/>
        <v>77.317087967644085</v>
      </c>
      <c r="I30" s="77">
        <f t="shared" si="7"/>
        <v>77.317087967644085</v>
      </c>
      <c r="J30" s="77">
        <f t="shared" si="8"/>
        <v>77.317087967644085</v>
      </c>
      <c r="K30" s="77">
        <f t="shared" si="9"/>
        <v>77.317087967644085</v>
      </c>
      <c r="L30" s="77">
        <f t="shared" si="10"/>
        <v>77.317087967644085</v>
      </c>
      <c r="M30" s="77">
        <f t="shared" si="11"/>
        <v>77.317087967644085</v>
      </c>
      <c r="N30" s="77">
        <f t="shared" si="12"/>
        <v>77.317087967644085</v>
      </c>
      <c r="O30" s="77">
        <f t="shared" si="13"/>
        <v>77.317087967644085</v>
      </c>
      <c r="P30" s="77">
        <f t="shared" si="14"/>
        <v>77.317087967644085</v>
      </c>
      <c r="Q30" s="77">
        <f t="shared" si="15"/>
        <v>77.317087967644085</v>
      </c>
      <c r="R30" s="77">
        <f t="shared" si="16"/>
        <v>77.317087967644085</v>
      </c>
      <c r="S30" s="77">
        <f t="shared" si="17"/>
        <v>77.317087967644085</v>
      </c>
      <c r="T30" s="77">
        <f t="shared" si="18"/>
        <v>77.317087967644085</v>
      </c>
      <c r="U30" s="77">
        <f t="shared" si="19"/>
        <v>77.317087967644085</v>
      </c>
      <c r="V30" s="77">
        <f t="shared" si="20"/>
        <v>77.317087967644085</v>
      </c>
      <c r="W30" s="77">
        <f t="shared" si="21"/>
        <v>77.317087967644085</v>
      </c>
      <c r="X30" s="77">
        <f t="shared" si="22"/>
        <v>77.317087967644085</v>
      </c>
      <c r="Y30" s="77">
        <f t="shared" si="23"/>
        <v>77.317087967644085</v>
      </c>
      <c r="Z30" s="77">
        <f t="shared" si="24"/>
        <v>77.317087967644085</v>
      </c>
      <c r="AA30" s="77">
        <f t="shared" si="25"/>
        <v>77.317087967644085</v>
      </c>
      <c r="AB30" s="77">
        <f t="shared" si="26"/>
        <v>77.317087967644085</v>
      </c>
      <c r="AC30" s="77">
        <f t="shared" si="27"/>
        <v>77.317087967644085</v>
      </c>
      <c r="AD30" s="77">
        <f t="shared" si="28"/>
        <v>77.317087967644085</v>
      </c>
      <c r="AE30" s="77">
        <f t="shared" si="29"/>
        <v>77.317087967644085</v>
      </c>
      <c r="AF30" s="77">
        <f t="shared" si="30"/>
        <v>77.317087967644085</v>
      </c>
      <c r="AG30" s="77">
        <f t="shared" si="31"/>
        <v>77.317087967644085</v>
      </c>
      <c r="AH30" s="77">
        <f t="shared" si="32"/>
        <v>77.317087967644085</v>
      </c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</row>
    <row r="31" spans="1:82">
      <c r="B31" s="118">
        <v>9</v>
      </c>
      <c r="C31" s="77">
        <f t="shared" si="1"/>
        <v>76.04981731723592</v>
      </c>
      <c r="D31" s="77">
        <f t="shared" si="2"/>
        <v>76.017969700026526</v>
      </c>
      <c r="E31" s="77">
        <f t="shared" si="3"/>
        <v>75.962324697000227</v>
      </c>
      <c r="F31" s="77">
        <f t="shared" si="4"/>
        <v>75.907906427122228</v>
      </c>
      <c r="G31" s="77">
        <f t="shared" si="5"/>
        <v>75.854686066106069</v>
      </c>
      <c r="H31" s="77">
        <f t="shared" si="6"/>
        <v>75.802635790507367</v>
      </c>
      <c r="I31" s="77">
        <f t="shared" si="7"/>
        <v>75.751728736353016</v>
      </c>
      <c r="J31" s="77">
        <f t="shared" si="8"/>
        <v>75.701938959835346</v>
      </c>
      <c r="K31" s="77">
        <f t="shared" si="9"/>
        <v>75.653241399952378</v>
      </c>
      <c r="L31" s="77">
        <f t="shared" si="10"/>
        <v>75.605611842983507</v>
      </c>
      <c r="M31" s="77">
        <f t="shared" si="11"/>
        <v>75.559026888696849</v>
      </c>
      <c r="N31" s="77">
        <f t="shared" si="12"/>
        <v>76.319922614969897</v>
      </c>
      <c r="O31" s="77">
        <f t="shared" si="13"/>
        <v>76.295410892221369</v>
      </c>
      <c r="P31" s="77">
        <f t="shared" si="14"/>
        <v>76.270851984578471</v>
      </c>
      <c r="Q31" s="77">
        <f t="shared" si="15"/>
        <v>76.246245593464408</v>
      </c>
      <c r="R31" s="77">
        <f t="shared" si="16"/>
        <v>76.221591417999235</v>
      </c>
      <c r="S31" s="77">
        <f t="shared" si="17"/>
        <v>76.196889154977512</v>
      </c>
      <c r="T31" s="77">
        <f t="shared" si="18"/>
        <v>76.172138498845527</v>
      </c>
      <c r="U31" s="77">
        <f t="shared" si="19"/>
        <v>76.147339141678373</v>
      </c>
      <c r="V31" s="77">
        <f t="shared" si="20"/>
        <v>76.122490773156812</v>
      </c>
      <c r="W31" s="77">
        <f t="shared" si="21"/>
        <v>76.097593080543618</v>
      </c>
      <c r="X31" s="77">
        <f t="shared" si="22"/>
        <v>76.07264574865998</v>
      </c>
      <c r="Y31" s="77">
        <f t="shared" si="23"/>
        <v>76.047648459861321</v>
      </c>
      <c r="Z31" s="77">
        <f t="shared" si="24"/>
        <v>76.022600894013053</v>
      </c>
      <c r="AA31" s="77">
        <f t="shared" si="25"/>
        <v>75.997502728465889</v>
      </c>
      <c r="AB31" s="77">
        <f t="shared" si="26"/>
        <v>75.972353638030938</v>
      </c>
      <c r="AC31" s="77">
        <f t="shared" si="27"/>
        <v>75.94715329495456</v>
      </c>
      <c r="AD31" s="77">
        <f t="shared" si="28"/>
        <v>75.921901368892733</v>
      </c>
      <c r="AE31" s="77">
        <f t="shared" si="29"/>
        <v>75.89659752688533</v>
      </c>
      <c r="AF31" s="77">
        <f t="shared" si="30"/>
        <v>75.871241433329942</v>
      </c>
      <c r="AG31" s="77">
        <f t="shared" si="31"/>
        <v>75.845832749955491</v>
      </c>
      <c r="AH31" s="77">
        <f t="shared" si="32"/>
        <v>75.820371135795369</v>
      </c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</row>
    <row r="32" spans="1:82">
      <c r="B32" s="118">
        <v>10</v>
      </c>
      <c r="C32" s="77">
        <f t="shared" si="1"/>
        <v>72.522253861304435</v>
      </c>
      <c r="D32" s="77">
        <f t="shared" si="2"/>
        <v>72.47537079726213</v>
      </c>
      <c r="E32" s="77">
        <f t="shared" si="3"/>
        <v>72.405925836420579</v>
      </c>
      <c r="F32" s="77">
        <f t="shared" si="4"/>
        <v>72.337764782121425</v>
      </c>
      <c r="G32" s="77">
        <f t="shared" si="5"/>
        <v>72.270855743888802</v>
      </c>
      <c r="H32" s="77">
        <f t="shared" si="6"/>
        <v>72.205167916132595</v>
      </c>
      <c r="I32" s="77">
        <f t="shared" si="7"/>
        <v>72.140671532976484</v>
      </c>
      <c r="J32" s="77">
        <f t="shared" si="8"/>
        <v>72.077337825334283</v>
      </c>
      <c r="K32" s="77">
        <f t="shared" si="9"/>
        <v>72.01513898010576</v>
      </c>
      <c r="L32" s="77">
        <f t="shared" si="10"/>
        <v>71.954048101370759</v>
      </c>
      <c r="M32" s="77">
        <f t="shared" si="11"/>
        <v>71.894039173468741</v>
      </c>
      <c r="N32" s="77">
        <f t="shared" si="12"/>
        <v>72.585062505820531</v>
      </c>
      <c r="O32" s="77">
        <f t="shared" si="13"/>
        <v>72.582771583934573</v>
      </c>
      <c r="P32" s="77">
        <f t="shared" si="14"/>
        <v>72.580481553560361</v>
      </c>
      <c r="Q32" s="77">
        <f t="shared" si="15"/>
        <v>72.578192414929731</v>
      </c>
      <c r="R32" s="77">
        <f t="shared" si="16"/>
        <v>72.575904168279678</v>
      </c>
      <c r="S32" s="77">
        <f t="shared" si="17"/>
        <v>72.573616813852411</v>
      </c>
      <c r="T32" s="77">
        <f t="shared" si="18"/>
        <v>72.571330351895369</v>
      </c>
      <c r="U32" s="77">
        <f t="shared" si="19"/>
        <v>72.569044782661308</v>
      </c>
      <c r="V32" s="77">
        <f t="shared" si="20"/>
        <v>72.566760106408296</v>
      </c>
      <c r="W32" s="77">
        <f t="shared" si="21"/>
        <v>72.564476323399845</v>
      </c>
      <c r="X32" s="77">
        <f t="shared" si="22"/>
        <v>72.562193433904866</v>
      </c>
      <c r="Y32" s="77">
        <f t="shared" si="23"/>
        <v>72.559911438197787</v>
      </c>
      <c r="Z32" s="77">
        <f t="shared" si="24"/>
        <v>72.557630336558589</v>
      </c>
      <c r="AA32" s="77">
        <f t="shared" si="25"/>
        <v>72.555350129272824</v>
      </c>
      <c r="AB32" s="77">
        <f t="shared" si="26"/>
        <v>72.553070816631731</v>
      </c>
      <c r="AC32" s="77">
        <f t="shared" si="27"/>
        <v>72.550792398932245</v>
      </c>
      <c r="AD32" s="77">
        <f t="shared" si="28"/>
        <v>72.548514876477029</v>
      </c>
      <c r="AE32" s="77">
        <f t="shared" si="29"/>
        <v>72.546238249574586</v>
      </c>
      <c r="AF32" s="77">
        <f t="shared" si="30"/>
        <v>72.543962518539303</v>
      </c>
      <c r="AG32" s="77">
        <f t="shared" si="31"/>
        <v>72.54168768369145</v>
      </c>
      <c r="AH32" s="77">
        <f t="shared" si="32"/>
        <v>72.539413745357294</v>
      </c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</row>
    <row r="33" spans="1:82">
      <c r="A33" s="1"/>
      <c r="B33" s="118">
        <v>11</v>
      </c>
      <c r="C33" s="77">
        <f t="shared" si="1"/>
        <v>15.842597281533472</v>
      </c>
      <c r="D33" s="77">
        <f t="shared" si="2"/>
        <v>15.80195361315835</v>
      </c>
      <c r="E33" s="77">
        <f t="shared" si="3"/>
        <v>15.737929337446122</v>
      </c>
      <c r="F33" s="77">
        <f t="shared" si="4"/>
        <v>15.675318105266101</v>
      </c>
      <c r="G33" s="77">
        <f t="shared" si="5"/>
        <v>15.614086725678362</v>
      </c>
      <c r="H33" s="77">
        <f t="shared" si="6"/>
        <v>15.554203160348472</v>
      </c>
      <c r="I33" s="77">
        <f>LARGE($I$5:$I$17,B33)</f>
        <v>15.495636475905536</v>
      </c>
      <c r="J33" s="77">
        <f t="shared" si="8"/>
        <v>15.438356798678168</v>
      </c>
      <c r="K33" s="77">
        <f t="shared" si="9"/>
        <v>15.382335271671671</v>
      </c>
      <c r="L33" s="77">
        <f t="shared" si="10"/>
        <v>15.327544013658907</v>
      </c>
      <c r="M33" s="77">
        <f t="shared" si="11"/>
        <v>15.273956080265233</v>
      </c>
      <c r="N33" s="77">
        <f t="shared" si="12"/>
        <v>16.001488020983242</v>
      </c>
      <c r="O33" s="77">
        <f t="shared" si="13"/>
        <v>15.980984889190074</v>
      </c>
      <c r="P33" s="77">
        <f t="shared" si="14"/>
        <v>15.960431338539768</v>
      </c>
      <c r="Q33" s="77">
        <f t="shared" si="15"/>
        <v>15.939827061165076</v>
      </c>
      <c r="R33" s="77">
        <f t="shared" si="16"/>
        <v>15.919171746817005</v>
      </c>
      <c r="S33" s="77">
        <f t="shared" si="17"/>
        <v>15.898465082841652</v>
      </c>
      <c r="T33" s="77">
        <f t="shared" si="18"/>
        <v>15.877706754156739</v>
      </c>
      <c r="U33" s="77">
        <f t="shared" si="19"/>
        <v>15.856896443227891</v>
      </c>
      <c r="V33" s="77">
        <f t="shared" si="20"/>
        <v>15.836033830044627</v>
      </c>
      <c r="W33" s="77">
        <f t="shared" si="21"/>
        <v>15.815118592096075</v>
      </c>
      <c r="X33" s="77">
        <f t="shared" si="22"/>
        <v>15.794150404346386</v>
      </c>
      <c r="Y33" s="77">
        <f t="shared" si="23"/>
        <v>15.773128939209887</v>
      </c>
      <c r="Z33" s="77">
        <f t="shared" si="24"/>
        <v>15.752053866525916</v>
      </c>
      <c r="AA33" s="77">
        <f t="shared" si="25"/>
        <v>15.730924853533335</v>
      </c>
      <c r="AB33" s="77">
        <f t="shared" si="26"/>
        <v>15.709741564844817</v>
      </c>
      <c r="AC33" s="77">
        <f t="shared" si="27"/>
        <v>15.688503662420747</v>
      </c>
      <c r="AD33" s="77">
        <f t="shared" si="28"/>
        <v>15.667210805542846</v>
      </c>
      <c r="AE33" s="77">
        <f t="shared" si="29"/>
        <v>15.645862650787496</v>
      </c>
      <c r="AF33" s="77">
        <f t="shared" si="30"/>
        <v>15.624458851998702</v>
      </c>
      <c r="AG33" s="77">
        <f t="shared" si="31"/>
        <v>15.602999060260764</v>
      </c>
      <c r="AH33" s="77">
        <f t="shared" si="32"/>
        <v>15.581482923870627</v>
      </c>
      <c r="AI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</row>
    <row r="34" spans="1:82">
      <c r="A34" s="1"/>
      <c r="B34" s="118">
        <v>12</v>
      </c>
      <c r="C34" s="77">
        <f t="shared" si="1"/>
        <v>0.1</v>
      </c>
      <c r="D34" s="77">
        <f t="shared" si="2"/>
        <v>0.1</v>
      </c>
      <c r="E34" s="77">
        <f t="shared" si="3"/>
        <v>0.1</v>
      </c>
      <c r="F34" s="77">
        <f t="shared" si="4"/>
        <v>0.1</v>
      </c>
      <c r="G34" s="77">
        <f t="shared" si="5"/>
        <v>0.1</v>
      </c>
      <c r="H34" s="77">
        <f t="shared" si="6"/>
        <v>0.1</v>
      </c>
      <c r="I34" s="77">
        <f t="shared" ref="I34:I35" si="33">LARGE($I$5:$I$17,B34)</f>
        <v>0.1</v>
      </c>
      <c r="J34" s="77">
        <f t="shared" si="8"/>
        <v>0.1</v>
      </c>
      <c r="K34" s="77">
        <f t="shared" si="9"/>
        <v>0.1</v>
      </c>
      <c r="L34" s="77">
        <f t="shared" si="10"/>
        <v>0.1</v>
      </c>
      <c r="M34" s="77">
        <f t="shared" si="11"/>
        <v>0.1</v>
      </c>
      <c r="N34" s="77">
        <f t="shared" si="12"/>
        <v>0.1</v>
      </c>
      <c r="O34" s="77">
        <f t="shared" si="13"/>
        <v>0.1</v>
      </c>
      <c r="P34" s="77">
        <f t="shared" si="14"/>
        <v>0.1</v>
      </c>
      <c r="Q34" s="77">
        <f t="shared" si="15"/>
        <v>0.1</v>
      </c>
      <c r="R34" s="77">
        <f t="shared" si="16"/>
        <v>0.1</v>
      </c>
      <c r="S34" s="77">
        <f t="shared" si="17"/>
        <v>0.1</v>
      </c>
      <c r="T34" s="77">
        <f t="shared" si="18"/>
        <v>0.1</v>
      </c>
      <c r="U34" s="77">
        <f t="shared" si="19"/>
        <v>0.1</v>
      </c>
      <c r="V34" s="77">
        <f t="shared" si="20"/>
        <v>0.1</v>
      </c>
      <c r="W34" s="77">
        <f t="shared" si="21"/>
        <v>0.1</v>
      </c>
      <c r="X34" s="77">
        <f t="shared" si="22"/>
        <v>0.1</v>
      </c>
      <c r="Y34" s="77">
        <f t="shared" si="23"/>
        <v>0.1</v>
      </c>
      <c r="Z34" s="77">
        <f t="shared" si="24"/>
        <v>0.1</v>
      </c>
      <c r="AA34" s="77">
        <f t="shared" si="25"/>
        <v>0.1</v>
      </c>
      <c r="AB34" s="77">
        <f t="shared" si="26"/>
        <v>0.1</v>
      </c>
      <c r="AC34" s="77">
        <f t="shared" si="27"/>
        <v>0.1</v>
      </c>
      <c r="AD34" s="77">
        <f t="shared" si="28"/>
        <v>0.1</v>
      </c>
      <c r="AE34" s="77">
        <f t="shared" si="29"/>
        <v>0.1</v>
      </c>
      <c r="AF34" s="77">
        <f t="shared" si="30"/>
        <v>0.1</v>
      </c>
      <c r="AG34" s="77">
        <f t="shared" si="31"/>
        <v>0.1</v>
      </c>
      <c r="AH34" s="77">
        <f t="shared" si="32"/>
        <v>0.1</v>
      </c>
      <c r="AI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</row>
    <row r="35" spans="1:82">
      <c r="A35" s="1"/>
      <c r="B35" s="118">
        <v>13</v>
      </c>
      <c r="C35" s="77">
        <f t="shared" si="1"/>
        <v>0</v>
      </c>
      <c r="D35" s="77">
        <f t="shared" si="2"/>
        <v>0</v>
      </c>
      <c r="E35" s="77">
        <f t="shared" si="3"/>
        <v>0</v>
      </c>
      <c r="F35" s="77">
        <f t="shared" si="4"/>
        <v>0</v>
      </c>
      <c r="G35" s="77">
        <f t="shared" si="5"/>
        <v>0</v>
      </c>
      <c r="H35" s="77">
        <f t="shared" si="6"/>
        <v>0</v>
      </c>
      <c r="I35" s="77">
        <f t="shared" si="33"/>
        <v>0</v>
      </c>
      <c r="J35" s="77">
        <f t="shared" si="8"/>
        <v>0</v>
      </c>
      <c r="K35" s="77">
        <f t="shared" si="9"/>
        <v>0</v>
      </c>
      <c r="L35" s="77">
        <f t="shared" si="10"/>
        <v>0</v>
      </c>
      <c r="M35" s="77">
        <f t="shared" si="11"/>
        <v>0</v>
      </c>
      <c r="N35" s="77">
        <f t="shared" si="12"/>
        <v>0</v>
      </c>
      <c r="O35" s="77">
        <f t="shared" si="13"/>
        <v>0</v>
      </c>
      <c r="P35" s="77">
        <f t="shared" si="14"/>
        <v>0</v>
      </c>
      <c r="Q35" s="77">
        <f t="shared" si="15"/>
        <v>0</v>
      </c>
      <c r="R35" s="77">
        <f t="shared" si="16"/>
        <v>0</v>
      </c>
      <c r="S35" s="77">
        <f t="shared" si="17"/>
        <v>0</v>
      </c>
      <c r="T35" s="77">
        <f t="shared" si="18"/>
        <v>0</v>
      </c>
      <c r="U35" s="77">
        <f t="shared" si="19"/>
        <v>0</v>
      </c>
      <c r="V35" s="77">
        <f t="shared" si="20"/>
        <v>0</v>
      </c>
      <c r="W35" s="77">
        <f t="shared" si="21"/>
        <v>0</v>
      </c>
      <c r="X35" s="77">
        <f t="shared" si="22"/>
        <v>0</v>
      </c>
      <c r="Y35" s="77">
        <f t="shared" si="23"/>
        <v>0</v>
      </c>
      <c r="Z35" s="77">
        <f t="shared" si="24"/>
        <v>0</v>
      </c>
      <c r="AA35" s="77">
        <f t="shared" si="25"/>
        <v>0</v>
      </c>
      <c r="AB35" s="77">
        <f t="shared" si="26"/>
        <v>0</v>
      </c>
      <c r="AC35" s="77">
        <f t="shared" si="27"/>
        <v>0</v>
      </c>
      <c r="AD35" s="77">
        <f t="shared" si="28"/>
        <v>0</v>
      </c>
      <c r="AE35" s="77">
        <f t="shared" si="29"/>
        <v>0</v>
      </c>
      <c r="AF35" s="77">
        <f t="shared" si="30"/>
        <v>0</v>
      </c>
      <c r="AG35" s="77">
        <f t="shared" si="31"/>
        <v>0</v>
      </c>
      <c r="AH35" s="77">
        <f t="shared" si="32"/>
        <v>0</v>
      </c>
      <c r="AI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</row>
    <row r="36" spans="1:82">
      <c r="A36" s="1"/>
      <c r="B36" s="118" t="s">
        <v>174</v>
      </c>
      <c r="C36" s="118">
        <v>2019</v>
      </c>
      <c r="D36" s="118">
        <v>2020</v>
      </c>
      <c r="E36" s="118">
        <v>2021</v>
      </c>
      <c r="F36" s="118">
        <v>2022</v>
      </c>
      <c r="G36" s="118">
        <v>2023</v>
      </c>
      <c r="H36" s="118">
        <v>2024</v>
      </c>
      <c r="I36" s="118">
        <v>2025</v>
      </c>
      <c r="J36" s="118">
        <v>2026</v>
      </c>
      <c r="K36" s="118">
        <v>2027</v>
      </c>
      <c r="L36" s="118">
        <v>2028</v>
      </c>
      <c r="M36" s="118">
        <v>2029</v>
      </c>
      <c r="N36" s="118">
        <v>2030</v>
      </c>
      <c r="O36" s="118">
        <v>2031</v>
      </c>
      <c r="P36" s="118">
        <v>2032</v>
      </c>
      <c r="Q36" s="118">
        <v>2033</v>
      </c>
      <c r="R36" s="118">
        <v>2034</v>
      </c>
      <c r="S36" s="118">
        <v>2035</v>
      </c>
      <c r="T36" s="118">
        <v>2036</v>
      </c>
      <c r="U36" s="118">
        <v>2037</v>
      </c>
      <c r="V36" s="118">
        <v>2038</v>
      </c>
      <c r="W36" s="118">
        <v>2039</v>
      </c>
      <c r="X36" s="118">
        <v>2040</v>
      </c>
      <c r="Y36" s="118">
        <v>2041</v>
      </c>
      <c r="Z36" s="118">
        <v>2042</v>
      </c>
      <c r="AA36" s="118">
        <v>2043</v>
      </c>
      <c r="AB36" s="118">
        <v>2044</v>
      </c>
      <c r="AC36" s="118">
        <v>2045</v>
      </c>
      <c r="AD36" s="118">
        <v>2046</v>
      </c>
      <c r="AE36" s="118">
        <v>2047</v>
      </c>
      <c r="AF36" s="118">
        <v>2048</v>
      </c>
      <c r="AG36" s="118">
        <v>2049</v>
      </c>
      <c r="AH36" s="118">
        <v>2050</v>
      </c>
      <c r="AI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</row>
    <row r="37" spans="1:82">
      <c r="A37" s="1"/>
      <c r="B37" s="118">
        <v>1</v>
      </c>
      <c r="C37" s="132">
        <f t="shared" ref="C37:C49" si="34">VLOOKUP(VLOOKUP(LARGE($C$5:$C$17,B73),$C$5:$AI$17,33,FALSE),$B$133:$AH$145,2,FALSE)</f>
        <v>36.274000000000001</v>
      </c>
      <c r="D37" s="132">
        <f t="shared" ref="D37:D47" si="35">VLOOKUP(VLOOKUP(LARGE($D$5:$D$17,B73),$D$5:$AI$17,32,FALSE),$B$133:$AH$145,3,FALSE)</f>
        <v>39.901400000000002</v>
      </c>
      <c r="E37" s="132">
        <f t="shared" ref="E37:E47" si="36">VLOOKUP(VLOOKUP(LARGE($E$5:$E$17,B73),$E$5:$AI$17,31,FALSE),$B$133:$AH$145,4,FALSE)</f>
        <v>47.881680000000003</v>
      </c>
      <c r="F37" s="132">
        <f t="shared" ref="F37:F47" si="37">VLOOKUP(VLOOKUP(LARGE($F$5:$F$17,B73),$F$5:$AI$17,30,FALSE),$B$133:$AH$145,5,FALSE)</f>
        <v>62.246184000000007</v>
      </c>
      <c r="G37" s="132">
        <f t="shared" ref="G37:G47" si="38">VLOOKUP(VLOOKUP(LARGE($G$5:$G$17,B73),$G$5:$AI$17,29,FALSE),$B$133:$AH$145,6,FALSE)</f>
        <v>87.144657600000002</v>
      </c>
      <c r="H37" s="132">
        <f t="shared" ref="H37:H47" si="39">VLOOKUP(VLOOKUP(LARGE($H$5:$H$17,B73),$H$5:$AI$17,28,FALSE),$B$133:$AH$145,7,FALSE)</f>
        <v>100</v>
      </c>
      <c r="I37" s="132">
        <f t="shared" ref="I37:I47" si="40">VLOOKUP(VLOOKUP(LARGE($I$5:$I$17,B73),$I$5:$AI$17,27,FALSE),$B$133:$AH$145,8,FALSE)</f>
        <v>0</v>
      </c>
      <c r="J37" s="132">
        <f t="shared" ref="J37:J47" si="41">VLOOKUP(VLOOKUP(LARGE($J$5:$J$17,B73),$J$5:$AI$17,26,FALSE),$B$133:$AH$145,9,FALSE)</f>
        <v>0</v>
      </c>
      <c r="K37" s="132">
        <f t="shared" ref="K37:K47" si="42">VLOOKUP(VLOOKUP(LARGE($K$5:$K$17,B73),$K$5:$AI$17,25,FALSE),$B$133:$AH$145,10,FALSE)</f>
        <v>0</v>
      </c>
      <c r="L37" s="132">
        <f t="shared" ref="L37:L47" si="43">VLOOKUP(VLOOKUP(LARGE($L$5:$L$17,B73),$L$5:$AI$17,24,FALSE),$B$133:$AH$145,11,FALSE)</f>
        <v>0</v>
      </c>
      <c r="M37" s="132">
        <f t="shared" ref="M37:M47" si="44">VLOOKUP(VLOOKUP(LARGE($M$5:$M$17,B73),$M$5:$AI$17,23,FALSE),$B$133:$AH$145,12,FALSE)</f>
        <v>0</v>
      </c>
      <c r="N37" s="132">
        <f t="shared" ref="N37:N47" si="45">VLOOKUP(VLOOKUP(LARGE($N$5:$N$17,B73),$N$5:$AI$17,22,FALSE),$B$133:$AH$145,13,FALSE)</f>
        <v>0</v>
      </c>
      <c r="O37" s="132">
        <f>VLOOKUP(VLOOKUP(LARGE($O$5:$O$17,B73),$O$5:$AI$17,21,FALSE),$B$133:$AH$145,14,FALSE)</f>
        <v>0</v>
      </c>
      <c r="P37" s="132">
        <f t="shared" ref="P37:P47" si="46">VLOOKUP(VLOOKUP(LARGE($P$5:$P$17,B73),$P$5:$AI$17,20,FALSE),$B$133:$AH$145,15,FALSE)</f>
        <v>0</v>
      </c>
      <c r="Q37" s="132">
        <f t="shared" ref="Q37:Q47" si="47">VLOOKUP(VLOOKUP(LARGE($Q$5:$Q$17,B73),$Q$5:$AI$17,19,FALSE),$B$133:$AH$145,16,FALSE)</f>
        <v>0</v>
      </c>
      <c r="R37" s="132">
        <f t="shared" ref="R37:R47" si="48">VLOOKUP(VLOOKUP(LARGE($R$5:$R$17,B73),$R$5:$AI$17,18,FALSE),$B$133:$AH$145,17,FALSE)</f>
        <v>0</v>
      </c>
      <c r="S37" s="132">
        <f t="shared" ref="S37:S47" si="49">VLOOKUP(VLOOKUP(LARGE($S$5:$S$17,B73),$S$5:$AI$17,17,FALSE),$B$133:$AH$145,18,FALSE)</f>
        <v>0</v>
      </c>
      <c r="T37" s="132">
        <f t="shared" ref="T37:T47" si="50">VLOOKUP(VLOOKUP(LARGE($T$5:$T$17,B73),$T$5:$AI$17,16,FALSE),$B$133:$AH$145,19,FALSE)</f>
        <v>0</v>
      </c>
      <c r="U37" s="132">
        <f t="shared" ref="U37:U47" si="51">VLOOKUP(VLOOKUP(LARGE($U$5:$U$17,B73),$U$5:$AI$17,15,FALSE),$B$133:$AH$145,20,FALSE)</f>
        <v>0</v>
      </c>
      <c r="V37" s="132">
        <f t="shared" ref="V37:V47" si="52">VLOOKUP(VLOOKUP(LARGE($V$5:$V$17,B73),$V$5:$AI$17,14,FALSE),$B$133:$AH$145,21,FALSE)</f>
        <v>0</v>
      </c>
      <c r="W37" s="132">
        <f t="shared" ref="W37:W47" si="53">VLOOKUP(VLOOKUP(LARGE($W$5:$W$17,B73),$W$5:$AI$17,13,FALSE),$B$133:$AH$145,22,FALSE)</f>
        <v>0</v>
      </c>
      <c r="X37" s="132">
        <f t="shared" ref="X37:X47" si="54">VLOOKUP(VLOOKUP(LARGE($X$5:$X$17,B73),$X$5:$AI$17,12,FALSE),$B$133:$AH$145,23,FALSE)</f>
        <v>0</v>
      </c>
      <c r="Y37" s="132">
        <f t="shared" ref="Y37:Y47" si="55">VLOOKUP(VLOOKUP(LARGE($Y$5:$Y$17,B73),$Y$5:$AI$17,11,FALSE),$B$133:$AH$145,24,FALSE)</f>
        <v>0</v>
      </c>
      <c r="Z37" s="132">
        <f t="shared" ref="Z37:Z47" si="56">VLOOKUP(VLOOKUP(LARGE($Z$5:$Z$17,B73),$Z$5:$AI$17,10,FALSE),$B$133:$AH$145,25,FALSE)</f>
        <v>0</v>
      </c>
      <c r="AA37" s="132">
        <f t="shared" ref="AA37:AA47" si="57">VLOOKUP(VLOOKUP(LARGE($AA$5:$AA$17,B73),$AA$5:$AI$17,9,FALSE),$B$133:$AH$145,26,FALSE)</f>
        <v>0</v>
      </c>
      <c r="AB37" s="132">
        <f t="shared" ref="AB37:AB47" si="58">VLOOKUP(VLOOKUP(LARGE($AB$5:$AB$17,B73),$AB$5:$AI$17,8,FALSE),$B$133:$AH$145,27,FALSE)</f>
        <v>0</v>
      </c>
      <c r="AC37" s="132">
        <f t="shared" ref="AC37:AC47" si="59">VLOOKUP(VLOOKUP(LARGE($AC$5:$AC$17,B73),$AC$5:$AI$17,7,FALSE),$B$133:$AH$145,28,FALSE)</f>
        <v>0</v>
      </c>
      <c r="AD37" s="132">
        <f t="shared" ref="AD37:AD47" si="60">VLOOKUP(VLOOKUP(LARGE($AD$5:$AD$17,B73),$AD$5:$AI$17,6,FALSE),$B$133:$AH$145,29,FALSE)</f>
        <v>0</v>
      </c>
      <c r="AE37" s="132">
        <f t="shared" ref="AE37:AE47" si="61">VLOOKUP(VLOOKUP(LARGE($AE$5:$AE$17,B73),$AE$5:$AI$17,5,FALSE),$B$133:$AH$145,30,FALSE)</f>
        <v>0</v>
      </c>
      <c r="AF37" s="132">
        <f t="shared" ref="AF37:AF47" si="62">VLOOKUP(VLOOKUP(LARGE($AF$5:$AF$17,B73),$AF$5:$AI$17,4,FALSE),$B$133:$AH$145,31,FALSE)</f>
        <v>0</v>
      </c>
      <c r="AG37" s="132">
        <f t="shared" ref="AG37:AG47" si="63">VLOOKUP(VLOOKUP(LARGE($AG$5:$AG$17,B73),$AG$5:$AI$17,3,FALSE),$B$133:$AH$145,32,FALSE)</f>
        <v>0</v>
      </c>
      <c r="AH37" s="132">
        <f t="shared" ref="AH37:AH47" si="64">VLOOKUP(VLOOKUP(LARGE($AH$5:$AH$17,B73),$AH$5:$AI$17,2,FALSE),$B$133:$AH$145,33,FALSE)</f>
        <v>0</v>
      </c>
      <c r="AI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</row>
    <row r="38" spans="1:82">
      <c r="A38" s="1"/>
      <c r="B38" s="118">
        <v>2</v>
      </c>
      <c r="C38" s="132">
        <f t="shared" si="34"/>
        <v>17.231999999999999</v>
      </c>
      <c r="D38" s="132">
        <f>VLOOKUP(VLOOKUP(LARGE($D$5:$D$17,B74),$D$5:$AI$17,32,FALSE),$B$133:$AH$145,3,FALSE)</f>
        <v>18.955200000000001</v>
      </c>
      <c r="E38" s="132">
        <f t="shared" si="36"/>
        <v>22.74624</v>
      </c>
      <c r="F38" s="132">
        <f t="shared" si="37"/>
        <v>29.570112000000002</v>
      </c>
      <c r="G38" s="132">
        <f t="shared" si="38"/>
        <v>41.398156800000002</v>
      </c>
      <c r="H38" s="132">
        <f t="shared" si="39"/>
        <v>62.0972352</v>
      </c>
      <c r="I38" s="132">
        <f t="shared" si="40"/>
        <v>0</v>
      </c>
      <c r="J38" s="132">
        <f t="shared" si="41"/>
        <v>0</v>
      </c>
      <c r="K38" s="132">
        <f t="shared" si="42"/>
        <v>0</v>
      </c>
      <c r="L38" s="132">
        <f t="shared" si="43"/>
        <v>0</v>
      </c>
      <c r="M38" s="132">
        <f t="shared" si="44"/>
        <v>0</v>
      </c>
      <c r="N38" s="132">
        <f t="shared" si="45"/>
        <v>0</v>
      </c>
      <c r="O38" s="132">
        <f t="shared" ref="O38:O47" si="65">VLOOKUP(VLOOKUP(LARGE($O$5:$O$17,B74),$O$5:$AI$17,21,FALSE),$B$133:$AH$145,14,FALSE)</f>
        <v>0</v>
      </c>
      <c r="P38" s="132">
        <f t="shared" si="46"/>
        <v>0</v>
      </c>
      <c r="Q38" s="132">
        <f t="shared" si="47"/>
        <v>0</v>
      </c>
      <c r="R38" s="132">
        <f t="shared" si="48"/>
        <v>0</v>
      </c>
      <c r="S38" s="132">
        <f t="shared" si="49"/>
        <v>0</v>
      </c>
      <c r="T38" s="132">
        <f t="shared" si="50"/>
        <v>0</v>
      </c>
      <c r="U38" s="132">
        <f t="shared" si="51"/>
        <v>0</v>
      </c>
      <c r="V38" s="132">
        <f t="shared" si="52"/>
        <v>0</v>
      </c>
      <c r="W38" s="132">
        <f t="shared" si="53"/>
        <v>0</v>
      </c>
      <c r="X38" s="132">
        <f t="shared" si="54"/>
        <v>0</v>
      </c>
      <c r="Y38" s="132">
        <f t="shared" si="55"/>
        <v>0</v>
      </c>
      <c r="Z38" s="132">
        <f t="shared" si="56"/>
        <v>0</v>
      </c>
      <c r="AA38" s="132">
        <f t="shared" si="57"/>
        <v>0</v>
      </c>
      <c r="AB38" s="132">
        <f t="shared" si="58"/>
        <v>0</v>
      </c>
      <c r="AC38" s="132">
        <f t="shared" si="59"/>
        <v>0</v>
      </c>
      <c r="AD38" s="132">
        <f t="shared" si="60"/>
        <v>0</v>
      </c>
      <c r="AE38" s="132">
        <f t="shared" si="61"/>
        <v>0</v>
      </c>
      <c r="AF38" s="132">
        <f t="shared" si="62"/>
        <v>0</v>
      </c>
      <c r="AG38" s="132">
        <f t="shared" si="63"/>
        <v>0</v>
      </c>
      <c r="AH38" s="132">
        <f t="shared" si="64"/>
        <v>0</v>
      </c>
      <c r="AI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</row>
    <row r="39" spans="1:82">
      <c r="A39" s="1"/>
      <c r="B39" s="118">
        <v>3</v>
      </c>
      <c r="C39" s="132">
        <f t="shared" si="34"/>
        <v>59.9</v>
      </c>
      <c r="D39" s="132">
        <f t="shared" si="35"/>
        <v>59.9</v>
      </c>
      <c r="E39" s="132">
        <f t="shared" si="36"/>
        <v>59.9</v>
      </c>
      <c r="F39" s="132">
        <f t="shared" si="37"/>
        <v>59.9</v>
      </c>
      <c r="G39" s="132">
        <f t="shared" si="38"/>
        <v>59.9</v>
      </c>
      <c r="H39" s="132">
        <f t="shared" si="39"/>
        <v>59.9</v>
      </c>
      <c r="I39" s="132">
        <f t="shared" si="40"/>
        <v>59.9</v>
      </c>
      <c r="J39" s="132">
        <f t="shared" si="41"/>
        <v>59.9</v>
      </c>
      <c r="K39" s="132">
        <f t="shared" si="42"/>
        <v>59.9</v>
      </c>
      <c r="L39" s="132">
        <f t="shared" si="43"/>
        <v>59.9</v>
      </c>
      <c r="M39" s="132">
        <f t="shared" si="44"/>
        <v>0</v>
      </c>
      <c r="N39" s="132">
        <f t="shared" si="45"/>
        <v>0</v>
      </c>
      <c r="O39" s="132">
        <f t="shared" si="65"/>
        <v>0</v>
      </c>
      <c r="P39" s="132">
        <f t="shared" si="46"/>
        <v>0</v>
      </c>
      <c r="Q39" s="132">
        <f t="shared" si="47"/>
        <v>0</v>
      </c>
      <c r="R39" s="132">
        <f t="shared" si="48"/>
        <v>0</v>
      </c>
      <c r="S39" s="132">
        <f t="shared" si="49"/>
        <v>0</v>
      </c>
      <c r="T39" s="132">
        <f t="shared" si="50"/>
        <v>0</v>
      </c>
      <c r="U39" s="132">
        <f t="shared" si="51"/>
        <v>0</v>
      </c>
      <c r="V39" s="132">
        <f t="shared" si="52"/>
        <v>0</v>
      </c>
      <c r="W39" s="132">
        <f t="shared" si="53"/>
        <v>0</v>
      </c>
      <c r="X39" s="132">
        <f t="shared" si="54"/>
        <v>0</v>
      </c>
      <c r="Y39" s="132">
        <f t="shared" si="55"/>
        <v>0</v>
      </c>
      <c r="Z39" s="132">
        <f t="shared" si="56"/>
        <v>0</v>
      </c>
      <c r="AA39" s="132">
        <f t="shared" si="57"/>
        <v>0</v>
      </c>
      <c r="AB39" s="132">
        <f t="shared" si="58"/>
        <v>0</v>
      </c>
      <c r="AC39" s="132">
        <f t="shared" si="59"/>
        <v>0</v>
      </c>
      <c r="AD39" s="132">
        <f t="shared" si="60"/>
        <v>0</v>
      </c>
      <c r="AE39" s="132">
        <f t="shared" si="61"/>
        <v>0</v>
      </c>
      <c r="AF39" s="132">
        <f t="shared" si="62"/>
        <v>0</v>
      </c>
      <c r="AG39" s="132">
        <f t="shared" si="63"/>
        <v>0</v>
      </c>
      <c r="AH39" s="132">
        <f t="shared" si="64"/>
        <v>0</v>
      </c>
      <c r="AI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</row>
    <row r="40" spans="1:82">
      <c r="A40" s="1"/>
      <c r="B40" s="118">
        <v>4</v>
      </c>
      <c r="C40" s="132">
        <f t="shared" si="34"/>
        <v>212.20500000000001</v>
      </c>
      <c r="D40" s="132">
        <f t="shared" si="35"/>
        <v>212.20500000000001</v>
      </c>
      <c r="E40" s="132">
        <f t="shared" si="36"/>
        <v>9.2400000000000017E-3</v>
      </c>
      <c r="F40" s="132">
        <f t="shared" si="37"/>
        <v>1.2012000000000002E-2</v>
      </c>
      <c r="G40" s="132">
        <f t="shared" si="38"/>
        <v>1.68168E-2</v>
      </c>
      <c r="H40" s="132">
        <f t="shared" si="39"/>
        <v>2.52252E-2</v>
      </c>
      <c r="I40" s="132">
        <f t="shared" si="40"/>
        <v>0</v>
      </c>
      <c r="J40" s="132">
        <f t="shared" si="41"/>
        <v>0</v>
      </c>
      <c r="K40" s="132">
        <f t="shared" si="42"/>
        <v>0</v>
      </c>
      <c r="L40" s="132">
        <f t="shared" si="43"/>
        <v>0</v>
      </c>
      <c r="M40" s="132">
        <f t="shared" si="44"/>
        <v>59.9</v>
      </c>
      <c r="N40" s="132">
        <f t="shared" si="45"/>
        <v>59.9</v>
      </c>
      <c r="O40" s="132">
        <f t="shared" si="65"/>
        <v>59.9</v>
      </c>
      <c r="P40" s="132">
        <f t="shared" si="46"/>
        <v>59.9</v>
      </c>
      <c r="Q40" s="132">
        <f t="shared" si="47"/>
        <v>59.9</v>
      </c>
      <c r="R40" s="132">
        <f t="shared" si="48"/>
        <v>59.9</v>
      </c>
      <c r="S40" s="132">
        <f t="shared" si="49"/>
        <v>59.9</v>
      </c>
      <c r="T40" s="132">
        <f t="shared" si="50"/>
        <v>59.9</v>
      </c>
      <c r="U40" s="132">
        <f t="shared" si="51"/>
        <v>59.9</v>
      </c>
      <c r="V40" s="132">
        <f t="shared" si="52"/>
        <v>59.9</v>
      </c>
      <c r="W40" s="132">
        <f t="shared" si="53"/>
        <v>59.9</v>
      </c>
      <c r="X40" s="132">
        <f t="shared" si="54"/>
        <v>59.9</v>
      </c>
      <c r="Y40" s="132">
        <f t="shared" si="55"/>
        <v>59.9</v>
      </c>
      <c r="Z40" s="132">
        <f t="shared" si="56"/>
        <v>59.9</v>
      </c>
      <c r="AA40" s="132">
        <f t="shared" si="57"/>
        <v>59.9</v>
      </c>
      <c r="AB40" s="132">
        <f t="shared" si="58"/>
        <v>59.9</v>
      </c>
      <c r="AC40" s="132">
        <f t="shared" si="59"/>
        <v>59.9</v>
      </c>
      <c r="AD40" s="132">
        <f t="shared" si="60"/>
        <v>59.9</v>
      </c>
      <c r="AE40" s="132">
        <f t="shared" si="61"/>
        <v>59.9</v>
      </c>
      <c r="AF40" s="132">
        <f t="shared" si="62"/>
        <v>59.9</v>
      </c>
      <c r="AG40" s="132">
        <f t="shared" si="63"/>
        <v>59.9</v>
      </c>
      <c r="AH40" s="132">
        <f t="shared" si="64"/>
        <v>59.9</v>
      </c>
      <c r="AI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</row>
    <row r="41" spans="1:82">
      <c r="A41" s="1"/>
      <c r="B41" s="118">
        <v>5</v>
      </c>
      <c r="C41" s="132">
        <f t="shared" si="34"/>
        <v>7.0000000000000001E-3</v>
      </c>
      <c r="D41" s="132">
        <f t="shared" si="35"/>
        <v>7.7000000000000011E-3</v>
      </c>
      <c r="E41" s="132">
        <f t="shared" si="36"/>
        <v>212.20500000000001</v>
      </c>
      <c r="F41" s="132">
        <f t="shared" si="37"/>
        <v>212.20500000000001</v>
      </c>
      <c r="G41" s="132">
        <f t="shared" si="38"/>
        <v>212.20500000000001</v>
      </c>
      <c r="H41" s="132">
        <f t="shared" si="39"/>
        <v>212.20500000000001</v>
      </c>
      <c r="I41" s="132">
        <f t="shared" si="40"/>
        <v>212.20500000000001</v>
      </c>
      <c r="J41" s="132">
        <f t="shared" si="41"/>
        <v>212.20500000000001</v>
      </c>
      <c r="K41" s="132">
        <f t="shared" si="42"/>
        <v>212.20500000000001</v>
      </c>
      <c r="L41" s="132">
        <f t="shared" si="43"/>
        <v>212.20500000000001</v>
      </c>
      <c r="M41" s="132">
        <f t="shared" si="44"/>
        <v>212.20500000000001</v>
      </c>
      <c r="N41" s="132">
        <f t="shared" si="45"/>
        <v>0</v>
      </c>
      <c r="O41" s="132">
        <f t="shared" si="65"/>
        <v>0</v>
      </c>
      <c r="P41" s="132">
        <f t="shared" si="46"/>
        <v>0</v>
      </c>
      <c r="Q41" s="132">
        <f t="shared" si="47"/>
        <v>0</v>
      </c>
      <c r="R41" s="132">
        <f t="shared" si="48"/>
        <v>0</v>
      </c>
      <c r="S41" s="132">
        <f t="shared" si="49"/>
        <v>0</v>
      </c>
      <c r="T41" s="132">
        <f t="shared" si="50"/>
        <v>0</v>
      </c>
      <c r="U41" s="132">
        <f t="shared" si="51"/>
        <v>0</v>
      </c>
      <c r="V41" s="132">
        <f t="shared" si="52"/>
        <v>0</v>
      </c>
      <c r="W41" s="132">
        <f t="shared" si="53"/>
        <v>0</v>
      </c>
      <c r="X41" s="132">
        <f t="shared" si="54"/>
        <v>0</v>
      </c>
      <c r="Y41" s="132">
        <f t="shared" si="55"/>
        <v>0</v>
      </c>
      <c r="Z41" s="132">
        <f t="shared" si="56"/>
        <v>0</v>
      </c>
      <c r="AA41" s="132">
        <f t="shared" si="57"/>
        <v>0</v>
      </c>
      <c r="AB41" s="132">
        <f t="shared" si="58"/>
        <v>0</v>
      </c>
      <c r="AC41" s="132">
        <f t="shared" si="59"/>
        <v>0</v>
      </c>
      <c r="AD41" s="132">
        <f t="shared" si="60"/>
        <v>0</v>
      </c>
      <c r="AE41" s="132">
        <f t="shared" si="61"/>
        <v>0</v>
      </c>
      <c r="AF41" s="132">
        <f t="shared" si="62"/>
        <v>0</v>
      </c>
      <c r="AG41" s="132">
        <f t="shared" si="63"/>
        <v>0</v>
      </c>
      <c r="AH41" s="132">
        <f t="shared" si="64"/>
        <v>0</v>
      </c>
      <c r="AI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</row>
    <row r="42" spans="1:82">
      <c r="A42" s="1"/>
      <c r="B42" s="118">
        <v>6</v>
      </c>
      <c r="C42" s="132">
        <f t="shared" si="34"/>
        <v>71.7</v>
      </c>
      <c r="D42" s="132">
        <f t="shared" si="35"/>
        <v>71.7</v>
      </c>
      <c r="E42" s="132">
        <f t="shared" si="36"/>
        <v>71.7</v>
      </c>
      <c r="F42" s="132">
        <f t="shared" si="37"/>
        <v>71.7</v>
      </c>
      <c r="G42" s="132">
        <f t="shared" si="38"/>
        <v>0</v>
      </c>
      <c r="H42" s="132">
        <f t="shared" si="39"/>
        <v>0</v>
      </c>
      <c r="I42" s="132">
        <f t="shared" si="40"/>
        <v>0</v>
      </c>
      <c r="J42" s="132">
        <f t="shared" si="41"/>
        <v>0</v>
      </c>
      <c r="K42" s="132">
        <f t="shared" si="42"/>
        <v>0</v>
      </c>
      <c r="L42" s="132">
        <f t="shared" si="43"/>
        <v>0</v>
      </c>
      <c r="M42" s="132">
        <f t="shared" si="44"/>
        <v>0</v>
      </c>
      <c r="N42" s="132">
        <f t="shared" si="45"/>
        <v>212.20500000000001</v>
      </c>
      <c r="O42" s="132">
        <f t="shared" si="65"/>
        <v>212.20500000000001</v>
      </c>
      <c r="P42" s="132">
        <f t="shared" si="46"/>
        <v>212.20500000000001</v>
      </c>
      <c r="Q42" s="132">
        <f t="shared" si="47"/>
        <v>212.20500000000001</v>
      </c>
      <c r="R42" s="132">
        <f t="shared" si="48"/>
        <v>212.20500000000001</v>
      </c>
      <c r="S42" s="132">
        <f t="shared" si="49"/>
        <v>212.20500000000001</v>
      </c>
      <c r="T42" s="132">
        <f t="shared" si="50"/>
        <v>212.20500000000001</v>
      </c>
      <c r="U42" s="132">
        <f t="shared" si="51"/>
        <v>212.20500000000001</v>
      </c>
      <c r="V42" s="132">
        <f t="shared" si="52"/>
        <v>212.20500000000001</v>
      </c>
      <c r="W42" s="132">
        <f t="shared" si="53"/>
        <v>212.20500000000001</v>
      </c>
      <c r="X42" s="132">
        <f t="shared" si="54"/>
        <v>212.20500000000001</v>
      </c>
      <c r="Y42" s="132">
        <f t="shared" si="55"/>
        <v>212.20500000000001</v>
      </c>
      <c r="Z42" s="132">
        <f t="shared" si="56"/>
        <v>212.20500000000001</v>
      </c>
      <c r="AA42" s="132">
        <f t="shared" si="57"/>
        <v>212.20500000000001</v>
      </c>
      <c r="AB42" s="132">
        <f t="shared" si="58"/>
        <v>212.20500000000001</v>
      </c>
      <c r="AC42" s="132">
        <f t="shared" si="59"/>
        <v>212.20500000000001</v>
      </c>
      <c r="AD42" s="132">
        <f t="shared" si="60"/>
        <v>212.20500000000001</v>
      </c>
      <c r="AE42" s="132">
        <f t="shared" si="61"/>
        <v>212.20500000000001</v>
      </c>
      <c r="AF42" s="132">
        <f t="shared" si="62"/>
        <v>212.20500000000001</v>
      </c>
      <c r="AG42" s="132">
        <f t="shared" si="63"/>
        <v>212.20500000000001</v>
      </c>
      <c r="AH42" s="132">
        <f t="shared" si="64"/>
        <v>212.20500000000001</v>
      </c>
      <c r="AI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</row>
    <row r="43" spans="1:82">
      <c r="A43" s="1"/>
      <c r="B43" s="118">
        <v>7</v>
      </c>
      <c r="C43" s="132">
        <f t="shared" si="34"/>
        <v>0</v>
      </c>
      <c r="D43" s="132">
        <f t="shared" si="35"/>
        <v>0</v>
      </c>
      <c r="E43" s="132">
        <f t="shared" si="36"/>
        <v>0</v>
      </c>
      <c r="F43" s="132">
        <f t="shared" si="37"/>
        <v>0</v>
      </c>
      <c r="G43" s="132">
        <f t="shared" si="38"/>
        <v>71.7</v>
      </c>
      <c r="H43" s="132">
        <f t="shared" si="39"/>
        <v>71.7</v>
      </c>
      <c r="I43" s="132">
        <f t="shared" si="40"/>
        <v>71.7</v>
      </c>
      <c r="J43" s="132">
        <f t="shared" si="41"/>
        <v>71.7</v>
      </c>
      <c r="K43" s="132">
        <f t="shared" si="42"/>
        <v>71.7</v>
      </c>
      <c r="L43" s="132">
        <f t="shared" si="43"/>
        <v>71.7</v>
      </c>
      <c r="M43" s="132">
        <f t="shared" si="44"/>
        <v>71.7</v>
      </c>
      <c r="N43" s="132">
        <f t="shared" si="45"/>
        <v>71.7</v>
      </c>
      <c r="O43" s="132">
        <f t="shared" si="65"/>
        <v>71.7</v>
      </c>
      <c r="P43" s="132">
        <f t="shared" si="46"/>
        <v>71.7</v>
      </c>
      <c r="Q43" s="132">
        <f t="shared" si="47"/>
        <v>71.7</v>
      </c>
      <c r="R43" s="132">
        <f t="shared" si="48"/>
        <v>71.7</v>
      </c>
      <c r="S43" s="132">
        <f t="shared" si="49"/>
        <v>71.7</v>
      </c>
      <c r="T43" s="132">
        <f t="shared" si="50"/>
        <v>71.7</v>
      </c>
      <c r="U43" s="132">
        <f t="shared" si="51"/>
        <v>71.7</v>
      </c>
      <c r="V43" s="132">
        <f t="shared" si="52"/>
        <v>71.7</v>
      </c>
      <c r="W43" s="132">
        <f t="shared" si="53"/>
        <v>71.7</v>
      </c>
      <c r="X43" s="132">
        <f t="shared" si="54"/>
        <v>71.7</v>
      </c>
      <c r="Y43" s="132">
        <f t="shared" si="55"/>
        <v>71.7</v>
      </c>
      <c r="Z43" s="132">
        <f t="shared" si="56"/>
        <v>71.7</v>
      </c>
      <c r="AA43" s="132">
        <f t="shared" si="57"/>
        <v>71.7</v>
      </c>
      <c r="AB43" s="132">
        <f t="shared" si="58"/>
        <v>71.7</v>
      </c>
      <c r="AC43" s="132">
        <f t="shared" si="59"/>
        <v>71.7</v>
      </c>
      <c r="AD43" s="132">
        <f t="shared" si="60"/>
        <v>71.7</v>
      </c>
      <c r="AE43" s="132">
        <f t="shared" si="61"/>
        <v>71.7</v>
      </c>
      <c r="AF43" s="132">
        <f t="shared" si="62"/>
        <v>71.7</v>
      </c>
      <c r="AG43" s="132">
        <f t="shared" si="63"/>
        <v>71.7</v>
      </c>
      <c r="AH43" s="132">
        <f t="shared" si="64"/>
        <v>71.7</v>
      </c>
      <c r="AI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</row>
    <row r="44" spans="1:82">
      <c r="A44" s="1"/>
      <c r="B44" s="118">
        <v>8</v>
      </c>
      <c r="C44" s="132">
        <f t="shared" si="34"/>
        <v>4.3</v>
      </c>
      <c r="D44" s="132">
        <f t="shared" si="35"/>
        <v>4.3</v>
      </c>
      <c r="E44" s="132">
        <f t="shared" si="36"/>
        <v>4.3</v>
      </c>
      <c r="F44" s="132">
        <f t="shared" si="37"/>
        <v>4.3</v>
      </c>
      <c r="G44" s="132">
        <f t="shared" si="38"/>
        <v>4.3</v>
      </c>
      <c r="H44" s="132">
        <f t="shared" si="39"/>
        <v>4.3</v>
      </c>
      <c r="I44" s="132">
        <f t="shared" si="40"/>
        <v>4.3</v>
      </c>
      <c r="J44" s="132">
        <f t="shared" si="41"/>
        <v>4.3</v>
      </c>
      <c r="K44" s="132">
        <f t="shared" si="42"/>
        <v>4.3</v>
      </c>
      <c r="L44" s="132">
        <f t="shared" si="43"/>
        <v>4.3</v>
      </c>
      <c r="M44" s="132">
        <f t="shared" si="44"/>
        <v>4.3</v>
      </c>
      <c r="N44" s="132">
        <f t="shared" si="45"/>
        <v>4.3</v>
      </c>
      <c r="O44" s="132">
        <f t="shared" si="65"/>
        <v>4.3</v>
      </c>
      <c r="P44" s="132">
        <f t="shared" si="46"/>
        <v>4.3</v>
      </c>
      <c r="Q44" s="132">
        <f t="shared" si="47"/>
        <v>4.3</v>
      </c>
      <c r="R44" s="132">
        <f t="shared" si="48"/>
        <v>4.3</v>
      </c>
      <c r="S44" s="132">
        <f t="shared" si="49"/>
        <v>4.3</v>
      </c>
      <c r="T44" s="132">
        <f t="shared" si="50"/>
        <v>4.3</v>
      </c>
      <c r="U44" s="132">
        <f t="shared" si="51"/>
        <v>4.3</v>
      </c>
      <c r="V44" s="132">
        <f t="shared" si="52"/>
        <v>4.3</v>
      </c>
      <c r="W44" s="132">
        <f t="shared" si="53"/>
        <v>4.3</v>
      </c>
      <c r="X44" s="132">
        <f t="shared" si="54"/>
        <v>4.3</v>
      </c>
      <c r="Y44" s="132">
        <f t="shared" si="55"/>
        <v>4.3</v>
      </c>
      <c r="Z44" s="132">
        <f t="shared" si="56"/>
        <v>4.3</v>
      </c>
      <c r="AA44" s="132">
        <f t="shared" si="57"/>
        <v>4.3</v>
      </c>
      <c r="AB44" s="132">
        <f t="shared" si="58"/>
        <v>4.3</v>
      </c>
      <c r="AC44" s="132">
        <f t="shared" si="59"/>
        <v>4.3</v>
      </c>
      <c r="AD44" s="132">
        <f t="shared" si="60"/>
        <v>4.3</v>
      </c>
      <c r="AE44" s="132">
        <f t="shared" si="61"/>
        <v>4.3</v>
      </c>
      <c r="AF44" s="132">
        <f t="shared" si="62"/>
        <v>4.3</v>
      </c>
      <c r="AG44" s="132">
        <f t="shared" si="63"/>
        <v>4.3</v>
      </c>
      <c r="AH44" s="132">
        <f t="shared" si="64"/>
        <v>4.3</v>
      </c>
      <c r="AI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</row>
    <row r="45" spans="1:82">
      <c r="A45" s="1"/>
      <c r="B45" s="118">
        <v>9</v>
      </c>
      <c r="C45" s="132">
        <f t="shared" si="34"/>
        <v>99.3</v>
      </c>
      <c r="D45" s="132">
        <f t="shared" si="35"/>
        <v>99.3</v>
      </c>
      <c r="E45" s="132">
        <f t="shared" si="36"/>
        <v>99.3</v>
      </c>
      <c r="F45" s="132">
        <f t="shared" si="37"/>
        <v>99.3</v>
      </c>
      <c r="G45" s="132">
        <f t="shared" si="38"/>
        <v>99.3</v>
      </c>
      <c r="H45" s="132">
        <f t="shared" si="39"/>
        <v>99.3</v>
      </c>
      <c r="I45" s="132">
        <f t="shared" si="40"/>
        <v>99.3</v>
      </c>
      <c r="J45" s="132">
        <f t="shared" si="41"/>
        <v>99.3</v>
      </c>
      <c r="K45" s="132">
        <f t="shared" si="42"/>
        <v>99.3</v>
      </c>
      <c r="L45" s="132">
        <f t="shared" si="43"/>
        <v>99.3</v>
      </c>
      <c r="M45" s="132">
        <f t="shared" si="44"/>
        <v>99.3</v>
      </c>
      <c r="N45" s="132">
        <f t="shared" si="45"/>
        <v>99.3</v>
      </c>
      <c r="O45" s="132">
        <f t="shared" si="65"/>
        <v>99.3</v>
      </c>
      <c r="P45" s="132">
        <f t="shared" si="46"/>
        <v>99.3</v>
      </c>
      <c r="Q45" s="132">
        <f t="shared" si="47"/>
        <v>99.3</v>
      </c>
      <c r="R45" s="132">
        <f t="shared" si="48"/>
        <v>99.3</v>
      </c>
      <c r="S45" s="132">
        <f t="shared" si="49"/>
        <v>99.3</v>
      </c>
      <c r="T45" s="132">
        <f t="shared" si="50"/>
        <v>99.3</v>
      </c>
      <c r="U45" s="132">
        <f t="shared" si="51"/>
        <v>99.3</v>
      </c>
      <c r="V45" s="132">
        <f t="shared" si="52"/>
        <v>99.3</v>
      </c>
      <c r="W45" s="132">
        <f t="shared" si="53"/>
        <v>99.3</v>
      </c>
      <c r="X45" s="132">
        <f t="shared" si="54"/>
        <v>99.3</v>
      </c>
      <c r="Y45" s="132">
        <f t="shared" si="55"/>
        <v>99.3</v>
      </c>
      <c r="Z45" s="132">
        <f t="shared" si="56"/>
        <v>99.3</v>
      </c>
      <c r="AA45" s="132">
        <f t="shared" si="57"/>
        <v>99.3</v>
      </c>
      <c r="AB45" s="132">
        <f t="shared" si="58"/>
        <v>99.3</v>
      </c>
      <c r="AC45" s="132">
        <f t="shared" si="59"/>
        <v>99.3</v>
      </c>
      <c r="AD45" s="132">
        <f t="shared" si="60"/>
        <v>99.3</v>
      </c>
      <c r="AE45" s="132">
        <f t="shared" si="61"/>
        <v>99.3</v>
      </c>
      <c r="AF45" s="132">
        <f t="shared" si="62"/>
        <v>99.3</v>
      </c>
      <c r="AG45" s="132">
        <f t="shared" si="63"/>
        <v>99.3</v>
      </c>
      <c r="AH45" s="132">
        <f t="shared" si="64"/>
        <v>99.3</v>
      </c>
      <c r="AI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</row>
    <row r="46" spans="1:82">
      <c r="A46" s="1"/>
      <c r="B46" s="118">
        <v>10</v>
      </c>
      <c r="C46" s="132">
        <f t="shared" si="34"/>
        <v>34.799999999999997</v>
      </c>
      <c r="D46" s="132">
        <f t="shared" si="35"/>
        <v>34.799999999999997</v>
      </c>
      <c r="E46" s="132">
        <f t="shared" si="36"/>
        <v>34.799999999999997</v>
      </c>
      <c r="F46" s="132">
        <f t="shared" si="37"/>
        <v>34.799999999999997</v>
      </c>
      <c r="G46" s="132">
        <f t="shared" si="38"/>
        <v>34.799999999999997</v>
      </c>
      <c r="H46" s="132">
        <f t="shared" si="39"/>
        <v>34.799999999999997</v>
      </c>
      <c r="I46" s="132">
        <f t="shared" si="40"/>
        <v>34.799999999999997</v>
      </c>
      <c r="J46" s="132">
        <f t="shared" si="41"/>
        <v>34.799999999999997</v>
      </c>
      <c r="K46" s="132">
        <f t="shared" si="42"/>
        <v>34.799999999999997</v>
      </c>
      <c r="L46" s="132">
        <f t="shared" si="43"/>
        <v>34.799999999999997</v>
      </c>
      <c r="M46" s="132">
        <f t="shared" si="44"/>
        <v>34.799999999999997</v>
      </c>
      <c r="N46" s="132">
        <f t="shared" si="45"/>
        <v>34.799999999999997</v>
      </c>
      <c r="O46" s="132">
        <f t="shared" si="65"/>
        <v>34.799999999999997</v>
      </c>
      <c r="P46" s="132">
        <f t="shared" si="46"/>
        <v>34.799999999999997</v>
      </c>
      <c r="Q46" s="132">
        <f t="shared" si="47"/>
        <v>34.799999999999997</v>
      </c>
      <c r="R46" s="132">
        <f t="shared" si="48"/>
        <v>34.799999999999997</v>
      </c>
      <c r="S46" s="132">
        <f t="shared" si="49"/>
        <v>34.799999999999997</v>
      </c>
      <c r="T46" s="132">
        <f t="shared" si="50"/>
        <v>34.799999999999997</v>
      </c>
      <c r="U46" s="132">
        <f t="shared" si="51"/>
        <v>34.799999999999997</v>
      </c>
      <c r="V46" s="132">
        <f t="shared" si="52"/>
        <v>34.799999999999997</v>
      </c>
      <c r="W46" s="132">
        <f t="shared" si="53"/>
        <v>34.799999999999997</v>
      </c>
      <c r="X46" s="132">
        <f t="shared" si="54"/>
        <v>34.799999999999997</v>
      </c>
      <c r="Y46" s="132">
        <f t="shared" si="55"/>
        <v>34.799999999999997</v>
      </c>
      <c r="Z46" s="132">
        <f t="shared" si="56"/>
        <v>34.799999999999997</v>
      </c>
      <c r="AA46" s="132">
        <f t="shared" si="57"/>
        <v>34.799999999999997</v>
      </c>
      <c r="AB46" s="132">
        <f t="shared" si="58"/>
        <v>34.799999999999997</v>
      </c>
      <c r="AC46" s="132">
        <f t="shared" si="59"/>
        <v>34.799999999999997</v>
      </c>
      <c r="AD46" s="132">
        <f t="shared" si="60"/>
        <v>34.799999999999997</v>
      </c>
      <c r="AE46" s="132">
        <f t="shared" si="61"/>
        <v>34.799999999999997</v>
      </c>
      <c r="AF46" s="132">
        <f t="shared" si="62"/>
        <v>34.799999999999997</v>
      </c>
      <c r="AG46" s="132">
        <f t="shared" si="63"/>
        <v>34.799999999999997</v>
      </c>
      <c r="AH46" s="132">
        <f t="shared" si="64"/>
        <v>34.799999999999997</v>
      </c>
      <c r="AI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</row>
    <row r="47" spans="1:82">
      <c r="A47" s="1"/>
      <c r="B47" s="118">
        <v>11</v>
      </c>
      <c r="C47" s="132">
        <f t="shared" si="34"/>
        <v>0</v>
      </c>
      <c r="D47" s="132">
        <f t="shared" si="35"/>
        <v>0</v>
      </c>
      <c r="E47" s="132">
        <f t="shared" si="36"/>
        <v>0</v>
      </c>
      <c r="F47" s="132">
        <f t="shared" si="37"/>
        <v>0</v>
      </c>
      <c r="G47" s="132">
        <f t="shared" si="38"/>
        <v>0</v>
      </c>
      <c r="H47" s="132">
        <f t="shared" si="39"/>
        <v>0</v>
      </c>
      <c r="I47" s="132">
        <f t="shared" si="40"/>
        <v>0</v>
      </c>
      <c r="J47" s="132">
        <f t="shared" si="41"/>
        <v>0</v>
      </c>
      <c r="K47" s="132">
        <f t="shared" si="42"/>
        <v>0</v>
      </c>
      <c r="L47" s="132">
        <f t="shared" si="43"/>
        <v>0</v>
      </c>
      <c r="M47" s="132">
        <f t="shared" si="44"/>
        <v>0</v>
      </c>
      <c r="N47" s="132">
        <f t="shared" si="45"/>
        <v>0</v>
      </c>
      <c r="O47" s="132">
        <f t="shared" si="65"/>
        <v>0</v>
      </c>
      <c r="P47" s="132">
        <f t="shared" si="46"/>
        <v>0</v>
      </c>
      <c r="Q47" s="132">
        <f t="shared" si="47"/>
        <v>0</v>
      </c>
      <c r="R47" s="132">
        <f t="shared" si="48"/>
        <v>0</v>
      </c>
      <c r="S47" s="132">
        <f t="shared" si="49"/>
        <v>0</v>
      </c>
      <c r="T47" s="132">
        <f t="shared" si="50"/>
        <v>0</v>
      </c>
      <c r="U47" s="132">
        <f t="shared" si="51"/>
        <v>0</v>
      </c>
      <c r="V47" s="132">
        <f t="shared" si="52"/>
        <v>0</v>
      </c>
      <c r="W47" s="132">
        <f t="shared" si="53"/>
        <v>0</v>
      </c>
      <c r="X47" s="132">
        <f t="shared" si="54"/>
        <v>0</v>
      </c>
      <c r="Y47" s="132">
        <f t="shared" si="55"/>
        <v>0</v>
      </c>
      <c r="Z47" s="132">
        <f t="shared" si="56"/>
        <v>0</v>
      </c>
      <c r="AA47" s="132">
        <f t="shared" si="57"/>
        <v>0</v>
      </c>
      <c r="AB47" s="132">
        <f t="shared" si="58"/>
        <v>0</v>
      </c>
      <c r="AC47" s="132">
        <f t="shared" si="59"/>
        <v>0</v>
      </c>
      <c r="AD47" s="132">
        <f t="shared" si="60"/>
        <v>0</v>
      </c>
      <c r="AE47" s="132">
        <f t="shared" si="61"/>
        <v>0</v>
      </c>
      <c r="AF47" s="132">
        <f t="shared" si="62"/>
        <v>0</v>
      </c>
      <c r="AG47" s="132">
        <f t="shared" si="63"/>
        <v>0</v>
      </c>
      <c r="AH47" s="132">
        <f t="shared" si="64"/>
        <v>0</v>
      </c>
      <c r="AI47" s="1"/>
      <c r="AJ47" s="1"/>
      <c r="AL47" s="1"/>
      <c r="AM47" s="1"/>
      <c r="AO47" s="1"/>
      <c r="AP47" s="1"/>
      <c r="AQ47" s="1"/>
      <c r="AR47" s="1"/>
      <c r="AT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</row>
    <row r="48" spans="1:82">
      <c r="A48" s="4"/>
      <c r="B48" s="142">
        <v>12</v>
      </c>
      <c r="C48" s="143" t="e">
        <f t="shared" si="34"/>
        <v>#VALUE!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</row>
    <row r="49" spans="1:82">
      <c r="A49" s="4"/>
      <c r="B49" s="142">
        <v>13</v>
      </c>
      <c r="C49" s="143" t="e">
        <f t="shared" si="34"/>
        <v>#NUM!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</row>
    <row r="50" spans="1:8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</row>
    <row r="51" spans="1:82">
      <c r="A51" s="4"/>
      <c r="B51" s="4"/>
      <c r="C51" s="4"/>
      <c r="D51" s="144">
        <v>2019</v>
      </c>
      <c r="E51" s="144">
        <v>2020</v>
      </c>
      <c r="F51" s="144">
        <v>2021</v>
      </c>
      <c r="G51" s="144">
        <v>2022</v>
      </c>
      <c r="H51" s="144">
        <v>2023</v>
      </c>
      <c r="I51" s="144">
        <v>2024</v>
      </c>
      <c r="J51" s="144">
        <v>2025</v>
      </c>
      <c r="K51" s="144">
        <v>2026</v>
      </c>
      <c r="L51" s="144">
        <v>2027</v>
      </c>
      <c r="M51" s="144">
        <v>2028</v>
      </c>
      <c r="N51" s="144">
        <v>2029</v>
      </c>
      <c r="O51" s="144">
        <v>2030</v>
      </c>
      <c r="P51" s="144">
        <v>2031</v>
      </c>
      <c r="Q51" s="144">
        <v>2032</v>
      </c>
      <c r="R51" s="144">
        <v>2033</v>
      </c>
      <c r="S51" s="144">
        <v>2034</v>
      </c>
      <c r="T51" s="144">
        <v>2035</v>
      </c>
      <c r="U51" s="144">
        <v>2036</v>
      </c>
      <c r="V51" s="144">
        <v>2037</v>
      </c>
      <c r="W51" s="144">
        <v>2038</v>
      </c>
      <c r="X51" s="144">
        <v>2039</v>
      </c>
      <c r="Y51" s="144">
        <v>2040</v>
      </c>
      <c r="Z51" s="144">
        <v>2041</v>
      </c>
      <c r="AA51" s="144">
        <v>2042</v>
      </c>
      <c r="AB51" s="144">
        <v>2043</v>
      </c>
      <c r="AC51" s="144">
        <v>2044</v>
      </c>
      <c r="AD51" s="144">
        <v>2045</v>
      </c>
      <c r="AE51" s="144">
        <v>2046</v>
      </c>
      <c r="AF51" s="144">
        <v>2047</v>
      </c>
      <c r="AG51" s="144">
        <v>2048</v>
      </c>
      <c r="AH51" s="144">
        <v>2049</v>
      </c>
      <c r="AI51" s="144">
        <v>2050</v>
      </c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</row>
    <row r="52" spans="1:82">
      <c r="A52" s="4"/>
      <c r="B52" s="4" t="s">
        <v>140</v>
      </c>
      <c r="C52" s="4"/>
      <c r="D52" s="17">
        <v>495.43129139999928</v>
      </c>
      <c r="E52" s="17">
        <v>91.214142000000265</v>
      </c>
      <c r="F52" s="17">
        <v>236.50513460000002</v>
      </c>
      <c r="G52" s="17">
        <v>173.54157588000044</v>
      </c>
      <c r="H52" s="17">
        <v>203.9313907199994</v>
      </c>
      <c r="I52" s="17">
        <v>178.03597520000039</v>
      </c>
      <c r="J52" s="17">
        <v>175.59480260000055</v>
      </c>
      <c r="K52" s="17">
        <v>129.86447795999948</v>
      </c>
      <c r="L52" s="17">
        <v>73.607054479999533</v>
      </c>
      <c r="M52" s="17">
        <v>61.529181080000399</v>
      </c>
      <c r="N52" s="17">
        <v>57.696809999999914</v>
      </c>
      <c r="O52" s="17">
        <v>57.389692600000217</v>
      </c>
      <c r="P52" s="17">
        <v>57.647715040000548</v>
      </c>
      <c r="Q52" s="17">
        <v>87.540188599999965</v>
      </c>
      <c r="R52" s="17">
        <v>29.55348339999955</v>
      </c>
      <c r="S52" s="17">
        <v>56.106887279999683</v>
      </c>
      <c r="T52" s="17">
        <v>38.064160000000356</v>
      </c>
      <c r="U52" s="17">
        <v>30.399783240000033</v>
      </c>
      <c r="V52" s="17">
        <v>34.986161079999874</v>
      </c>
      <c r="W52" s="17">
        <v>38.589882680000301</v>
      </c>
      <c r="X52" s="17">
        <v>25.718942519999928</v>
      </c>
      <c r="Y52" s="17">
        <v>23.880023520000123</v>
      </c>
      <c r="Z52" s="17">
        <v>46.021115839999766</v>
      </c>
      <c r="AA52" s="17">
        <v>30.003085600000304</v>
      </c>
      <c r="AB52" s="17">
        <v>42.29556495999941</v>
      </c>
      <c r="AC52" s="17">
        <v>20.780273999999736</v>
      </c>
      <c r="AD52" s="17">
        <v>24.933124680000674</v>
      </c>
      <c r="AE52" s="17">
        <v>24.813352999999552</v>
      </c>
      <c r="AF52" s="17">
        <v>25.665030560000105</v>
      </c>
      <c r="AG52" s="17">
        <v>18.818847999999889</v>
      </c>
      <c r="AH52" s="17">
        <v>18.361327999999958</v>
      </c>
      <c r="AI52" s="17">
        <v>17.945547040000292</v>
      </c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</row>
    <row r="53" spans="1:8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</row>
    <row r="54" spans="1:8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</row>
    <row r="55" spans="1:82">
      <c r="A55" s="4"/>
      <c r="B55" s="142" t="s">
        <v>115</v>
      </c>
      <c r="C55" s="142">
        <v>2019</v>
      </c>
      <c r="D55" s="142">
        <v>2019</v>
      </c>
      <c r="E55" s="142">
        <v>2020</v>
      </c>
      <c r="F55" s="142">
        <v>2020</v>
      </c>
      <c r="G55" s="142">
        <v>2021</v>
      </c>
      <c r="H55" s="142">
        <v>2021</v>
      </c>
      <c r="I55" s="142">
        <v>2022</v>
      </c>
      <c r="J55" s="142">
        <v>2022</v>
      </c>
      <c r="K55" s="142">
        <v>2023</v>
      </c>
      <c r="L55" s="142">
        <v>2023</v>
      </c>
      <c r="M55" s="142">
        <v>2024</v>
      </c>
      <c r="N55" s="142">
        <v>2024</v>
      </c>
      <c r="O55" s="142">
        <v>2025</v>
      </c>
      <c r="P55" s="142">
        <v>2025</v>
      </c>
      <c r="Q55" s="142">
        <v>2026</v>
      </c>
      <c r="R55" s="142">
        <v>2026</v>
      </c>
      <c r="S55" s="142">
        <v>2027</v>
      </c>
      <c r="T55" s="142">
        <v>2027</v>
      </c>
      <c r="U55" s="142">
        <v>2028</v>
      </c>
      <c r="V55" s="142">
        <v>2028</v>
      </c>
      <c r="W55" s="142">
        <v>2029</v>
      </c>
      <c r="X55" s="142">
        <v>2029</v>
      </c>
      <c r="Y55" s="142">
        <v>2030</v>
      </c>
      <c r="Z55" s="142">
        <v>2030</v>
      </c>
      <c r="AA55" s="142">
        <v>2031</v>
      </c>
      <c r="AB55" s="142">
        <v>2031</v>
      </c>
      <c r="AC55" s="142">
        <v>2032</v>
      </c>
      <c r="AD55" s="142">
        <v>2032</v>
      </c>
      <c r="AE55" s="142">
        <v>2033</v>
      </c>
      <c r="AF55" s="142">
        <v>2033</v>
      </c>
      <c r="AG55" s="142">
        <v>2034</v>
      </c>
      <c r="AH55" s="142">
        <v>2034</v>
      </c>
      <c r="AI55" s="4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</row>
    <row r="56" spans="1:82">
      <c r="A56" s="4"/>
      <c r="B56" s="142">
        <v>1</v>
      </c>
      <c r="C56" s="145" t="str">
        <f>VLOOKUP(LARGE($C$5:$C$17,B56),$C$5:$AI$17,33,FALSE)</f>
        <v>Wind On</v>
      </c>
      <c r="D56" s="146">
        <f>IF(IF((D52-C37)&gt;0,C37,D52)&lt;0,0,IF((D52-C37)&gt;0,C37,D52))</f>
        <v>36.274000000000001</v>
      </c>
      <c r="E56" s="145" t="str">
        <f>VLOOKUP(LARGE($D$5:$D$17,B56),$D$5:$AI$17,32,FALSE)</f>
        <v>Wind On</v>
      </c>
      <c r="F56" s="146">
        <f>IF(IF((E52-D37)&gt;0,D37,E52)&lt;0,0,IF((E52-D37)&gt;0,D37,E52))</f>
        <v>39.901400000000002</v>
      </c>
      <c r="G56" s="145" t="str">
        <f>VLOOKUP(LARGE($E$5:$E$17,1),$E$5:$AI$17,31,FALSE)</f>
        <v>Wind On</v>
      </c>
      <c r="H56" s="146">
        <f>IF(IF((F52-E37)&gt;0,E37,F52)&lt;0,0,IF((F52-E37)&gt;0,E37,F52))</f>
        <v>47.881680000000003</v>
      </c>
      <c r="I56" s="145" t="str">
        <f>VLOOKUP(LARGE($F$5:$F$17,1),$F$5:$AI$17,30,FALSE)</f>
        <v>Wind On</v>
      </c>
      <c r="J56" s="146">
        <f>IF(IF((G52-F37)&gt;0,F37,G52)&lt;0,0,IF((G52-F37)&gt;0,F37,G52))</f>
        <v>62.246184000000007</v>
      </c>
      <c r="K56" s="145" t="str">
        <f t="shared" ref="K56:K66" si="66">VLOOKUP(LARGE($G$5:$G$17,B56),$G$5:$AI$17,29,FALSE)</f>
        <v>Wind On</v>
      </c>
      <c r="L56" s="146">
        <f>IF(IF((H52-G37)&gt;0,G37,H52)&lt;0,0,IF((H52-G37)&gt;0,G37,H52))</f>
        <v>87.144657600000002</v>
      </c>
      <c r="M56" s="145" t="str">
        <f t="shared" ref="M56:M66" si="67">VLOOKUP(LARGE($H$5:$H$17,B56),$H$5:$AI$17,28,FALSE)</f>
        <v>Wind On</v>
      </c>
      <c r="N56" s="146">
        <f>IF(IF((I52-H37)&gt;0,H37,I52)&lt;0,0,IF((I52-H37)&gt;0,H37,I52))</f>
        <v>100</v>
      </c>
      <c r="O56" s="145" t="str">
        <f t="shared" ref="O56:O66" si="68">VLOOKUP(LARGE($I$5:$I$17,B56),$I$5:$AI$17,27,FALSE)</f>
        <v>Wind On</v>
      </c>
      <c r="P56" s="146">
        <f>IF(IF((J52-I37)&gt;0,I37,J52)&lt;0,0,IF((J52-I37)&gt;0,I37,J52))</f>
        <v>0</v>
      </c>
      <c r="Q56" s="145" t="str">
        <f t="shared" ref="Q56:Q66" si="69">VLOOKUP(LARGE($J$5:$J$17,B56),$J$5:$AI$17,26,FALSE)</f>
        <v>Wind On</v>
      </c>
      <c r="R56" s="146">
        <f>IF(IF((K52-J37)&gt;0,J37,K52)&lt;0,0,IF((K52-J37)&gt;0,J37,K52))</f>
        <v>0</v>
      </c>
      <c r="S56" s="145" t="str">
        <f t="shared" ref="S56:S66" si="70">VLOOKUP(LARGE($K$5:$K$17,B56),$K$5:$AI$17,25,FALSE)</f>
        <v>Wind On</v>
      </c>
      <c r="T56" s="146">
        <f>IF(IF((L52-K37)&gt;0,K37,L52)&lt;0,0,IF((L52-K37)&gt;0,K37,L52))</f>
        <v>0</v>
      </c>
      <c r="U56" s="145" t="str">
        <f t="shared" ref="U56:U66" si="71">VLOOKUP(LARGE($L$5:$L$17,B56),$L$5:$AI$17,24,FALSE)</f>
        <v>Wind On</v>
      </c>
      <c r="V56" s="146">
        <f>IF(IF((M52-L37)&gt;0,L37,M52)&lt;0,0,IF((M52-L37)&gt;0,L37,M52))</f>
        <v>0</v>
      </c>
      <c r="W56" s="145" t="str">
        <f t="shared" ref="W56:W66" si="72">VLOOKUP(LARGE($M$5:$M$17,B56),$M$5:$AI$17,23,FALSE)</f>
        <v>Wind On</v>
      </c>
      <c r="X56" s="146">
        <f>IF(IF((N52-M37)&gt;0,M37,N52)&lt;0,0,IF((N52-M37)&gt;0,M37,N52))</f>
        <v>0</v>
      </c>
      <c r="Y56" s="145" t="str">
        <f t="shared" ref="Y56:Y66" si="73">VLOOKUP(LARGE($N$5:$N$17,B56),$N$5:$AI$17,22,FALSE)</f>
        <v>Wind On</v>
      </c>
      <c r="Z56" s="146">
        <f>IF(IF((O52-N37)&gt;0,N37,O52)&lt;0,0,IF((O52-N37)&gt;0,N37,O52))</f>
        <v>0</v>
      </c>
      <c r="AA56" s="145" t="str">
        <f t="shared" ref="AA56:AA66" si="74">VLOOKUP(LARGE($O$5:$O$17,B56),$O$5:$AI$17,21,FALSE)</f>
        <v>Wind On</v>
      </c>
      <c r="AB56" s="146">
        <f>IF(IF((P52-O37)&gt;0,O37,P52)&lt;0,0,IF((P52-O37)&gt;0,O37,P52))</f>
        <v>0</v>
      </c>
      <c r="AC56" s="145" t="str">
        <f t="shared" ref="AC56:AC66" si="75">VLOOKUP(LARGE($P$5:$P$17,B56),$P$5:$AI$17,20,FALSE)</f>
        <v>Wind On</v>
      </c>
      <c r="AD56" s="146">
        <f>IF(IF((Q52-P37)&gt;0,P37,Q52)&lt;0,0,IF((Q52-P37)&gt;0,P37,Q52))</f>
        <v>0</v>
      </c>
      <c r="AE56" s="145" t="str">
        <f t="shared" ref="AE56:AE66" si="76">VLOOKUP(LARGE($Q$5:$Q$17,B56),$Q$5:$AI$17,19,FALSE)</f>
        <v>Wind On</v>
      </c>
      <c r="AF56" s="146">
        <f>IF(IF((R52-Q37)&gt;0,Q37,R52)&lt;0,0,IF((R52-Q37)&gt;0,Q37,R52))</f>
        <v>0</v>
      </c>
      <c r="AG56" s="145" t="str">
        <f t="shared" ref="AG56:AG66" si="77">VLOOKUP(LARGE($R$5:$R$17,B56),$R$5:$AI$17,18,FALSE)</f>
        <v>Wind On</v>
      </c>
      <c r="AH56" s="146">
        <f>IF(IF((S52-R37)&gt;0,R37,S52)&lt;0,0,IF((S52-R37)&gt;0,R37,S52))</f>
        <v>0</v>
      </c>
      <c r="AI56" s="4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</row>
    <row r="57" spans="1:82">
      <c r="A57" s="4"/>
      <c r="B57" s="142">
        <v>2</v>
      </c>
      <c r="C57" s="145" t="str">
        <f t="shared" ref="C57:C65" si="78">VLOOKUP(LARGE($C$5:$C$17,B57),$C$5:$AI$17,33,FALSE)</f>
        <v>Solar PV</v>
      </c>
      <c r="D57" s="146">
        <f>IF(IF((D52-C38-C37)&gt;0,C38,D52-C37)&lt;0,0,IF((D52-C38-C37)&gt;0,C38,D52-C37))</f>
        <v>17.231999999999999</v>
      </c>
      <c r="E57" s="145" t="str">
        <f t="shared" ref="E57:E66" si="79">VLOOKUP(LARGE($D$5:$D$17,B57),$D$5:$AI$17,32,FALSE)</f>
        <v>Solar PV</v>
      </c>
      <c r="F57" s="146">
        <f>IF(IF((E52-D38-D37)&gt;0,D38,E52-D37)&lt;0,0,IF((E52-D38-D37)&gt;0,D38,E52-D37))</f>
        <v>18.955200000000001</v>
      </c>
      <c r="G57" s="145" t="str">
        <f>VLOOKUP(LARGE($E$5:$E$17,2),$E$5:$AI$17,31,FALSE)</f>
        <v>Solar PV</v>
      </c>
      <c r="H57" s="146">
        <f>IF(IF((F52-E38-E37)&gt;0,E38,F52-E37)&lt;0,0,IF((F52-E38-E37)&gt;0,E38,F52-E37))</f>
        <v>22.74624</v>
      </c>
      <c r="I57" s="145" t="str">
        <f>VLOOKUP(LARGE($F$5:$F$17,2),$F$5:$AI$17,30,FALSE)</f>
        <v>Solar PV</v>
      </c>
      <c r="J57" s="146">
        <f>IF(IF((G52-F38-F37)&gt;0,F38,G52-F37)&lt;0,0,IF((G52-F38-F37)&gt;0,F38,G52-F37))</f>
        <v>29.570112000000002</v>
      </c>
      <c r="K57" s="145" t="str">
        <f t="shared" si="66"/>
        <v>Solar PV</v>
      </c>
      <c r="L57" s="146">
        <f>IF(IF((H52-G38-G37)&gt;0,G38,H52-G37)&lt;0,0,IF((H52-G38-G37)&gt;0,G38,H52-G37))</f>
        <v>41.398156800000002</v>
      </c>
      <c r="M57" s="145" t="str">
        <f t="shared" si="67"/>
        <v>Solar PV</v>
      </c>
      <c r="N57" s="146">
        <f>IF(IF((I52-H38-H37)&gt;0,H38,I52-H37)&lt;0,0,IF((I52-H38-H37)&gt;0,H38,I52-H37))</f>
        <v>62.0972352</v>
      </c>
      <c r="O57" s="145" t="str">
        <f t="shared" si="68"/>
        <v>Solar PV</v>
      </c>
      <c r="P57" s="146">
        <f>IF(IF((J52-I38-I37)&gt;0,I38,J52-I37)&lt;0,0,IF((J52-I38-I37)&gt;0,I38,J52-I37))</f>
        <v>0</v>
      </c>
      <c r="Q57" s="145" t="str">
        <f t="shared" si="69"/>
        <v>Solar PV</v>
      </c>
      <c r="R57" s="146">
        <f>IF(IF((K52-J38-J37)&gt;0,J38,K52-J37)&lt;0,0,IF((K52-J38-J37)&gt;0,J38,K52-J37))</f>
        <v>0</v>
      </c>
      <c r="S57" s="145" t="str">
        <f t="shared" si="70"/>
        <v>Solar PV</v>
      </c>
      <c r="T57" s="146">
        <f>IF(IF((L52-K38-K37)&gt;0,K38,L52-K37)&lt;0,0,IF((L52-K38-K37)&gt;0,K38,L52-K37))</f>
        <v>0</v>
      </c>
      <c r="U57" s="145" t="str">
        <f t="shared" si="71"/>
        <v>Solar PV</v>
      </c>
      <c r="V57" s="146">
        <f>IF(IF((M52-L38-L37)&gt;0,L38,M52-L37)&lt;0,0,IF((M52-L38-L37)&gt;0,L38,M52-L37))</f>
        <v>0</v>
      </c>
      <c r="W57" s="145" t="str">
        <f t="shared" si="72"/>
        <v>Solar PV</v>
      </c>
      <c r="X57" s="146">
        <f>IF(IF((N52-M38-M37)&gt;0,M38,N52-M37)&lt;0,0,IF((N52-M38-M37)&gt;0,M38,N52-M37))</f>
        <v>0</v>
      </c>
      <c r="Y57" s="145" t="str">
        <f t="shared" si="73"/>
        <v>Solar PV</v>
      </c>
      <c r="Z57" s="146">
        <f>IF(IF((O52-N38-N37)&gt;0,N38,O52-N37)&lt;0,0,IF((O52-N38-N37)&gt;0,N38,O52-N37))</f>
        <v>0</v>
      </c>
      <c r="AA57" s="145" t="str">
        <f t="shared" si="74"/>
        <v>Solar PV</v>
      </c>
      <c r="AB57" s="146">
        <f>IF(IF((P52-O38-O37)&gt;0,O38,P52-O37)&lt;0,0,IF((P52-O38-O37)&gt;0,O38,P52-O37))</f>
        <v>0</v>
      </c>
      <c r="AC57" s="145" t="str">
        <f t="shared" si="75"/>
        <v>Solar PV</v>
      </c>
      <c r="AD57" s="146">
        <f>IF(IF((Q52-P38-P37)&gt;0,P38,Q52-P37)&lt;0,0,IF((Q52-P38-P37)&gt;0,P38,Q52-P37))</f>
        <v>0</v>
      </c>
      <c r="AE57" s="145" t="str">
        <f t="shared" si="76"/>
        <v>Solar PV</v>
      </c>
      <c r="AF57" s="146">
        <f>IF(IF((R52-Q38-Q37)&gt;0,Q38,R52-Q37)&lt;0,0,IF((R52-Q38-Q37)&gt;0,Q38,R52-Q37))</f>
        <v>0</v>
      </c>
      <c r="AG57" s="145" t="str">
        <f t="shared" si="77"/>
        <v>Solar PV</v>
      </c>
      <c r="AH57" s="146">
        <f>IF(IF((S52-R38-R37)&gt;0,R38,S52-R37)&lt;0,0,IF((S52-R38-R37)&gt;0,R38,S52-R37))</f>
        <v>0</v>
      </c>
      <c r="AI57" s="4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</row>
    <row r="58" spans="1:82">
      <c r="A58" s="4"/>
      <c r="B58" s="142">
        <v>3</v>
      </c>
      <c r="C58" s="145" t="str">
        <f t="shared" si="78"/>
        <v xml:space="preserve">Hydro </v>
      </c>
      <c r="D58" s="146">
        <f>IF(IF((D52-C37-C38-C39)&gt;0,C39,D52-C38-C37)&lt;0,0,IF((D52-C37-C38-C39)&gt;0,C39,D52-C38-C37))</f>
        <v>59.9</v>
      </c>
      <c r="E58" s="145" t="str">
        <f t="shared" si="79"/>
        <v xml:space="preserve">Hydro </v>
      </c>
      <c r="F58" s="146">
        <f>IF(IF((E52-D37-D38-D39)&gt;0,D39,E52-D38-D37)&lt;0,0,IF((E52-D37-D38-D39)&gt;0,D39,E52-D38-D37))</f>
        <v>32.357542000000258</v>
      </c>
      <c r="G58" s="145" t="str">
        <f>VLOOKUP(LARGE($E$5:$E$17,3),$E$5:$AI$17,31,FALSE)</f>
        <v xml:space="preserve">Hydro </v>
      </c>
      <c r="H58" s="146">
        <f>IF(IF((F52-E37-E38-E39)&gt;0,E39,F52-E38-E37)&lt;0,0,IF((F52-E37-E38-E39)&gt;0,E39,F52-E38-E37))</f>
        <v>59.9</v>
      </c>
      <c r="I58" s="145" t="str">
        <f>VLOOKUP(LARGE($F$5:$F$17,3),$F$5:$AI$17,30,FALSE)</f>
        <v xml:space="preserve">Hydro </v>
      </c>
      <c r="J58" s="146">
        <f>IF(IF((G52-F37-F38-F39)&gt;0,F39,G52-F38-F37)&lt;0,0,IF((G52-F37-F38-F39)&gt;0,F39,G52-F38-F37))</f>
        <v>59.9</v>
      </c>
      <c r="K58" s="145" t="str">
        <f t="shared" si="66"/>
        <v xml:space="preserve">Hydro </v>
      </c>
      <c r="L58" s="146">
        <f>IF(IF((H52-G37-G38-G39)&gt;0,G39,H52-G38-G37)&lt;0,0,IF((H52-G37-G38-G39)&gt;0,G39,H52-G38-G37))</f>
        <v>59.9</v>
      </c>
      <c r="M58" s="145" t="str">
        <f t="shared" si="67"/>
        <v xml:space="preserve">Hydro </v>
      </c>
      <c r="N58" s="146">
        <f>IF(IF((I52-H37-H38-H39)&gt;0,H39,I52-H38-H37)&lt;0,0,IF((I52-H37-H38-H39)&gt;0,H39,I52-H38-H37))</f>
        <v>15.938740000000394</v>
      </c>
      <c r="O58" s="145" t="str">
        <f t="shared" si="68"/>
        <v xml:space="preserve">Hydro </v>
      </c>
      <c r="P58" s="146">
        <f>IF(IF((J52-I37-I38-I39)&gt;0,I39,J52-I38-I37)&lt;0,0,IF((J52-I37-I38-I39)&gt;0,I39,J52-I38-I37))</f>
        <v>59.9</v>
      </c>
      <c r="Q58" s="145" t="str">
        <f t="shared" si="69"/>
        <v xml:space="preserve">Hydro </v>
      </c>
      <c r="R58" s="146">
        <f>IF(IF((K52-J37-J38-J39)&gt;0,J39,K52-J38-J37)&lt;0,0,IF((K52-J37-J38-J39)&gt;0,J39,K52-J38-J37))</f>
        <v>59.9</v>
      </c>
      <c r="S58" s="145" t="str">
        <f t="shared" si="70"/>
        <v xml:space="preserve">Hydro </v>
      </c>
      <c r="T58" s="146">
        <f>IF(IF((L52-K37-K38-K39)&gt;0,K39,L52-K38-K37)&lt;0,0,IF((L52-K37-K38-K39)&gt;0,K39,L52-K38-K37))</f>
        <v>59.9</v>
      </c>
      <c r="U58" s="145" t="str">
        <f t="shared" si="71"/>
        <v xml:space="preserve">Hydro </v>
      </c>
      <c r="V58" s="146">
        <f>IF(IF((M52-L37-L38-L39)&gt;0,L39,M52-L38-L37)&lt;0,0,IF((M52-L37-L38-L39)&gt;0,L39,M52-L38-L37))</f>
        <v>59.9</v>
      </c>
      <c r="W58" s="145" t="str">
        <f t="shared" si="72"/>
        <v>Wind Off</v>
      </c>
      <c r="X58" s="146">
        <f>IF(IF((N52-M37-M38-M39)&gt;0,M39,N52-M38-M37)&lt;0,0,IF((N52-M37-M38-M39)&gt;0,M39,N52-M38-M37))</f>
        <v>0</v>
      </c>
      <c r="Y58" s="145" t="str">
        <f t="shared" si="73"/>
        <v>Wind Off</v>
      </c>
      <c r="Z58" s="146">
        <f>IF(IF((O52-N37-N38-N39)&gt;0,N39,O52-N38-N37)&lt;0,0,IF((O52-N37-N38-N39)&gt;0,N39,O52-N38-N37))</f>
        <v>0</v>
      </c>
      <c r="AA58" s="145" t="str">
        <f t="shared" si="74"/>
        <v>Wind Off</v>
      </c>
      <c r="AB58" s="146">
        <f>IF(IF((P52-O37-O38-O39)&gt;0,O39,P52-O38-O37)&lt;0,0,IF((P52-O37-O38-O39)&gt;0,O39,P52-O38-O37))</f>
        <v>0</v>
      </c>
      <c r="AC58" s="145" t="str">
        <f t="shared" si="75"/>
        <v>Wind Off</v>
      </c>
      <c r="AD58" s="146">
        <f>IF(IF((Q52-P37-P38-P39)&gt;0,P39,Q52-P38-P37)&lt;0,0,IF((Q52-P37-P38-P39)&gt;0,P39,Q52-P38-P37))</f>
        <v>0</v>
      </c>
      <c r="AE58" s="145" t="str">
        <f t="shared" si="76"/>
        <v>Wind Off</v>
      </c>
      <c r="AF58" s="146">
        <f>IF(IF((R52-Q37-Q38-Q39)&gt;0,Q39,R52-Q38-Q37)&lt;0,0,IF((R52-Q37-Q38-Q39)&gt;0,Q39,R52-Q38-Q37))</f>
        <v>0</v>
      </c>
      <c r="AG58" s="145" t="str">
        <f t="shared" si="77"/>
        <v>Wind Off</v>
      </c>
      <c r="AH58" s="146">
        <f>IF(IF((S52-R37-R38-R39)&gt;0,R39,S52-R38-R37)&lt;0,0,IF((S52-R37-R38-R39)&gt;0,R39,S52-R38-R37))</f>
        <v>0</v>
      </c>
      <c r="AI58" s="4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</row>
    <row r="59" spans="1:82">
      <c r="A59" s="4"/>
      <c r="B59" s="142">
        <v>4</v>
      </c>
      <c r="C59" s="145" t="str">
        <f t="shared" si="78"/>
        <v>Gas CCS</v>
      </c>
      <c r="D59" s="146">
        <f>IF(IF((D52-C37-C38-C39-C40)&gt;0,C40,D52-C37-C38-C39)&lt;0,0,IF((D52-C37-C38-C39-C40)&gt;0,C40,D52-C37-C38-C39))</f>
        <v>212.20500000000001</v>
      </c>
      <c r="E59" s="145" t="str">
        <f t="shared" si="79"/>
        <v>Gas CCS</v>
      </c>
      <c r="F59" s="146">
        <f>IF(IF((E52-D37-D38-D39-D40)&gt;0,D40,E52-D37-D38-D39)&lt;0,0,IF((E52-D37-D38-D39-D40)&gt;0,D40,E52-D37-D38-D39))</f>
        <v>0</v>
      </c>
      <c r="G59" s="145" t="str">
        <f>VLOOKUP(LARGE($E$5:$E$17,4),$E$5:$AI$17,31,FALSE)</f>
        <v>Wind Off</v>
      </c>
      <c r="H59" s="146">
        <f>IF(IF((F52-E37-E38-E39-E40)&gt;0,E40,F52-E37-E38-E39)&lt;0,0,IF((F52-E37-E38-E39-E40)&gt;0,E40,F52-E37-E38-E39))</f>
        <v>9.2400000000000017E-3</v>
      </c>
      <c r="I59" s="145" t="str">
        <f>VLOOKUP(LARGE($F$5:$F$17,4),$F$5:$AI$17,30,FALSE)</f>
        <v>Wind Off</v>
      </c>
      <c r="J59" s="146">
        <f>IF(IF((G52-F37-F38-F39-F40)&gt;0,F40,G52-F37-F38-F39)&lt;0,0,IF((G52-F37-F38-F39-F40)&gt;0,F40,G52-F37-F38-F39))</f>
        <v>1.2012000000000002E-2</v>
      </c>
      <c r="K59" s="145" t="str">
        <f t="shared" si="66"/>
        <v>Wind Off</v>
      </c>
      <c r="L59" s="146">
        <f>IF(IF((H52-G37-G38-G39-G40)&gt;0,G40,H52-G37-G38-G39)&lt;0,0,IF((H52-G37-G38-G39-G40)&gt;0,G40,H52-G37-G38-G39))</f>
        <v>1.68168E-2</v>
      </c>
      <c r="M59" s="145" t="str">
        <f t="shared" si="67"/>
        <v>Wind Off</v>
      </c>
      <c r="N59" s="146">
        <f>IF(IF((I52-H37-H38-H39-H40)&gt;0,H40,I52-H37-H38-H39)&lt;0,0,IF((I52-H37-H38-H39-H40)&gt;0,H40,I52-H37-H38-H39))</f>
        <v>0</v>
      </c>
      <c r="O59" s="145" t="str">
        <f t="shared" si="68"/>
        <v>Wind Off</v>
      </c>
      <c r="P59" s="146">
        <f>IF(IF((J52-I37-I38-I39-I40)&gt;0,I40,J52-I37-I38-I39)&lt;0,0,IF((J52-I37-I38-I39-I40)&gt;0,I40,J52-I37-I38-I39))</f>
        <v>0</v>
      </c>
      <c r="Q59" s="145" t="str">
        <f t="shared" si="69"/>
        <v>Wind Off</v>
      </c>
      <c r="R59" s="146">
        <f>IF(IF((K52-J37-J38-J39-J40)&gt;0,J40,K52-J37-J38-J39)&lt;0,0,IF((K52-J37-J38-J39-J40)&gt;0,J40,K52-J37-J38-J39))</f>
        <v>0</v>
      </c>
      <c r="S59" s="145" t="str">
        <f t="shared" si="70"/>
        <v>Wind Off</v>
      </c>
      <c r="T59" s="146">
        <f>IF(IF((L52-K37-K38-K39-K40)&gt;0,K40,L52-K37-K38-K39)&lt;0,0,IF((L52-K37-K38-K39-K40)&gt;0,K40,L52-K37-K38-K39))</f>
        <v>0</v>
      </c>
      <c r="U59" s="145" t="str">
        <f t="shared" si="71"/>
        <v>Wind Off</v>
      </c>
      <c r="V59" s="146">
        <f>IF(IF((M52-L37-L38-L39-L40)&gt;0,L40,M52-L37-L38-L39)&lt;0,0,IF((M52-L37-L38-L39-L40)&gt;0,L40,M52-L37-L38-L39))</f>
        <v>0</v>
      </c>
      <c r="W59" s="145" t="str">
        <f t="shared" si="72"/>
        <v xml:space="preserve">Hydro </v>
      </c>
      <c r="X59" s="146">
        <f>IF(IF((N52-M37-M38-M39-M40)&gt;0,M40,N52-M37-M38-M39)&lt;0,0,IF((N52-M37-M38-M39-M40)&gt;0,M40,N52-M37-M38-M39))</f>
        <v>57.696809999999914</v>
      </c>
      <c r="Y59" s="145" t="str">
        <f t="shared" si="73"/>
        <v xml:space="preserve">Hydro </v>
      </c>
      <c r="Z59" s="146">
        <f>IF(IF((O52-N37-N38-N39-N40)&gt;0,N40,O52-N37-N38-N39)&lt;0,0,IF((O52-N37-N38-N39-N40)&gt;0,N40,O52-N37-N38-N39))</f>
        <v>57.389692600000217</v>
      </c>
      <c r="AA59" s="145" t="str">
        <f t="shared" si="74"/>
        <v xml:space="preserve">Hydro </v>
      </c>
      <c r="AB59" s="146">
        <f>IF(IF((P52-O37-O38-O39-O40)&gt;0,O40,P52-O37-O38-O39)&lt;0,0,IF((P52-O37-O38-O39-O40)&gt;0,O40,P52-O37-O38-O39))</f>
        <v>57.647715040000548</v>
      </c>
      <c r="AC59" s="145" t="str">
        <f t="shared" si="75"/>
        <v xml:space="preserve">Hydro </v>
      </c>
      <c r="AD59" s="146">
        <f>IF(IF((Q52-P37-P38-P39-P40)&gt;0,P40,Q52-P37-P38-P39)&lt;0,0,IF((Q52-P37-P38-P39-P40)&gt;0,P40,Q52-P37-P38-P39))</f>
        <v>59.9</v>
      </c>
      <c r="AE59" s="145" t="str">
        <f t="shared" si="76"/>
        <v xml:space="preserve">Hydro </v>
      </c>
      <c r="AF59" s="146">
        <f>IF(IF((R52-Q37-Q38-Q39-Q40)&gt;0,Q40,R52-Q37-Q38-Q39)&lt;0,0,IF((R52-Q37-Q38-Q39-Q40)&gt;0,Q40,R52-Q37-Q38-Q39))</f>
        <v>29.55348339999955</v>
      </c>
      <c r="AG59" s="145" t="str">
        <f t="shared" si="77"/>
        <v xml:space="preserve">Hydro </v>
      </c>
      <c r="AH59" s="146">
        <f>IF(IF((S52-R37-R38-R39-R40)&gt;0,R40,S52-R37-R38-R39)&lt;0,0,IF((S52-R37-R38-R39-R40)&gt;0,R40,S52-R37-R38-R39))</f>
        <v>56.106887279999683</v>
      </c>
      <c r="AI59" s="4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</row>
    <row r="60" spans="1:82">
      <c r="A60" s="4"/>
      <c r="B60" s="142">
        <v>5</v>
      </c>
      <c r="C60" s="145" t="str">
        <f t="shared" si="78"/>
        <v>Wind Off</v>
      </c>
      <c r="D60" s="146">
        <f>IF(IF((D52-SUM(C37:C41))&gt;0,C41,D52-SUM(C37:C40))&lt;0,0,IF((D52-SUM(C37:C41))&gt;0,C41,D52-SUM(C37:C40)))</f>
        <v>7.0000000000000001E-3</v>
      </c>
      <c r="E60" s="145" t="str">
        <f t="shared" si="79"/>
        <v>Wind Off</v>
      </c>
      <c r="F60" s="146">
        <f>IF(IF((E52-D37-D38-D39-D40-D41)&gt;0,D41,E52-D37-D38-D39-D40)&lt;0,0,IF((E52-D37-D38-D39-D40-D41)&gt;0,D41,E52-D37-D38-D39-D40))</f>
        <v>0</v>
      </c>
      <c r="G60" s="145" t="str">
        <f>VLOOKUP(LARGE($E$5:$E$17,5),$E$5:$AI$17,31,FALSE)</f>
        <v>Gas CCS</v>
      </c>
      <c r="H60" s="146">
        <f>IF(IF((F52-E37-E38-E39-E40-E41)&gt;0,E41,F52-E37-E38-E39-E40)&lt;0,0,IF((F52-E37-E38-E39-E40-E41)&gt;0,E41,F52-E37-E38-E39-E40))</f>
        <v>105.96797459999999</v>
      </c>
      <c r="I60" s="145" t="str">
        <f>VLOOKUP(LARGE($F$5:$F$17,5),$F$5:$AI$17,30,FALSE)</f>
        <v>Gas CCS</v>
      </c>
      <c r="J60" s="146">
        <f>IF(IF((G52-F37-F38-F39-F40-F41)&gt;0,F41,G52-F37-F38-F39-F40)&lt;0,0,IF((G52-F37-F38-F39-F40-F41)&gt;0,F41,G52-F37-F38-F39-F40))</f>
        <v>21.813267880000446</v>
      </c>
      <c r="K60" s="145" t="str">
        <f t="shared" si="66"/>
        <v>Gas CCS</v>
      </c>
      <c r="L60" s="146">
        <f>IF(IF((H52-G37-G38-G39-G40-G41)&gt;0,G41,H52-G37-G38-G39-G40)&lt;0,0,IF((H52-G37-G38-G39-G40-G41)&gt;0,G41,H52-G37-G38-G39-G40))</f>
        <v>15.471759519999402</v>
      </c>
      <c r="M60" s="145" t="str">
        <f t="shared" si="67"/>
        <v>Gas CCS</v>
      </c>
      <c r="N60" s="146">
        <f>IF(IF((I52-H37-H38-H39-H40-H41)&gt;0,H41,I52-H37-H38-H39-H40)&lt;0,0,IF((I52-H37-H38-H39-H40-H41)&gt;0,H41,I52-H37-H38-H39-H40))</f>
        <v>0</v>
      </c>
      <c r="O60" s="145" t="str">
        <f t="shared" si="68"/>
        <v>Gas CCS</v>
      </c>
      <c r="P60" s="146">
        <f>IF(IF((J52-I37-I38-I39-I40-I41)&gt;0,I41,J52-I37-I38-I39-I40)&lt;0,0,IF((J52-I37-I38-I39-I40-I41)&gt;0,I41,J52-I37-I38-I39-I40))</f>
        <v>115.69480260000054</v>
      </c>
      <c r="Q60" s="145" t="str">
        <f t="shared" si="69"/>
        <v>Gas CCS</v>
      </c>
      <c r="R60" s="146">
        <f>IF(IF((K52-J37-J38-J39-J40-J41)&gt;0,J41,K52-J37-J38-J39-J40)&lt;0,0,IF((K52-J37-J38-J39-J40-J41)&gt;0,J41,K52-J37-J38-J39-J40))</f>
        <v>69.964477959999471</v>
      </c>
      <c r="S60" s="145" t="str">
        <f t="shared" si="70"/>
        <v>Gas CCS</v>
      </c>
      <c r="T60" s="146">
        <f>IF(IF((L52-K37-K38-K39-K40-K41)&gt;0,K41,L52-K37-K38-K39-K40)&lt;0,0,IF((L52-K37-K38-K39-K40-K41)&gt;0,K41,L52-K37-K38-K39-K40))</f>
        <v>13.707054479999535</v>
      </c>
      <c r="U60" s="145" t="str">
        <f t="shared" si="71"/>
        <v>Gas CCS</v>
      </c>
      <c r="V60" s="146">
        <f>IF(IF((M52-L37-L38-L39-L40-L41)&gt;0,L41,M52-L37-L38-L39-L40)&lt;0,0,IF((M52-L37-L38-L39-L40-L41)&gt;0,L41,M52-L37-L38-L39-L40))</f>
        <v>1.6291810800004001</v>
      </c>
      <c r="W60" s="145" t="str">
        <f t="shared" si="72"/>
        <v>Gas CCS</v>
      </c>
      <c r="X60" s="146">
        <f>IF(IF((N52-M37-M38-M39-M40-M41)&gt;0,M41,N52-M37-M38-M39-M40)&lt;0,0,IF((N52-M37-M38-M39-M40-M41)&gt;0,M41,N52-M37-M38-M39-M40))</f>
        <v>0</v>
      </c>
      <c r="Y60" s="145" t="str">
        <f t="shared" si="73"/>
        <v>Solar CSP</v>
      </c>
      <c r="Z60" s="146">
        <f>IF(IF((O52-N37-N38-N39-N40-N41)&gt;0,N41,O52-N37-N38-N39-N40)&lt;0,0,IF((O52-N37-N38-N39-N40-N41)&gt;0,N41,O52-N37-N38-N39-N40))</f>
        <v>0</v>
      </c>
      <c r="AA60" s="145" t="str">
        <f t="shared" si="74"/>
        <v>Solar CSP</v>
      </c>
      <c r="AB60" s="146">
        <f>IF(IF((P52-O37-O38-O39-O40-O41)&gt;0,O41,P52-O37-O38-O39-O40)&lt;0,0,IF((P52-O37-O38-O39-O40-O41)&gt;0,O41,P52-O37-O38-O39-O40))</f>
        <v>0</v>
      </c>
      <c r="AC60" s="145" t="str">
        <f t="shared" si="75"/>
        <v>Solar CSP</v>
      </c>
      <c r="AD60" s="146">
        <f>IF(IF((Q52-P37-P38-P39-P40-P41)&gt;0,P41,Q52-P37-P38-P39-P40)&lt;0,0,IF((Q52-P37-P38-P39-P40-P41)&gt;0,P41,Q52-P37-P38-P39-P40))</f>
        <v>0</v>
      </c>
      <c r="AE60" s="145" t="str">
        <f t="shared" si="76"/>
        <v>Solar CSP</v>
      </c>
      <c r="AF60" s="146">
        <f>IF(IF((R52-Q37-Q38-Q39-Q40-Q41)&gt;0,Q41,R52-Q37-Q38-Q39-Q40)&lt;0,0,IF((R52-Q37-Q38-Q39-Q40-Q41)&gt;0,Q41,R52-Q37-Q38-Q39-Q40))</f>
        <v>0</v>
      </c>
      <c r="AG60" s="145" t="str">
        <f t="shared" si="77"/>
        <v>Solar CSP</v>
      </c>
      <c r="AH60" s="146">
        <f>IF(IF((S52-R37-R38-R39-R40-R41)&gt;0,R41,S52-R37-R38-R39-R40)&lt;0,0,IF((S52-R37-R38-R39-R40-R41)&gt;0,R41,S52-R37-R38-R39-R40))</f>
        <v>0</v>
      </c>
      <c r="AI60" s="4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</row>
    <row r="61" spans="1:82">
      <c r="A61" s="4"/>
      <c r="B61" s="142">
        <v>6</v>
      </c>
      <c r="C61" s="145" t="str">
        <f t="shared" si="78"/>
        <v>Nuclear</v>
      </c>
      <c r="D61" s="146">
        <f>IF(IF((D52-SUM(C37:C42))&gt;0,C42,D52-SUM(C37:C41))&lt;0,0,IF((D52-SUM(C37:C42))&gt;0,C42,D52-SUM(C37:C41)))</f>
        <v>71.7</v>
      </c>
      <c r="E61" s="145" t="str">
        <f t="shared" si="79"/>
        <v>Nuclear</v>
      </c>
      <c r="F61" s="146">
        <f>IF(IF((E52-SUM(D37:D42))&gt;0,D42,E52-SUM(D37:D41))&lt;0,0,IF((E52-SUM(D37:D42))&gt;0,D42,E52-SUM(D37:D41)))</f>
        <v>0</v>
      </c>
      <c r="G61" s="145" t="str">
        <f>VLOOKUP(LARGE($E$5:$E$17,6),$E$5:$AI$17,31,FALSE)</f>
        <v>Nuclear</v>
      </c>
      <c r="H61" s="146">
        <f>IF(IF((F52-SUM(E37:E42))&gt;0,E42,F52-SUM(E37:E41))&lt;0,0,IF((F52-SUM(E37:E42))&gt;0,E42,F52-SUM(E37:E41)))</f>
        <v>0</v>
      </c>
      <c r="I61" s="145" t="str">
        <f>VLOOKUP(LARGE($F$5:$F$17,6),$F$5:$AI$17,30,FALSE)</f>
        <v>Nuclear</v>
      </c>
      <c r="J61" s="146">
        <f>IF(IF((G52-SUM(F37:F42))&gt;0,F42,G52-SUM(F37:F41))&lt;0,0,IF((G52-SUM(F37:F42))&gt;0,F42,G52-SUM(F37:F41)))</f>
        <v>0</v>
      </c>
      <c r="K61" s="145" t="str">
        <f t="shared" si="66"/>
        <v>Solar CSP</v>
      </c>
      <c r="L61" s="146">
        <f>IF(IF((H52-SUM(G37:G42))&gt;0,G42,H52-SUM(G37:G41))&lt;0,0,IF((H52-SUM(G37:G42))&gt;0,G42,H52-SUM(G37:G41)))</f>
        <v>0</v>
      </c>
      <c r="M61" s="145" t="str">
        <f t="shared" si="67"/>
        <v>Solar CSP</v>
      </c>
      <c r="N61" s="146">
        <f>IF(IF((I52-SUM(H37:H42))&gt;0,H42,I52-SUM(H37:H41))&lt;0,0,IF((I52-SUM(H37:H42))&gt;0,H42,I52-SUM(H37:H41)))</f>
        <v>0</v>
      </c>
      <c r="O61" s="145" t="str">
        <f t="shared" si="68"/>
        <v>Solar CSP</v>
      </c>
      <c r="P61" s="146">
        <f>IF(IF((J52-SUM(I37:I42))&gt;0,I42,J52-SUM(I37:I41))&lt;0,0,IF((J52-SUM(I37:I42))&gt;0,I42,J52-SUM(I37:I41)))</f>
        <v>0</v>
      </c>
      <c r="Q61" s="145" t="str">
        <f t="shared" si="69"/>
        <v>Solar CSP</v>
      </c>
      <c r="R61" s="146">
        <f>IF(IF((K52-SUM(J37:J42))&gt;0,J42,K52-SUM(J37:J41))&lt;0,0,IF((K52-SUM(J37:J42))&gt;0,J42,K52-SUM(J37:J41)))</f>
        <v>0</v>
      </c>
      <c r="S61" s="145" t="str">
        <f t="shared" si="70"/>
        <v>Solar CSP</v>
      </c>
      <c r="T61" s="146">
        <f>IF(IF((L52-SUM(K37:K42))&gt;0,K42,L52-SUM(K37:K41))&lt;0,0,IF((L52-SUM(K37:K42))&gt;0,K42,L52-SUM(K37:K41)))</f>
        <v>0</v>
      </c>
      <c r="U61" s="145" t="str">
        <f t="shared" si="71"/>
        <v>Solar CSP</v>
      </c>
      <c r="V61" s="146">
        <f>IF(IF((M52-SUM(L37:L42))&gt;0,L42,M52-SUM(L37:L41))&lt;0,0,IF((M52-SUM(L37:L42))&gt;0,L42,M52-SUM(L37:L41)))</f>
        <v>0</v>
      </c>
      <c r="W61" s="145" t="str">
        <f t="shared" si="72"/>
        <v>Solar CSP</v>
      </c>
      <c r="X61" s="146">
        <f>IF(IF((N52-SUM(M37:M42))&gt;0,M42,N52-SUM(M37:M41))&lt;0,0,IF((N52-SUM(M37:M42))&gt;0,M42,N52-SUM(M37:M41)))</f>
        <v>0</v>
      </c>
      <c r="Y61" s="145" t="str">
        <f t="shared" si="73"/>
        <v>Gas CCS</v>
      </c>
      <c r="Z61" s="146">
        <f>IF(IF((O52-SUM(N37:N42))&gt;0,N42,O52-SUM(N37:N41))&lt;0,0,IF((O52-SUM(N37:N42))&gt;0,N42,O52-SUM(N37:N41)))</f>
        <v>0</v>
      </c>
      <c r="AA61" s="145" t="str">
        <f t="shared" si="74"/>
        <v>Gas CCS</v>
      </c>
      <c r="AB61" s="146">
        <f>IF(IF((P52-SUM(O37:O42))&gt;0,O42,P52-SUM(O37:O41))&lt;0,0,IF((P52-SUM(O37:O42))&gt;0,O42,P52-SUM(O37:O41)))</f>
        <v>0</v>
      </c>
      <c r="AC61" s="145" t="str">
        <f t="shared" si="75"/>
        <v>Gas CCS</v>
      </c>
      <c r="AD61" s="146">
        <f>IF(IF((Q52-SUM(P37:P42))&gt;0,P42,Q52-SUM(P37:P41))&lt;0,0,IF((Q52-SUM(P37:P42))&gt;0,P42,Q52-SUM(P37:P41)))</f>
        <v>27.640188599999966</v>
      </c>
      <c r="AE61" s="145" t="str">
        <f t="shared" si="76"/>
        <v>Gas CCS</v>
      </c>
      <c r="AF61" s="146">
        <f>IF(IF((R52-SUM(Q37:Q42))&gt;0,Q42,R52-SUM(Q37:Q41))&lt;0,0,IF((R52-SUM(Q37:Q42))&gt;0,Q42,R52-SUM(Q37:Q41)))</f>
        <v>0</v>
      </c>
      <c r="AG61" s="145" t="str">
        <f t="shared" si="77"/>
        <v>Gas CCS</v>
      </c>
      <c r="AH61" s="146">
        <f>IF(IF((S52-SUM(R37:R42))&gt;0,R42,S52-SUM(R37:R41))&lt;0,0,IF((S52-SUM(R37:R42))&gt;0,R42,S52-SUM(R37:R41)))</f>
        <v>0</v>
      </c>
      <c r="AI61" s="4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</row>
    <row r="62" spans="1:82">
      <c r="A62" s="4"/>
      <c r="B62" s="142">
        <v>7</v>
      </c>
      <c r="C62" s="145" t="str">
        <f t="shared" si="78"/>
        <v>Solar CSP</v>
      </c>
      <c r="D62" s="146">
        <f>IF(IF((D52-SUM(C37:C43))&gt;0,C43,D52-SUM(C37:C42))&lt;0,0,IF((D52-SUM(C37:C43))&gt;0,C43,D52-SUM(C37:C42)))</f>
        <v>0</v>
      </c>
      <c r="E62" s="145" t="str">
        <f t="shared" si="79"/>
        <v>Solar CSP</v>
      </c>
      <c r="F62" s="146">
        <f>IF(IF((E52-SUM(D37:D43))&gt;0,D43,E52-SUM(D37:D42))&lt;0,0,IF((E52-SUM(D37:D43))&gt;0,D43,E52-SUM(D37:D42)))</f>
        <v>0</v>
      </c>
      <c r="G62" s="145" t="str">
        <f>VLOOKUP(LARGE($E$5:$E$17,7),$E$5:$AI$17,31,FALSE)</f>
        <v>Solar CSP</v>
      </c>
      <c r="H62" s="146">
        <f>IF(IF((F52-SUM(E37:E43))&gt;0,E43,F52-SUM(E37:E42))&lt;0,0,IF((F52-SUM(E37:E43))&gt;0,E43,F52-SUM(E37:E42)))</f>
        <v>0</v>
      </c>
      <c r="I62" s="145" t="str">
        <f>VLOOKUP(LARGE($F$5:$F$17,7),$F$5:$AI$17,30,FALSE)</f>
        <v>Solar CSP</v>
      </c>
      <c r="J62" s="146">
        <f>IF(IF((G52-SUM(F37:F43))&gt;0,F43,G52-SUM(F37:F42))&lt;0,0,IF((G52-SUM(F37:F43))&gt;0,F43,G52-SUM(F37:F42)))</f>
        <v>0</v>
      </c>
      <c r="K62" s="145" t="str">
        <f t="shared" si="66"/>
        <v>Nuclear</v>
      </c>
      <c r="L62" s="146">
        <f>IF(IF((H52-SUM(G37:G43))&gt;0,G43,H52-SUM(G37:G42))&lt;0,0,IF((H52-SUM(G37:G43))&gt;0,G43,H52-SUM(G37:G42)))</f>
        <v>0</v>
      </c>
      <c r="M62" s="145" t="str">
        <f t="shared" si="67"/>
        <v>Nuclear</v>
      </c>
      <c r="N62" s="146">
        <f>IF(IF((I52-SUM(H37:H43))&gt;0,H43,I52-SUM(H37:H42))&lt;0,0,IF((I52-SUM(H37:H43))&gt;0,H43,I52-SUM(H37:H42)))</f>
        <v>0</v>
      </c>
      <c r="O62" s="145" t="str">
        <f t="shared" si="68"/>
        <v>Nuclear</v>
      </c>
      <c r="P62" s="146">
        <f>IF(IF((J52-SUM(I37:I43))&gt;0,I43,J52-SUM(I37:I42))&lt;0,0,IF((J52-SUM(I37:I43))&gt;0,I43,J52-SUM(I37:I42)))</f>
        <v>0</v>
      </c>
      <c r="Q62" s="145" t="str">
        <f t="shared" si="69"/>
        <v>Nuclear</v>
      </c>
      <c r="R62" s="146">
        <f>IF(IF((K52-SUM(J37:J43))&gt;0,J43,K52-SUM(J37:J42))&lt;0,0,IF((K52-SUM(J37:J43))&gt;0,J43,K52-SUM(J37:J42)))</f>
        <v>0</v>
      </c>
      <c r="S62" s="145" t="str">
        <f t="shared" si="70"/>
        <v>Nuclear</v>
      </c>
      <c r="T62" s="146">
        <f>IF(IF((L52-SUM(K37:K43))&gt;0,K43,L52-SUM(K37:K42))&lt;0,0,IF((L52-SUM(K37:K43))&gt;0,K43,L52-SUM(K37:K42)))</f>
        <v>0</v>
      </c>
      <c r="U62" s="145" t="str">
        <f t="shared" si="71"/>
        <v>Nuclear</v>
      </c>
      <c r="V62" s="146">
        <f>IF(IF((M52-SUM(L37:L43))&gt;0,L43,M52-SUM(L37:L42))&lt;0,0,IF((M52-SUM(L37:L43))&gt;0,L43,M52-SUM(L37:L42)))</f>
        <v>0</v>
      </c>
      <c r="W62" s="145" t="str">
        <f t="shared" si="72"/>
        <v>Nuclear</v>
      </c>
      <c r="X62" s="146">
        <f>IF(IF((N52-SUM(M37:M43))&gt;0,M43,N52-SUM(M37:M42))&lt;0,0,IF((N52-SUM(M37:M43))&gt;0,M43,N52-SUM(M37:M42)))</f>
        <v>0</v>
      </c>
      <c r="Y62" s="145" t="str">
        <f t="shared" si="73"/>
        <v>Nuclear</v>
      </c>
      <c r="Z62" s="146">
        <f>IF(IF((O52-SUM(N37:N43))&gt;0,N43,O52-SUM(N37:N42))&lt;0,0,IF((O52-SUM(N37:N43))&gt;0,N43,O52-SUM(N37:N42)))</f>
        <v>0</v>
      </c>
      <c r="AA62" s="145" t="str">
        <f t="shared" si="74"/>
        <v>Nuclear</v>
      </c>
      <c r="AB62" s="146">
        <f>IF(IF((P52-SUM(O37:O43))&gt;0,O43,P52-SUM(O37:O42))&lt;0,0,IF((P52-SUM(O37:O43))&gt;0,O43,P52-SUM(O37:O42)))</f>
        <v>0</v>
      </c>
      <c r="AC62" s="145" t="str">
        <f t="shared" si="75"/>
        <v>Nuclear</v>
      </c>
      <c r="AD62" s="146">
        <f>IF(IF((Q52-SUM(P37:P43))&gt;0,P43,Q52-SUM(P37:P42))&lt;0,0,IF((Q52-SUM(P37:P43))&gt;0,P43,Q52-SUM(P37:P42)))</f>
        <v>0</v>
      </c>
      <c r="AE62" s="145" t="str">
        <f t="shared" si="76"/>
        <v>Nuclear</v>
      </c>
      <c r="AF62" s="146">
        <f>IF(IF((R52-SUM(Q37:Q43))&gt;0,Q43,R52-SUM(Q37:Q42))&lt;0,0,IF((R52-SUM(Q37:Q43))&gt;0,Q43,R52-SUM(Q37:Q42)))</f>
        <v>0</v>
      </c>
      <c r="AG62" s="145" t="str">
        <f t="shared" si="77"/>
        <v>Nuclear</v>
      </c>
      <c r="AH62" s="146">
        <f>IF(IF((S52-SUM(R37:R43))&gt;0,R43,S52-SUM(R37:R42))&lt;0,0,IF((S52-SUM(R37:R43))&gt;0,R43,S52-SUM(R37:R42)))</f>
        <v>0</v>
      </c>
      <c r="AI62" s="4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</row>
    <row r="63" spans="1:82">
      <c r="A63" s="4"/>
      <c r="B63" s="142">
        <v>8</v>
      </c>
      <c r="C63" s="145" t="str">
        <f t="shared" si="78"/>
        <v>Geotherm</v>
      </c>
      <c r="D63" s="146">
        <f>IF(IF((D52-SUM(C37:C44))&gt;0,C44,D52-SUM(C37:C43))&lt;0,0,IF((D52-SUM(C37:C44))&gt;0,C44,D52-SUM(C37:C43)))</f>
        <v>4.3</v>
      </c>
      <c r="E63" s="145" t="str">
        <f t="shared" si="79"/>
        <v>Geotherm</v>
      </c>
      <c r="F63" s="146">
        <f>IF(IF((E52-SUM(D37:D44))&gt;0,D44,E52-SUM(D37:D43))&lt;0,0,IF((E52-SUM(D37:D44))&gt;0,D44,E52-SUM(D37:D43)))</f>
        <v>0</v>
      </c>
      <c r="G63" s="145" t="str">
        <f>VLOOKUP(LARGE($E$5:$E$17,8),$E$5:$AI$17,31,FALSE)</f>
        <v>Geotherm</v>
      </c>
      <c r="H63" s="146">
        <f>IF(IF((F52-SUM(E37:E44))&gt;0,E44,F52-SUM(E37:E43))&lt;0,0,IF((F52-SUM(E37:E44))&gt;0,E44,F52-SUM(E37:E43)))</f>
        <v>0</v>
      </c>
      <c r="I63" s="145" t="str">
        <f>VLOOKUP(LARGE($F$5:$F$17,8),$F$5:$AI$17,30,FALSE)</f>
        <v>Geotherm</v>
      </c>
      <c r="J63" s="146">
        <f>IF(IF((G52-SUM(F37:F44))&gt;0,F44,G52-SUM(F37:F43))&lt;0,0,IF((G52-SUM(F37:F44))&gt;0,F44,G52-SUM(F37:F43)))</f>
        <v>0</v>
      </c>
      <c r="K63" s="145" t="str">
        <f t="shared" si="66"/>
        <v>Geotherm</v>
      </c>
      <c r="L63" s="146">
        <f>IF(IF((H52-SUM(G37:G44))&gt;0,G44,H52-SUM(G37:G43))&lt;0,0,IF((H52-SUM(G37:G44))&gt;0,G44,H52-SUM(G37:G43)))</f>
        <v>0</v>
      </c>
      <c r="M63" s="145" t="str">
        <f t="shared" si="67"/>
        <v>Geotherm</v>
      </c>
      <c r="N63" s="146">
        <f>IF(IF((I52-SUM(H37:H44))&gt;0,H44,I52-SUM(H37:H43))&lt;0,0,IF((I52-SUM(H37:H44))&gt;0,H44,I52-SUM(H37:H43)))</f>
        <v>0</v>
      </c>
      <c r="O63" s="145" t="str">
        <f t="shared" si="68"/>
        <v>Geotherm</v>
      </c>
      <c r="P63" s="146">
        <f>IF(IF((J52-SUM(I37:I44))&gt;0,I44,J52-SUM(I37:I43))&lt;0,0,IF((J52-SUM(I37:I44))&gt;0,I44,J52-SUM(I37:I43)))</f>
        <v>0</v>
      </c>
      <c r="Q63" s="145" t="str">
        <f t="shared" si="69"/>
        <v>Geotherm</v>
      </c>
      <c r="R63" s="146">
        <f>IF(IF((K52-SUM(J37:J44))&gt;0,J44,K52-SUM(J37:J43))&lt;0,0,IF((K52-SUM(J37:J44))&gt;0,J44,K52-SUM(J37:J43)))</f>
        <v>0</v>
      </c>
      <c r="S63" s="145" t="str">
        <f t="shared" si="70"/>
        <v>Geotherm</v>
      </c>
      <c r="T63" s="146">
        <f>IF(IF((L52-SUM(K37:K44))&gt;0,K44,L52-SUM(K37:K43))&lt;0,0,IF((L52-SUM(K37:K44))&gt;0,K44,L52-SUM(K37:K43)))</f>
        <v>0</v>
      </c>
      <c r="U63" s="145" t="str">
        <f t="shared" si="71"/>
        <v>Geotherm</v>
      </c>
      <c r="V63" s="146">
        <f>IF(IF((M52-SUM(L37:L44))&gt;0,L44,M52-SUM(L37:L43))&lt;0,0,IF((M52-SUM(L37:L44))&gt;0,L44,M52-SUM(L37:L43)))</f>
        <v>0</v>
      </c>
      <c r="W63" s="145" t="str">
        <f t="shared" si="72"/>
        <v>Geotherm</v>
      </c>
      <c r="X63" s="146">
        <f>IF(IF((N52-SUM(M37:M44))&gt;0,M44,N52-SUM(M37:M43))&lt;0,0,IF((N52-SUM(M37:M44))&gt;0,M44,N52-SUM(M37:M43)))</f>
        <v>0</v>
      </c>
      <c r="Y63" s="145" t="str">
        <f t="shared" si="73"/>
        <v>Geotherm</v>
      </c>
      <c r="Z63" s="146">
        <f>IF(IF((O52-SUM(N37:N44))&gt;0,N44,O52-SUM(N37:N43))&lt;0,0,IF((O52-SUM(N37:N44))&gt;0,N44,O52-SUM(N37:N43)))</f>
        <v>0</v>
      </c>
      <c r="AA63" s="145" t="str">
        <f t="shared" si="74"/>
        <v>Geotherm</v>
      </c>
      <c r="AB63" s="146">
        <f>IF(IF((P52-SUM(O37:O44))&gt;0,O44,P52-SUM(O37:O43))&lt;0,0,IF((P52-SUM(O37:O44))&gt;0,O44,P52-SUM(O37:O43)))</f>
        <v>0</v>
      </c>
      <c r="AC63" s="145" t="str">
        <f t="shared" si="75"/>
        <v>Geotherm</v>
      </c>
      <c r="AD63" s="146">
        <f>IF(IF((Q52-SUM(P37:P44))&gt;0,P44,Q52-SUM(P37:P43))&lt;0,0,IF((Q52-SUM(P37:P44))&gt;0,P44,Q52-SUM(P37:P43)))</f>
        <v>0</v>
      </c>
      <c r="AE63" s="145" t="str">
        <f t="shared" si="76"/>
        <v>Geotherm</v>
      </c>
      <c r="AF63" s="146">
        <f>IF(IF((R52-SUM(Q37:Q44))&gt;0,Q44,R52-SUM(Q37:Q43))&lt;0,0,IF((R52-SUM(Q37:Q44))&gt;0,Q44,R52-SUM(Q37:Q43)))</f>
        <v>0</v>
      </c>
      <c r="AG63" s="145" t="str">
        <f t="shared" si="77"/>
        <v>Geotherm</v>
      </c>
      <c r="AH63" s="146">
        <f>IF(IF((S52-SUM(R37:R44))&gt;0,R44,S52-SUM(R37:R43))&lt;0,0,IF((S52-SUM(R37:R44))&gt;0,R44,S52-SUM(R37:R43)))</f>
        <v>0</v>
      </c>
      <c r="AI63" s="4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</row>
    <row r="64" spans="1:82">
      <c r="A64" s="147"/>
      <c r="B64" s="142">
        <v>9</v>
      </c>
      <c r="C64" s="145" t="str">
        <f t="shared" si="78"/>
        <v>Coal CCS</v>
      </c>
      <c r="D64" s="146">
        <f>IF(IF((D52-SUM(C37:C45))&gt;0,C45,D52-SUM(C37:C44))&lt;0,0,IF((D52-SUM(C37:C45))&gt;0,C45,D52-SUM(C37:C44)))</f>
        <v>93.813291399999287</v>
      </c>
      <c r="E64" s="145" t="str">
        <f t="shared" si="79"/>
        <v>Coal CCS</v>
      </c>
      <c r="F64" s="146">
        <f>IF(IF((E52-SUM(D37:D45))&gt;0,D45,E52-SUM(D37:D44))&lt;0,0,IF((E52-SUM(D37:D45))&gt;0,D45,E52-SUM(D37:D44)))</f>
        <v>0</v>
      </c>
      <c r="G64" s="145" t="str">
        <f>VLOOKUP(LARGE($E$5:$E$17,9),$E$5:$AI$17,31,FALSE)</f>
        <v>Coal CCS</v>
      </c>
      <c r="H64" s="146">
        <f>IF(IF((F52-SUM(E37:E45))&gt;0,E45,F52-SUM(E37:E44))&lt;0,0,IF((F52-SUM(E37:E45))&gt;0,E45,F52-SUM(E37:E44)))</f>
        <v>0</v>
      </c>
      <c r="I64" s="145" t="str">
        <f>VLOOKUP(LARGE($F$5:$F$17,9),$F$5:$AI$17,30,FALSE)</f>
        <v>Coal CCS</v>
      </c>
      <c r="J64" s="146">
        <f>IF(IF((G52-SUM(F37:F45))&gt;0,F45,G52-SUM(F37:F44))&lt;0,0,IF((G52-SUM(F37:F45))&gt;0,F45,G52-SUM(F37:F44)))</f>
        <v>0</v>
      </c>
      <c r="K64" s="145" t="str">
        <f t="shared" si="66"/>
        <v>Coal CCS</v>
      </c>
      <c r="L64" s="146">
        <f>IF(IF((H52-SUM(G37:G45))&gt;0,G45,H52-SUM(G37:G44))&lt;0,0,IF((H52-SUM(G37:G45))&gt;0,G45,H52-SUM(G37:G44)))</f>
        <v>0</v>
      </c>
      <c r="M64" s="145" t="str">
        <f t="shared" si="67"/>
        <v>Coal CCS</v>
      </c>
      <c r="N64" s="146">
        <f>IF(IF((I52-SUM(H37:H45))&gt;0,H45,I52-SUM(H37:H44))&lt;0,0,IF((I52-SUM(H37:H45))&gt;0,H45,I52-SUM(H37:H44)))</f>
        <v>0</v>
      </c>
      <c r="O64" s="145" t="str">
        <f t="shared" si="68"/>
        <v>Coal CCS</v>
      </c>
      <c r="P64" s="146">
        <f>IF(IF((J52-SUM(I37:I45))&gt;0,I45,J52-SUM(I37:I44))&lt;0,0,IF((J52-SUM(I37:I45))&gt;0,I45,J52-SUM(I37:I44)))</f>
        <v>0</v>
      </c>
      <c r="Q64" s="145" t="str">
        <f t="shared" si="69"/>
        <v>Coal CCS</v>
      </c>
      <c r="R64" s="146">
        <f>IF(IF((K52-SUM(J37:J45))&gt;0,J45,K52-SUM(J37:J44))&lt;0,0,IF((K52-SUM(J37:J45))&gt;0,J45,K52-SUM(J37:J44)))</f>
        <v>0</v>
      </c>
      <c r="S64" s="145" t="str">
        <f t="shared" si="70"/>
        <v>Coal CCS</v>
      </c>
      <c r="T64" s="146">
        <f>IF(IF((L52-SUM(K37:K45))&gt;0,K45,L52-SUM(K37:K44))&lt;0,0,IF((L52-SUM(K37:K45))&gt;0,K45,L52-SUM(K37:K44)))</f>
        <v>0</v>
      </c>
      <c r="U64" s="145" t="str">
        <f t="shared" si="71"/>
        <v>Coal CCS</v>
      </c>
      <c r="V64" s="146">
        <f>IF(IF((M52-SUM(L37:L45))&gt;0,L45,M52-SUM(L37:L44))&lt;0,0,IF((M52-SUM(L37:L45))&gt;0,L45,M52-SUM(L37:L44)))</f>
        <v>0</v>
      </c>
      <c r="W64" s="145" t="str">
        <f t="shared" si="72"/>
        <v>Coal CCS</v>
      </c>
      <c r="X64" s="146">
        <f>IF(IF((N52-SUM(M37:M45))&gt;0,M45,N52-SUM(M37:M44))&lt;0,0,IF((N52-SUM(M37:M45))&gt;0,M45,N52-SUM(M37:M44)))</f>
        <v>0</v>
      </c>
      <c r="Y64" s="145" t="str">
        <f t="shared" si="73"/>
        <v>Coal CCS</v>
      </c>
      <c r="Z64" s="146">
        <f>IF(IF((O52-SUM(N37:N45))&gt;0,N45,O52-SUM(N37:N44))&lt;0,0,IF((O52-SUM(N37:N45))&gt;0,N45,O52-SUM(N37:N44)))</f>
        <v>0</v>
      </c>
      <c r="AA64" s="145" t="str">
        <f t="shared" si="74"/>
        <v>Coal CCS</v>
      </c>
      <c r="AB64" s="146">
        <f>IF(IF((P52-SUM(O37:O45))&gt;0,O45,P52-SUM(O37:O44))&lt;0,0,IF((P52-SUM(O37:O45))&gt;0,O45,P52-SUM(O37:O44)))</f>
        <v>0</v>
      </c>
      <c r="AC64" s="145" t="str">
        <f t="shared" si="75"/>
        <v>Coal CCS</v>
      </c>
      <c r="AD64" s="146">
        <f>IF(IF((Q52-SUM(P37:P45))&gt;0,P45,Q52-SUM(P37:P44))&lt;0,0,IF((Q52-SUM(P37:P45))&gt;0,P45,Q52-SUM(P37:P44)))</f>
        <v>0</v>
      </c>
      <c r="AE64" s="145" t="str">
        <f t="shared" si="76"/>
        <v>Coal CCS</v>
      </c>
      <c r="AF64" s="146">
        <f>IF(IF((R52-SUM(Q37:Q45))&gt;0,Q45,R52-SUM(Q37:Q44))&lt;0,0,IF((R52-SUM(Q37:Q45))&gt;0,Q45,R52-SUM(Q37:Q44)))</f>
        <v>0</v>
      </c>
      <c r="AG64" s="145" t="str">
        <f t="shared" si="77"/>
        <v>Coal CCS</v>
      </c>
      <c r="AH64" s="146">
        <f>IF(IF((S52-SUM(R37:R45))&gt;0,R45,S52-SUM(R37:R44))&lt;0,0,IF((S52-SUM(R37:R45))&gt;0,R45,S52-SUM(R37:R44)))</f>
        <v>0</v>
      </c>
      <c r="AI64" s="4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</row>
    <row r="65" spans="1:82">
      <c r="A65" s="4"/>
      <c r="B65" s="142">
        <v>10</v>
      </c>
      <c r="C65" s="145" t="str">
        <f t="shared" si="78"/>
        <v>Biomass</v>
      </c>
      <c r="D65" s="146">
        <f>IF(IF((D52-SUM(C37:C46))&gt;0,C46,D52-SUM(C37:C45))&lt;0,0,IF((D52-SUM(C37:C46))&gt;0,C46,D52-SUM(C37:C45)))</f>
        <v>0</v>
      </c>
      <c r="E65" s="145" t="str">
        <f t="shared" si="79"/>
        <v>Biomass</v>
      </c>
      <c r="F65" s="146">
        <f>IF(IF((E52-SUM(D37:D46))&gt;0,D46,E52-SUM(D37:D45))&lt;0,0,IF((E52-SUM(D37:D46))&gt;0,D46,E52-SUM(D37:D45)))</f>
        <v>0</v>
      </c>
      <c r="G65" s="145" t="str">
        <f>VLOOKUP(LARGE($E$5:$E$17,10),$E$5:$AI$17,31,FALSE)</f>
        <v>Biomass</v>
      </c>
      <c r="H65" s="146">
        <f>IF(IF((F52-SUM(E37:E46))&gt;0,E46,F52-SUM(E37:E45))&lt;0,0,IF((F52-SUM(E37:E46))&gt;0,E46,F52-SUM(E37:E45)))</f>
        <v>0</v>
      </c>
      <c r="I65" s="145" t="str">
        <f>VLOOKUP(LARGE($F$5:$F$17,10),$F$5:$AI$17,30,FALSE)</f>
        <v>Biomass</v>
      </c>
      <c r="J65" s="146">
        <f>IF(IF((G52-SUM(F37:F46))&gt;0,F46,G52-SUM(F37:F45))&lt;0,0,IF((G52-SUM(F37:F46))&gt;0,F46,G52-SUM(F37:F45)))</f>
        <v>0</v>
      </c>
      <c r="K65" s="145" t="str">
        <f t="shared" si="66"/>
        <v>Biomass</v>
      </c>
      <c r="L65" s="146">
        <f>IF(IF((H52-SUM(G37:G46))&gt;0,G46,H52-SUM(G37:G45))&lt;0,0,IF((H52-SUM(G37:G46))&gt;0,G46,H52-SUM(G37:G45)))</f>
        <v>0</v>
      </c>
      <c r="M65" s="145" t="str">
        <f t="shared" si="67"/>
        <v>Biomass</v>
      </c>
      <c r="N65" s="146">
        <f>IF(IF((I52-SUM(H37:H46))&gt;0,H46,I52-SUM(H37:H45))&lt;0,0,IF((I52-SUM(H37:H46))&gt;0,H46,I52-SUM(H37:H45)))</f>
        <v>0</v>
      </c>
      <c r="O65" s="145" t="str">
        <f t="shared" si="68"/>
        <v>Biomass</v>
      </c>
      <c r="P65" s="146">
        <f>IF(IF((J52-SUM(I37:I46))&gt;0,I46,J52-SUM(I37:I45))&lt;0,0,IF((J52-SUM(I37:I46))&gt;0,I46,J52-SUM(I37:I45)))</f>
        <v>0</v>
      </c>
      <c r="Q65" s="145" t="str">
        <f t="shared" si="69"/>
        <v>Biomass</v>
      </c>
      <c r="R65" s="146">
        <f>IF(IF((K52-SUM(J37:J46))&gt;0,J46,K52-SUM(J37:J45))&lt;0,0,IF((K52-SUM(J37:J46))&gt;0,J46,K52-SUM(J37:J45)))</f>
        <v>0</v>
      </c>
      <c r="S65" s="145" t="str">
        <f t="shared" si="70"/>
        <v>Biomass</v>
      </c>
      <c r="T65" s="146">
        <f>IF(IF((L52-SUM(K37:K46))&gt;0,K46,L52-SUM(K37:K45))&lt;0,0,IF((L52-SUM(K37:K46))&gt;0,K46,L52-SUM(K37:K45)))</f>
        <v>0</v>
      </c>
      <c r="U65" s="145" t="str">
        <f t="shared" si="71"/>
        <v>Biomass</v>
      </c>
      <c r="V65" s="146">
        <f>IF(IF((M52-SUM(L37:L46))&gt;0,L46,M52-SUM(L37:L45))&lt;0,0,IF((M52-SUM(L37:L46))&gt;0,L46,M52-SUM(L37:L45)))</f>
        <v>0</v>
      </c>
      <c r="W65" s="145" t="str">
        <f t="shared" si="72"/>
        <v>Biomass</v>
      </c>
      <c r="X65" s="146">
        <f>IF(IF((N52-SUM(M37:M46))&gt;0,M46,N52-SUM(M37:M45))&lt;0,0,IF((N52-SUM(M37:M46))&gt;0,M46,N52-SUM(M37:M45)))</f>
        <v>0</v>
      </c>
      <c r="Y65" s="145" t="str">
        <f t="shared" si="73"/>
        <v>Biomass</v>
      </c>
      <c r="Z65" s="146">
        <f>IF(IF((O52-SUM(N37:N46))&gt;0,N46,O52-SUM(N37:N45))&lt;0,0,IF((O52-SUM(N37:N46))&gt;0,N46,O52-SUM(N37:N45)))</f>
        <v>0</v>
      </c>
      <c r="AA65" s="145" t="str">
        <f t="shared" si="74"/>
        <v>Biomass</v>
      </c>
      <c r="AB65" s="146">
        <f>IF(IF((P52-SUM(O37:O46))&gt;0,O46,P52-SUM(O37:O45))&lt;0,0,IF((P52-SUM(O37:O46))&gt;0,O46,P52-SUM(O37:O45)))</f>
        <v>0</v>
      </c>
      <c r="AC65" s="145" t="str">
        <f t="shared" si="75"/>
        <v>Biomass</v>
      </c>
      <c r="AD65" s="146">
        <f>IF(IF((Q52-SUM(P37:P46))&gt;0,P46,Q52-SUM(P37:P45))&lt;0,0,IF((Q52-SUM(P37:P46))&gt;0,P46,Q52-SUM(P37:P45)))</f>
        <v>0</v>
      </c>
      <c r="AE65" s="145" t="str">
        <f t="shared" si="76"/>
        <v>Biomass</v>
      </c>
      <c r="AF65" s="146">
        <f>IF(IF((R52-SUM(Q37:Q46))&gt;0,Q46,R52-SUM(Q37:Q45))&lt;0,0,IF((R52-SUM(Q37:Q46))&gt;0,Q46,R52-SUM(Q37:Q45)))</f>
        <v>0</v>
      </c>
      <c r="AG65" s="145" t="str">
        <f t="shared" si="77"/>
        <v>Biomass</v>
      </c>
      <c r="AH65" s="146">
        <f>IF(IF((S52-SUM(R37:R46))&gt;0,R46,S52-SUM(R37:R45))&lt;0,0,IF((S52-SUM(R37:R46))&gt;0,R46,S52-SUM(R37:R45)))</f>
        <v>0</v>
      </c>
      <c r="AI65" s="4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</row>
    <row r="66" spans="1:82">
      <c r="A66" s="4"/>
      <c r="B66" s="142">
        <v>11</v>
      </c>
      <c r="C66" s="145" t="str">
        <f>VLOOKUP(LARGE($C$5:$C$17,B66),$C$5:$AI$17,33,FALSE)</f>
        <v xml:space="preserve">Coal </v>
      </c>
      <c r="D66" s="146">
        <f>IF(IF((D52-SUM(C37:C47))&gt;0,C47,D52-SUM(C37:C46))&lt;0,0,IF((D52-SUM(C37:C47))&gt;0,C47,D52-SUM(C37:C46)))</f>
        <v>0</v>
      </c>
      <c r="E66" s="145" t="str">
        <f t="shared" si="79"/>
        <v xml:space="preserve">Coal </v>
      </c>
      <c r="F66" s="146">
        <f>IF(IF((E52-SUM(D37:D47))&gt;0,D47,E52-SUM(D37:D46))&lt;0,0,IF((E52-SUM(D37:D47))&gt;0,D47,E52-SUM(D37:D46)))</f>
        <v>0</v>
      </c>
      <c r="G66" s="145" t="str">
        <f>VLOOKUP(LARGE($E$5:$E$17,11),$E$5:$AI$17,31,FALSE)</f>
        <v xml:space="preserve">Coal </v>
      </c>
      <c r="H66" s="146">
        <f>IF(IF((F52-SUM(E37:E47))&gt;0,E47,F52-SUM(E37:E46))&lt;0,0,IF((F52-SUM(E37:E47))&gt;0,E47,F52-SUM(E37:E46)))</f>
        <v>0</v>
      </c>
      <c r="I66" s="145" t="str">
        <f>VLOOKUP(LARGE($F$5:$F$17,11),$F$5:$AI$17,30,FALSE)</f>
        <v xml:space="preserve">Coal </v>
      </c>
      <c r="J66" s="146">
        <f>IF(IF((G52-SUM(F37:F47))&gt;0,F47,G52-SUM(F37:F46))&lt;0,0,IF((G52-SUM(F37:F47))&gt;0,F47,G52-SUM(F37:F46)))</f>
        <v>0</v>
      </c>
      <c r="K66" s="145" t="str">
        <f t="shared" si="66"/>
        <v xml:space="preserve">Coal </v>
      </c>
      <c r="L66" s="146">
        <f>IF(IF((H52-SUM(G37:G47))&gt;0,G47,H52-SUM(G37:G46))&lt;0,0,IF((H52-SUM(G37:G47))&gt;0,G47,H52-SUM(G37:G46)))</f>
        <v>0</v>
      </c>
      <c r="M66" s="145" t="str">
        <f t="shared" si="67"/>
        <v xml:space="preserve">Coal </v>
      </c>
      <c r="N66" s="146">
        <f>IF(IF((I52-SUM(H37:H47))&gt;0,H47,I52-SUM(H37:H46))&lt;0,0,IF((I52-SUM(H37:H47))&gt;0,H47,I52-SUM(H37:H46)))</f>
        <v>0</v>
      </c>
      <c r="O66" s="145" t="str">
        <f t="shared" si="68"/>
        <v xml:space="preserve">Coal </v>
      </c>
      <c r="P66" s="146">
        <f>IF(IF((J52-SUM(I37:I47))&gt;0,I47,J52-SUM(I37:I46))&lt;0,0,IF((J52-SUM(I37:I47))&gt;0,I47,J52-SUM(I37:I46)))</f>
        <v>0</v>
      </c>
      <c r="Q66" s="145" t="str">
        <f t="shared" si="69"/>
        <v xml:space="preserve">Coal </v>
      </c>
      <c r="R66" s="146">
        <f>IF(IF((K52-SUM(J37:J47))&gt;0,J47,K52-SUM(J37:J46))&lt;0,0,IF((K52-SUM(J37:J47))&gt;0,J47,K52-SUM(J37:J46)))</f>
        <v>0</v>
      </c>
      <c r="S66" s="145" t="str">
        <f t="shared" si="70"/>
        <v xml:space="preserve">Coal </v>
      </c>
      <c r="T66" s="146">
        <f>IF(IF((L52-SUM(K37:K47))&gt;0,K47,L52-SUM(K37:K46))&lt;0,0,IF((L52-SUM(K37:K47))&gt;0,K47,L52-SUM(K37:K46)))</f>
        <v>0</v>
      </c>
      <c r="U66" s="145" t="str">
        <f t="shared" si="71"/>
        <v xml:space="preserve">Coal </v>
      </c>
      <c r="V66" s="146">
        <f>IF(IF((M52-SUM(L37:L47))&gt;0,L47,M52-SUM(L37:L46))&lt;0,0,IF((M52-SUM(L37:L47))&gt;0,L47,M52-SUM(L37:L46)))</f>
        <v>0</v>
      </c>
      <c r="W66" s="145" t="str">
        <f t="shared" si="72"/>
        <v xml:space="preserve">Coal </v>
      </c>
      <c r="X66" s="146">
        <f>IF(IF((N52-SUM(M37:M47))&gt;0,M47,N52-SUM(M37:M46))&lt;0,0,IF((N52-SUM(M37:M47))&gt;0,M47,N52-SUM(M37:M46)))</f>
        <v>0</v>
      </c>
      <c r="Y66" s="145" t="str">
        <f t="shared" si="73"/>
        <v xml:space="preserve">Coal </v>
      </c>
      <c r="Z66" s="146">
        <f>IF(IF((O52-SUM(N37:N47))&gt;0,N47,O52-SUM(N37:N46))&lt;0,0,IF((O52-SUM(N37:N47))&gt;0,N47,O52-SUM(N37:N46)))</f>
        <v>0</v>
      </c>
      <c r="AA66" s="145" t="str">
        <f t="shared" si="74"/>
        <v xml:space="preserve">Coal </v>
      </c>
      <c r="AB66" s="146">
        <f>IF(IF((P52-SUM(O37:O47))&gt;0,O47,P52-SUM(O37:O46))&lt;0,0,IF((P52-SUM(O37:O47))&gt;0,O47,P52-SUM(O37:O46)))</f>
        <v>0</v>
      </c>
      <c r="AC66" s="145" t="str">
        <f t="shared" si="75"/>
        <v xml:space="preserve">Coal </v>
      </c>
      <c r="AD66" s="146">
        <f>IF(IF((Q52-SUM(P37:P47))&gt;0,P47,Q52-SUM(P37:P46))&lt;0,0,IF((Q52-SUM(P37:P47))&gt;0,P47,Q52-SUM(P37:P46)))</f>
        <v>0</v>
      </c>
      <c r="AE66" s="145" t="str">
        <f t="shared" si="76"/>
        <v xml:space="preserve">Coal </v>
      </c>
      <c r="AF66" s="146">
        <f>IF(IF((R52-SUM(Q37:Q47))&gt;0,Q47,R52-SUM(Q37:Q46))&lt;0,0,IF((R52-SUM(Q37:Q47))&gt;0,Q47,R52-SUM(Q37:Q46)))</f>
        <v>0</v>
      </c>
      <c r="AG66" s="145" t="str">
        <f t="shared" si="77"/>
        <v xml:space="preserve">Coal </v>
      </c>
      <c r="AH66" s="146">
        <f>IF(IF((S52-SUM(R37:R47))&gt;0,R47,S52-SUM(R37:R46))&lt;0,0,IF((S52-SUM(R37:R47))&gt;0,R47,S52-SUM(R37:R46)))</f>
        <v>0</v>
      </c>
      <c r="AI66" s="4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</row>
    <row r="67" spans="1:82">
      <c r="A67" s="4"/>
      <c r="B67" s="142">
        <v>12</v>
      </c>
      <c r="C67" s="145"/>
      <c r="D67" s="146" t="str">
        <f>IF(D52-SUM(C37:C47)&gt;0,"MORE","OK")</f>
        <v>OK</v>
      </c>
      <c r="E67" s="145"/>
      <c r="F67" s="146" t="str">
        <f>IF(E52-SUM(D37:D47)&gt;0,"MORE","OK")</f>
        <v>OK</v>
      </c>
      <c r="G67" s="4"/>
      <c r="H67" s="146" t="str">
        <f>IF(F52-SUM(E37:E47)&gt;0,"MORE","OK")</f>
        <v>OK</v>
      </c>
      <c r="I67" s="4"/>
      <c r="J67" s="146" t="str">
        <f>IF(G52-SUM(F37:F47)&gt;0,"MORE","OK")</f>
        <v>OK</v>
      </c>
      <c r="K67" s="4"/>
      <c r="L67" s="146" t="str">
        <f>IF(H52-SUM(G37:G47)&gt;0,"MORE","OK")</f>
        <v>OK</v>
      </c>
      <c r="M67" s="4"/>
      <c r="N67" s="146" t="str">
        <f>IF(I52-SUM(H37:H47)&gt;0,"MORE","OK")</f>
        <v>OK</v>
      </c>
      <c r="O67" s="4"/>
      <c r="P67" s="146" t="str">
        <f>IF(J52-SUM(I37:I47)&gt;0,"MORE","OK")</f>
        <v>OK</v>
      </c>
      <c r="Q67" s="4"/>
      <c r="R67" s="146" t="str">
        <f>IF(K52-SUM(J37:J47)&gt;0,"MORE","OK")</f>
        <v>OK</v>
      </c>
      <c r="S67" s="4"/>
      <c r="T67" s="146" t="str">
        <f>IF(L52-SUM(K37:K47)&gt;0,"MORE","OK")</f>
        <v>OK</v>
      </c>
      <c r="U67" s="4"/>
      <c r="V67" s="146" t="str">
        <f>IF(M52-SUM(L37:L47)&gt;0,"MORE","OK")</f>
        <v>OK</v>
      </c>
      <c r="W67" s="4"/>
      <c r="X67" s="146" t="str">
        <f>IF(N52-SUM(M37:M47)&gt;0,"MORE","OK")</f>
        <v>OK</v>
      </c>
      <c r="Y67" s="4"/>
      <c r="Z67" s="146" t="str">
        <f>IF(O52-SUM(N37:N47)&gt;0,"MORE","OK")</f>
        <v>OK</v>
      </c>
      <c r="AA67" s="4"/>
      <c r="AB67" s="146" t="str">
        <f>IF(P52-SUM(O37:O47)&gt;0,"MORE","OK")</f>
        <v>OK</v>
      </c>
      <c r="AC67" s="4"/>
      <c r="AD67" s="146" t="str">
        <f>IF(Q52-SUM(P37:P47)&gt;0,"MORE","OK")</f>
        <v>OK</v>
      </c>
      <c r="AE67" s="4"/>
      <c r="AF67" s="146" t="str">
        <f>IF(R52-SUM(Q37:Q47)&gt;0,"MORE","OK")</f>
        <v>OK</v>
      </c>
      <c r="AG67" s="4"/>
      <c r="AH67" s="146" t="str">
        <f>IF(S52-SUM(R37:R47)&gt;0,"MORE","OK")</f>
        <v>OK</v>
      </c>
      <c r="AI67" s="4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</row>
    <row r="68" spans="1:82">
      <c r="A68" s="4"/>
      <c r="B68" s="142">
        <v>13</v>
      </c>
      <c r="C68" s="145"/>
      <c r="D68" s="146">
        <f>SUM(D56:D66)</f>
        <v>495.43129139999928</v>
      </c>
      <c r="E68" s="146"/>
      <c r="F68" s="146">
        <f>SUM(F56:F66)</f>
        <v>91.214142000000265</v>
      </c>
      <c r="G68" s="146"/>
      <c r="H68" s="146">
        <f>SUM(H56:H66)</f>
        <v>236.50513459999999</v>
      </c>
      <c r="I68" s="146"/>
      <c r="J68" s="146">
        <f>SUM(J56:J66)</f>
        <v>173.54157588000044</v>
      </c>
      <c r="K68" s="146"/>
      <c r="L68" s="146">
        <f>SUM(L56:L66)</f>
        <v>203.9313907199994</v>
      </c>
      <c r="M68" s="146"/>
      <c r="N68" s="146">
        <f>SUM(N56:N66)</f>
        <v>178.03597520000039</v>
      </c>
      <c r="O68" s="146"/>
      <c r="P68" s="146">
        <f>SUM(P56:P66)</f>
        <v>175.59480260000055</v>
      </c>
      <c r="Q68" s="146"/>
      <c r="R68" s="146">
        <f>SUM(R56:R66)</f>
        <v>129.86447795999948</v>
      </c>
      <c r="S68" s="146"/>
      <c r="T68" s="146">
        <f t="shared" ref="T68:AH68" si="80">SUM(T56:T66)</f>
        <v>73.607054479999533</v>
      </c>
      <c r="U68" s="146">
        <f t="shared" si="80"/>
        <v>0</v>
      </c>
      <c r="V68" s="146">
        <f t="shared" si="80"/>
        <v>61.529181080000399</v>
      </c>
      <c r="W68" s="146">
        <f t="shared" si="80"/>
        <v>0</v>
      </c>
      <c r="X68" s="146">
        <f t="shared" si="80"/>
        <v>57.696809999999914</v>
      </c>
      <c r="Y68" s="146">
        <f t="shared" si="80"/>
        <v>0</v>
      </c>
      <c r="Z68" s="146">
        <f t="shared" si="80"/>
        <v>57.389692600000217</v>
      </c>
      <c r="AA68" s="146">
        <f t="shared" si="80"/>
        <v>0</v>
      </c>
      <c r="AB68" s="146">
        <f t="shared" si="80"/>
        <v>57.647715040000548</v>
      </c>
      <c r="AC68" s="146">
        <f t="shared" si="80"/>
        <v>0</v>
      </c>
      <c r="AD68" s="146">
        <f t="shared" si="80"/>
        <v>87.540188599999965</v>
      </c>
      <c r="AE68" s="146">
        <f t="shared" si="80"/>
        <v>0</v>
      </c>
      <c r="AF68" s="146">
        <f t="shared" si="80"/>
        <v>29.55348339999955</v>
      </c>
      <c r="AG68" s="146">
        <f t="shared" si="80"/>
        <v>0</v>
      </c>
      <c r="AH68" s="146">
        <f t="shared" si="80"/>
        <v>56.106887279999683</v>
      </c>
      <c r="AI68" s="4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</row>
    <row r="69" spans="1:82">
      <c r="A69" s="4"/>
      <c r="B69" s="142" t="s">
        <v>152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</row>
    <row r="70" spans="1:8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</row>
    <row r="71" spans="1:8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</row>
    <row r="72" spans="1:82">
      <c r="A72" s="4"/>
      <c r="B72" s="142" t="s">
        <v>172</v>
      </c>
      <c r="C72" s="142">
        <v>2035</v>
      </c>
      <c r="D72" s="142">
        <v>2035</v>
      </c>
      <c r="E72" s="142">
        <v>2036</v>
      </c>
      <c r="F72" s="142">
        <v>2036</v>
      </c>
      <c r="G72" s="142">
        <v>2037</v>
      </c>
      <c r="H72" s="142">
        <v>2037</v>
      </c>
      <c r="I72" s="142">
        <v>2038</v>
      </c>
      <c r="J72" s="142">
        <v>2038</v>
      </c>
      <c r="K72" s="142">
        <v>2039</v>
      </c>
      <c r="L72" s="142">
        <v>2039</v>
      </c>
      <c r="M72" s="142">
        <v>2040</v>
      </c>
      <c r="N72" s="142">
        <v>2040</v>
      </c>
      <c r="O72" s="142">
        <v>2041</v>
      </c>
      <c r="P72" s="142">
        <v>2041</v>
      </c>
      <c r="Q72" s="142">
        <v>2042</v>
      </c>
      <c r="R72" s="142">
        <v>2042</v>
      </c>
      <c r="S72" s="142">
        <v>2043</v>
      </c>
      <c r="T72" s="142">
        <v>2043</v>
      </c>
      <c r="U72" s="142">
        <v>2044</v>
      </c>
      <c r="V72" s="142">
        <v>2044</v>
      </c>
      <c r="W72" s="142">
        <v>2045</v>
      </c>
      <c r="X72" s="142">
        <v>2045</v>
      </c>
      <c r="Y72" s="142">
        <v>2046</v>
      </c>
      <c r="Z72" s="142">
        <v>2046</v>
      </c>
      <c r="AA72" s="142">
        <v>2047</v>
      </c>
      <c r="AB72" s="142">
        <v>2047</v>
      </c>
      <c r="AC72" s="142">
        <v>2048</v>
      </c>
      <c r="AD72" s="142">
        <v>2048</v>
      </c>
      <c r="AE72" s="142">
        <v>2049</v>
      </c>
      <c r="AF72" s="142">
        <v>2049</v>
      </c>
      <c r="AG72" s="142">
        <v>2050</v>
      </c>
      <c r="AH72" s="142">
        <v>2050</v>
      </c>
      <c r="AI72" s="4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</row>
    <row r="73" spans="1:82">
      <c r="A73" s="4"/>
      <c r="B73" s="142">
        <v>1</v>
      </c>
      <c r="C73" s="145" t="str">
        <f t="shared" ref="C73:C83" si="81">VLOOKUP(LARGE($S$5:$S$17,B56),$S$5:$AI$17,17,FALSE)</f>
        <v>Wind On</v>
      </c>
      <c r="D73" s="146">
        <f>IF(IF((T52-S37)&gt;0,S37,T52)&lt;0,0,IF((T52-S37)&gt;0,S37,T52))</f>
        <v>0</v>
      </c>
      <c r="E73" s="145" t="str">
        <f t="shared" ref="E73:E83" si="82">VLOOKUP(LARGE($T$5:$T$17,B56),$T$5:$AI$17,16,FALSE)</f>
        <v>Wind On</v>
      </c>
      <c r="F73" s="146">
        <f>IF(IF((U52-T37)&gt;0,T37,U52)&lt;0,0,IF((U52-T37)&gt;0,T37,U52))</f>
        <v>0</v>
      </c>
      <c r="G73" s="145" t="str">
        <f t="shared" ref="G73:G83" si="83">VLOOKUP(LARGE($U$5:$U$17,B56),$U$5:$AI$17,15,FALSE)</f>
        <v>Wind On</v>
      </c>
      <c r="H73" s="146">
        <f>IF(IF((V52-U37)&gt;0,U37,V52)&lt;0,0,IF((V52-U37)&gt;0,U37,V52))</f>
        <v>0</v>
      </c>
      <c r="I73" s="145" t="str">
        <f t="shared" ref="I73:I83" si="84">VLOOKUP(LARGE($V$5:$V$17,B56),$V$5:$AI$17,14,FALSE)</f>
        <v>Wind On</v>
      </c>
      <c r="J73" s="146">
        <f>IF(IF((W52-V37)&gt;0,V37,W52)&lt;0,0,IF((W52-V37)&gt;0,V37,W52))</f>
        <v>0</v>
      </c>
      <c r="K73" s="145" t="str">
        <f t="shared" ref="K73:K83" si="85">VLOOKUP(LARGE($W$5:$W$17,B56),$W$5:$AI$17,13,FALSE)</f>
        <v>Wind On</v>
      </c>
      <c r="L73" s="146">
        <f>IF(IF((X52-W37)&gt;0,W37,X52)&lt;0,0,IF((X52-W37)&gt;0,W37,X52))</f>
        <v>0</v>
      </c>
      <c r="M73" s="145" t="str">
        <f t="shared" ref="M73:M83" si="86">VLOOKUP(LARGE($X$5:$X$17,B56),$X$5:$AI$17,12,FALSE)</f>
        <v>Wind On</v>
      </c>
      <c r="N73" s="146">
        <f>IF(IF((Y52-X37)&gt;0,X37,Y52)&lt;0,0,IF((Y52-X37)&gt;0,X37,Y52))</f>
        <v>0</v>
      </c>
      <c r="O73" s="145" t="str">
        <f t="shared" ref="O73:O83" si="87">VLOOKUP(LARGE($Y$5:$Y$17,B56),$Y$5:$AI$17,11,FALSE)</f>
        <v>Wind On</v>
      </c>
      <c r="P73" s="146">
        <f>IF(IF((Z52-Y37)&gt;0,Y37,Z52)&lt;0,0,IF((Z52-Y37)&gt;0,Y37,Z52))</f>
        <v>0</v>
      </c>
      <c r="Q73" s="145" t="str">
        <f t="shared" ref="Q73:Q83" si="88">VLOOKUP(LARGE($Z$5:$Z$17,B56),$Z$5:$AI$17,10,FALSE)</f>
        <v>Wind On</v>
      </c>
      <c r="R73" s="146">
        <f>IF(IF((AA52-Z37)&gt;0,Z37,AA52)&lt;0,0,IF((AA52-Z37)&gt;0,Z37,AA52))</f>
        <v>0</v>
      </c>
      <c r="S73" s="145" t="str">
        <f t="shared" ref="S73:S83" si="89">VLOOKUP(LARGE($AA$5:$AA$17,B56),$AA$5:$AI$17,9,FALSE)</f>
        <v>Wind On</v>
      </c>
      <c r="T73" s="146">
        <f>IF(IF((AB52-AA37)&gt;0,AA37,AB52)&lt;0,0,IF((AB52-AA37)&gt;0,AA37,AB52))</f>
        <v>0</v>
      </c>
      <c r="U73" s="145" t="str">
        <f t="shared" ref="U73:U83" si="90">VLOOKUP(LARGE($AB$5:$AB$17,B56),$AB$5:$AI$17,8,FALSE)</f>
        <v>Wind On</v>
      </c>
      <c r="V73" s="146">
        <f>IF(IF((AC52-AB37)&gt;0,AB37,AC52)&lt;0,0,IF((AC52-AB37)&gt;0,AB37,AC52))</f>
        <v>0</v>
      </c>
      <c r="W73" s="145" t="str">
        <f t="shared" ref="W73:W83" si="91">VLOOKUP(LARGE($AC$5:$AC$17,B56),$AC$5:$AI$17,7,FALSE)</f>
        <v>Wind On</v>
      </c>
      <c r="X73" s="146">
        <f>IF(IF((AD52-AC37)&gt;0,AC37,AD52)&lt;0,0,IF((AD52-AC37)&gt;0,AC37,AD52))</f>
        <v>0</v>
      </c>
      <c r="Y73" s="145" t="str">
        <f t="shared" ref="Y73:Y83" si="92">VLOOKUP(LARGE($AD$5:$AD$17,B56),$AD$5:$AI$17,6,FALSE)</f>
        <v>Wind On</v>
      </c>
      <c r="Z73" s="146">
        <f>IF(IF((AE52-AD37)&gt;0,AD37,AE52)&lt;0,0,IF((AE52-AD37)&gt;0,AD37,AE52))</f>
        <v>0</v>
      </c>
      <c r="AA73" s="145" t="str">
        <f t="shared" ref="AA73:AA83" si="93">VLOOKUP(LARGE($AE$5:$AE$17,B56),$AE$5:$AI$17,5,FALSE)</f>
        <v>Wind On</v>
      </c>
      <c r="AB73" s="146">
        <f>IF(IF((AF52-AE37)&gt;0,AE37,AF52)&lt;0,0,IF((AF52-AE37)&gt;0,AE37,AF52))</f>
        <v>0</v>
      </c>
      <c r="AC73" s="145" t="str">
        <f t="shared" ref="AC73:AC83" si="94">VLOOKUP(LARGE($AF$5:$AF$17,B56),$AF$5:$AI$17,4,FALSE)</f>
        <v>Wind On</v>
      </c>
      <c r="AD73" s="146">
        <f>IF(IF((AG52-AF37)&gt;0,AF37,AG52)&lt;0,0,IF((AG52-AF37)&gt;0,AF37,AG52))</f>
        <v>0</v>
      </c>
      <c r="AE73" s="145" t="str">
        <f t="shared" ref="AE73:AE83" si="95">VLOOKUP(LARGE($AG$5:$AG$17,B56),$AG$5:$AI$17,3,FALSE)</f>
        <v>Wind On</v>
      </c>
      <c r="AF73" s="146">
        <f>IF(IF((AH52-AG37)&gt;0,AG37,AH52)&lt;0,0,IF((AH52-AG37)&gt;0,AG37,AH52))</f>
        <v>0</v>
      </c>
      <c r="AG73" s="145" t="str">
        <f t="shared" ref="AG73:AG83" si="96">VLOOKUP(LARGE($AH$5:$AH$17,B56),$AH$5:$AI$17,2,FALSE)</f>
        <v>Wind On</v>
      </c>
      <c r="AH73" s="146">
        <f>IF(IF((AI52-AH37)&gt;0,AH37,AI52)&lt;0,0,IF((AI52-AH37)&gt;0,AH37,AI52))</f>
        <v>0</v>
      </c>
      <c r="AI73" s="4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</row>
    <row r="74" spans="1:82">
      <c r="A74" s="4"/>
      <c r="B74" s="142">
        <v>2</v>
      </c>
      <c r="C74" s="145" t="str">
        <f t="shared" si="81"/>
        <v>Solar PV</v>
      </c>
      <c r="D74" s="146">
        <f>IF(IF((T52-S38-S37)&gt;0,S38,T52-S37)&lt;0,0,IF((T52-S38-S37)&gt;0,S38,T52-S37))</f>
        <v>0</v>
      </c>
      <c r="E74" s="145" t="str">
        <f t="shared" si="82"/>
        <v>Solar PV</v>
      </c>
      <c r="F74" s="146">
        <f>IF(IF((U52-T38-T37)&gt;0,T38,U52-T37)&lt;0,0,IF((U52-T38-T37)&gt;0,T38,U52-T37))</f>
        <v>0</v>
      </c>
      <c r="G74" s="145" t="str">
        <f t="shared" si="83"/>
        <v>Solar PV</v>
      </c>
      <c r="H74" s="146">
        <f>IF(IF((V52-U38-U37)&gt;0,U38,V52-U37)&lt;0,0,IF((V52-U38-U37)&gt;0,U38,V52-U37))</f>
        <v>0</v>
      </c>
      <c r="I74" s="145" t="str">
        <f t="shared" si="84"/>
        <v>Solar PV</v>
      </c>
      <c r="J74" s="146">
        <f>IF(IF((W52-V38-V37)&gt;0,V38,W52-V37)&lt;0,0,IF((W52-V38-V37)&gt;0,V38,W52-V37))</f>
        <v>0</v>
      </c>
      <c r="K74" s="145" t="str">
        <f t="shared" si="85"/>
        <v>Solar PV</v>
      </c>
      <c r="L74" s="146">
        <f>IF(IF((X52-W38-W37)&gt;0,W38,X52-W37)&lt;0,0,IF((X52-W38-W37)&gt;0,W38,X52-W37))</f>
        <v>0</v>
      </c>
      <c r="M74" s="145" t="str">
        <f t="shared" si="86"/>
        <v>Solar PV</v>
      </c>
      <c r="N74" s="146">
        <f>IF(IF((Y52-X38-X37)&gt;0,X38,Y52-X37)&lt;0,0,IF((Y52-X38-X37)&gt;0,X38,Y52-X37))</f>
        <v>0</v>
      </c>
      <c r="O74" s="145" t="str">
        <f t="shared" si="87"/>
        <v>Solar PV</v>
      </c>
      <c r="P74" s="146">
        <f>IF(IF((Z52-Y38-Y37)&gt;0,Y38,Z52-Y37)&lt;0,0,IF((Z52-Y38-Y37)&gt;0,Y38,Z52-Y37))</f>
        <v>0</v>
      </c>
      <c r="Q74" s="145" t="str">
        <f t="shared" si="88"/>
        <v>Solar PV</v>
      </c>
      <c r="R74" s="146">
        <f>IF(IF((AA52-Z38-Z37)&gt;0,Z38,AA52-Z37)&lt;0,0,IF((AA52-Z38-Z37)&gt;0,Z38,AA52-Z37))</f>
        <v>0</v>
      </c>
      <c r="S74" s="145" t="str">
        <f t="shared" si="89"/>
        <v>Solar PV</v>
      </c>
      <c r="T74" s="146">
        <f>IF(IF((AB52-AA38-AA37)&gt;0,AA38,AB52-AA37)&lt;0,0,IF((AB52-AA38-AA37)&gt;0,AA38,AB52-AA37))</f>
        <v>0</v>
      </c>
      <c r="U74" s="145" t="str">
        <f t="shared" si="90"/>
        <v>Solar PV</v>
      </c>
      <c r="V74" s="146">
        <f>IF(IF((AC52-AB38-AB37)&gt;0,AB38,AC52-AB37)&lt;0,0,IF((AC52-AB38-AB37)&gt;0,AB38,AC52-AB37))</f>
        <v>0</v>
      </c>
      <c r="W74" s="145" t="str">
        <f t="shared" si="91"/>
        <v>Solar PV</v>
      </c>
      <c r="X74" s="146">
        <f>IF(IF((AD52-AC38-AC37)&gt;0,AC38,AD52-AC37)&lt;0,0,IF((AD52-AC38-AC37)&gt;0,AC38,AD52-AC37))</f>
        <v>0</v>
      </c>
      <c r="Y74" s="145" t="str">
        <f t="shared" si="92"/>
        <v>Solar PV</v>
      </c>
      <c r="Z74" s="146">
        <f>IF(IF((AE52-AD38-AD37)&gt;0,AD38,AE52-AD37)&lt;0,0,IF((AE52-AD38-AD37)&gt;0,AD38,AE52-AD37))</f>
        <v>0</v>
      </c>
      <c r="AA74" s="145" t="str">
        <f t="shared" si="93"/>
        <v>Solar PV</v>
      </c>
      <c r="AB74" s="146">
        <f>IF(IF((AF52-AE38-AE37)&gt;0,AE38,AF52-AE37)&lt;0,0,IF((AF52-AE38-AE37)&gt;0,AE38,AF52-AE37))</f>
        <v>0</v>
      </c>
      <c r="AC74" s="145" t="str">
        <f t="shared" si="94"/>
        <v>Solar PV</v>
      </c>
      <c r="AD74" s="146">
        <f>IF(IF((AG52-AF38-AF37)&gt;0,AF38,AG52-AF37)&lt;0,0,IF((AG52-AF38-AF37)&gt;0,AF38,AG52-AF37))</f>
        <v>0</v>
      </c>
      <c r="AE74" s="145" t="str">
        <f t="shared" si="95"/>
        <v>Solar PV</v>
      </c>
      <c r="AF74" s="146">
        <f>IF(IF((AH52-AG38-AG37)&gt;0,AG38,AH52-AG37)&lt;0,0,IF((AH52-AG38-AG37)&gt;0,AG38,AH52-AG37))</f>
        <v>0</v>
      </c>
      <c r="AG74" s="145" t="str">
        <f t="shared" si="96"/>
        <v>Solar PV</v>
      </c>
      <c r="AH74" s="146">
        <f>IF(IF((AI52-AH38-AH37)&gt;0,AH38,AI52-AH37)&lt;0,0,IF((AI52-AH38-AH37)&gt;0,AH38,AI52-AH37))</f>
        <v>0</v>
      </c>
      <c r="AI74" s="4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</row>
    <row r="75" spans="1:82">
      <c r="A75" s="4"/>
      <c r="B75" s="142">
        <v>3</v>
      </c>
      <c r="C75" s="145" t="str">
        <f t="shared" si="81"/>
        <v>Wind Off</v>
      </c>
      <c r="D75" s="146">
        <f>IF(IF((T52-S37-S38-S39)&gt;0,S39,T52-S38-S37)&lt;0,0,IF((T52-S37-S38-S39)&gt;0,S39,T52-S38-S37))</f>
        <v>0</v>
      </c>
      <c r="E75" s="145" t="str">
        <f t="shared" si="82"/>
        <v>Wind Off</v>
      </c>
      <c r="F75" s="146">
        <f>IF(IF((U52-T37-T38-T39)&gt;0,T39,U52-T38-T37)&lt;0,0,IF((U52-T37-T38-T39)&gt;0,T39,U52-T38-T37))</f>
        <v>0</v>
      </c>
      <c r="G75" s="145" t="str">
        <f t="shared" si="83"/>
        <v>Wind Off</v>
      </c>
      <c r="H75" s="146">
        <f>IF(IF((V52-U37-U38-U39)&gt;0,U39,V52-U38-U37)&lt;0,0,IF((V52-U37-U38-U39)&gt;0,U39,V52-U38-U37))</f>
        <v>0</v>
      </c>
      <c r="I75" s="145" t="str">
        <f t="shared" si="84"/>
        <v>Wind Off</v>
      </c>
      <c r="J75" s="146">
        <f>IF(IF((W52-V37-V38-V39)&gt;0,V39,W52-V38-V37)&lt;0,0,IF((W52-V37-V38-V39)&gt;0,V39,W52-V38-V37))</f>
        <v>0</v>
      </c>
      <c r="K75" s="145" t="str">
        <f t="shared" si="85"/>
        <v>Wind Off</v>
      </c>
      <c r="L75" s="146">
        <f>IF(IF((X52-W37-W38-W39)&gt;0,W39,X52-W38-W37)&lt;0,0,IF((X52-W37-W38-W39)&gt;0,W39,X52-W38-W37))</f>
        <v>0</v>
      </c>
      <c r="M75" s="145" t="str">
        <f t="shared" si="86"/>
        <v>Wind Off</v>
      </c>
      <c r="N75" s="146">
        <f>IF(IF((Y52-X37-X38-X39)&gt;0,X39,Y52-X38-X37)&lt;0,0,IF((Y52-X37-X38-X39)&gt;0,X39,Y52-X38-X37))</f>
        <v>0</v>
      </c>
      <c r="O75" s="145" t="str">
        <f t="shared" si="87"/>
        <v>Wind Off</v>
      </c>
      <c r="P75" s="146">
        <f>IF(IF((Z52-Y37-Y38-Y39)&gt;0,Y39,Z52-Y38-Y37)&lt;0,0,IF((Z52-Y37-Y38-Y39)&gt;0,Y39,Z52-Y38-Y37))</f>
        <v>0</v>
      </c>
      <c r="Q75" s="145" t="str">
        <f t="shared" si="88"/>
        <v>Wind Off</v>
      </c>
      <c r="R75" s="146">
        <f>IF(IF((AA52-Z37-Z38-Z39)&gt;0,Z39,AA52-Z38-Z37)&lt;0,0,IF((AA52-Z37-Z38-Z39)&gt;0,Z39,AA52-Z38-Z37))</f>
        <v>0</v>
      </c>
      <c r="S75" s="145" t="str">
        <f t="shared" si="89"/>
        <v>Wind Off</v>
      </c>
      <c r="T75" s="146">
        <f>IF(IF((AB52-AA37-AA38-AA39)&gt;0,AA39,AB52-AA38-AA37)&lt;0,0,IF((AB52-AA37-AA38-AA39)&gt;0,AA39,AB52-AA38-AA37))</f>
        <v>0</v>
      </c>
      <c r="U75" s="145" t="str">
        <f t="shared" si="90"/>
        <v>Wind Off</v>
      </c>
      <c r="V75" s="146">
        <f>IF(IF((AC52-AB37-AB38-AB39)&gt;0,AB39,AC52-AB38-AB37)&lt;0,0,IF((AC52-AB37-AB38-AB39)&gt;0,AB39,AC52-AB38-AB37))</f>
        <v>0</v>
      </c>
      <c r="W75" s="145" t="str">
        <f t="shared" si="91"/>
        <v>Wind Off</v>
      </c>
      <c r="X75" s="146">
        <f>IF(IF((AD52-AC37-AC38-AC39)&gt;0,AC39,AD52-AC38-AC37)&lt;0,0,IF((AD52-AC37-AC38-AC39)&gt;0,AC39,AD52-AC38-AC37))</f>
        <v>0</v>
      </c>
      <c r="Y75" s="145" t="str">
        <f t="shared" si="92"/>
        <v>Wind Off</v>
      </c>
      <c r="Z75" s="146">
        <f>IF(IF((AE52-AD37-AD38-AD39)&gt;0,AD39,AE52-AD38-AD37)&lt;0,0,IF((AE52-AD37-AD38-AD39)&gt;0,AD39,AE52-AD38-AD37))</f>
        <v>0</v>
      </c>
      <c r="AA75" s="145" t="str">
        <f t="shared" si="93"/>
        <v>Wind Off</v>
      </c>
      <c r="AB75" s="146">
        <f>IF(IF((AF52-AE37-AE38-AE39)&gt;0,AE39,AF52-AE38-AE37)&lt;0,0,IF((AF52-AE37-AE38-AE39)&gt;0,AE39,AF52-AE38-AE37))</f>
        <v>0</v>
      </c>
      <c r="AC75" s="145" t="str">
        <f t="shared" si="94"/>
        <v>Wind Off</v>
      </c>
      <c r="AD75" s="146">
        <f>IF(IF((AG52-AF37-AF38-AF39)&gt;0,AF39,AG52-AF38-AF37)&lt;0,0,IF((AG52-AF37-AF38-AF39)&gt;0,AF39,AG52-AF38-AF37))</f>
        <v>0</v>
      </c>
      <c r="AE75" s="145" t="str">
        <f t="shared" si="95"/>
        <v>Wind Off</v>
      </c>
      <c r="AF75" s="146">
        <f>IF(IF((AH52-AG37-AG38-AG39)&gt;0,AG39,AH52-AG38-AG37)&lt;0,0,IF((AH52-AG37-AG38-AG39)&gt;0,AG39,AH52-AG38-AG37))</f>
        <v>0</v>
      </c>
      <c r="AG75" s="145" t="str">
        <f t="shared" si="96"/>
        <v>Wind Off</v>
      </c>
      <c r="AH75" s="146">
        <f>IF(IF((AI52-AH37-AH38-AH39)&gt;0,AH39,AI52-AH38-AH37)&lt;0,0,IF((AI52-AH37-AH38-AH39)&gt;0,AH39,AI52-AH38-AH37))</f>
        <v>0</v>
      </c>
      <c r="AI75" s="4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</row>
    <row r="76" spans="1:82">
      <c r="A76" s="4"/>
      <c r="B76" s="142">
        <v>4</v>
      </c>
      <c r="C76" s="145" t="str">
        <f t="shared" si="81"/>
        <v xml:space="preserve">Hydro </v>
      </c>
      <c r="D76" s="146">
        <f>IF(IF((T52-S37-S38-S39-S40)&gt;0,S40,T52-S37-S38-S39)&lt;0,0,IF((T52-S37-S38-S39-S40)&gt;0,S40,T52-S37-S38-S39))</f>
        <v>38.064160000000356</v>
      </c>
      <c r="E76" s="145" t="str">
        <f t="shared" si="82"/>
        <v xml:space="preserve">Hydro </v>
      </c>
      <c r="F76" s="146">
        <f>IF(IF((U52-T37-T38-T39-T40)&gt;0,T40,U52-T37-T38-T39)&lt;0,0,IF((U52-T37-T38-T39-T40)&gt;0,T40,U52-T37-T38-T39))</f>
        <v>30.399783240000033</v>
      </c>
      <c r="G76" s="145" t="str">
        <f t="shared" si="83"/>
        <v xml:space="preserve">Hydro </v>
      </c>
      <c r="H76" s="146">
        <f>IF(IF((V52-U37-U38-U39-U40)&gt;0,U40,V52-U37-U38-U39)&lt;0,0,IF((V52-U37-U38-U39-U40)&gt;0,U40,V52-U37-U38-U39))</f>
        <v>34.986161079999874</v>
      </c>
      <c r="I76" s="145" t="str">
        <f t="shared" si="84"/>
        <v xml:space="preserve">Hydro </v>
      </c>
      <c r="J76" s="146">
        <f>IF(IF((W52-V37-V38-V39-V40)&gt;0,V40,W52-V37-V38-V39)&lt;0,0,IF((W52-V37-V38-V39-V40)&gt;0,V40,W52-V37-V38-V39))</f>
        <v>38.589882680000301</v>
      </c>
      <c r="K76" s="145" t="str">
        <f t="shared" si="85"/>
        <v xml:space="preserve">Hydro </v>
      </c>
      <c r="L76" s="146">
        <f>IF(IF((X52-W37-W38-W39-W40)&gt;0,W40,X52-W37-W38-W39)&lt;0,0,IF((X52-W37-W38-W39-W40)&gt;0,W40,X52-W37-W38-W39))</f>
        <v>25.718942519999928</v>
      </c>
      <c r="M76" s="145" t="str">
        <f t="shared" si="86"/>
        <v xml:space="preserve">Hydro </v>
      </c>
      <c r="N76" s="146">
        <f>IF(IF((Y52-X37-X38-X39-X40)&gt;0,X40,Y52-X37-X38-X39)&lt;0,0,IF((Y52-X37-X38-X39-X40)&gt;0,X40,Y52-X37-X38-X39))</f>
        <v>23.880023520000123</v>
      </c>
      <c r="O76" s="145" t="str">
        <f t="shared" si="87"/>
        <v xml:space="preserve">Hydro </v>
      </c>
      <c r="P76" s="146">
        <f>IF(IF((Z52-Y37-Y38-Y39-Y40)&gt;0,Y40,Z52-Y37-Y38-Y39)&lt;0,0,IF((Z52-Y37-Y38-Y39-Y40)&gt;0,Y40,Z52-Y37-Y38-Y39))</f>
        <v>46.021115839999766</v>
      </c>
      <c r="Q76" s="145" t="str">
        <f t="shared" si="88"/>
        <v xml:space="preserve">Hydro </v>
      </c>
      <c r="R76" s="146">
        <f>IF(IF((AA52-Z37-Z38-Z39-Z40)&gt;0,Z40,AA52-Z37-Z38-Z39)&lt;0,0,IF((AA52-Z37-Z38-Z39-Z40)&gt;0,Z40,AA52-Z37-Z38-Z39))</f>
        <v>30.003085600000304</v>
      </c>
      <c r="S76" s="145" t="str">
        <f t="shared" si="89"/>
        <v xml:space="preserve">Hydro </v>
      </c>
      <c r="T76" s="146">
        <f>IF(IF((AB52-AA37-AA38-AA39-AA40)&gt;0,AA40,AB52-AA37-AA38-AA39)&lt;0,0,IF((AB52-AA37-AA38-AA39-AA40)&gt;0,AA40,AB52-AA37-AA38-AA39))</f>
        <v>42.29556495999941</v>
      </c>
      <c r="U76" s="145" t="str">
        <f t="shared" si="90"/>
        <v xml:space="preserve">Hydro </v>
      </c>
      <c r="V76" s="146">
        <f>IF(IF((AC52-AB37-AB38-AB39-AB40)&gt;0,AB40,AC52-AB37-AB38-AB39)&lt;0,0,IF((AC52-AB37-AB38-AB39-AB40)&gt;0,AB40,AC52-AB37-AB38-AB39))</f>
        <v>20.780273999999736</v>
      </c>
      <c r="W76" s="145" t="str">
        <f t="shared" si="91"/>
        <v xml:space="preserve">Hydro </v>
      </c>
      <c r="X76" s="146">
        <f>IF(IF((AD52-AC37-AC38-AC39-AC40)&gt;0,AC40,AD52-AC37-AC38-AC39)&lt;0,0,IF((AD52-AC37-AC38-AC39-AC40)&gt;0,AC40,AD52-AC37-AC38-AC39))</f>
        <v>24.933124680000674</v>
      </c>
      <c r="Y76" s="145" t="str">
        <f t="shared" si="92"/>
        <v xml:space="preserve">Hydro </v>
      </c>
      <c r="Z76" s="146">
        <f>IF(IF((AE52-AD37-AD38-AD39-AD40)&gt;0,AD40,AE52-AD37-AD38-AD39)&lt;0,0,IF((AE52-AD37-AD38-AD39-AD40)&gt;0,AD40,AE52-AD37-AD38-AD39))</f>
        <v>24.813352999999552</v>
      </c>
      <c r="AA76" s="145" t="str">
        <f t="shared" si="93"/>
        <v xml:space="preserve">Hydro </v>
      </c>
      <c r="AB76" s="146">
        <f>IF(IF((AF52-AE37-AE38-AE39-AE40)&gt;0,AE40,AF52-AE37-AE38-AE39)&lt;0,0,IF((AF52-AE37-AE38-AE39-AE40)&gt;0,AE40,AF52-AE37-AE38-AE39))</f>
        <v>25.665030560000105</v>
      </c>
      <c r="AC76" s="145" t="str">
        <f t="shared" si="94"/>
        <v xml:space="preserve">Hydro </v>
      </c>
      <c r="AD76" s="146">
        <f>IF(IF((AG52-AF37-AF38-AF39-AF40)&gt;0,AF40,AG52-AF37-AF38-AF39)&lt;0,0,IF((AG52-AF37-AF38-AF39-AF40)&gt;0,AF40,AG52-AF37-AF38-AF39))</f>
        <v>18.818847999999889</v>
      </c>
      <c r="AE76" s="145" t="str">
        <f t="shared" si="95"/>
        <v xml:space="preserve">Hydro </v>
      </c>
      <c r="AF76" s="146">
        <f>IF(IF((AH52-AG37-AG38-AG39-AG40)&gt;0,AG40,AH52-AG37-AG38-AG39)&lt;0,0,IF((AH52-AG37-AG38-AG39-AG40)&gt;0,AG40,AH52-AG37-AG38-AG39))</f>
        <v>18.361327999999958</v>
      </c>
      <c r="AG76" s="145" t="str">
        <f t="shared" si="96"/>
        <v xml:space="preserve">Hydro </v>
      </c>
      <c r="AH76" s="146">
        <f>IF(IF((AI52-AH37-AH38-AH39-AH40)&gt;0,AH40,AI52-AH37-AH38-AH39)&lt;0,0,IF((AI52-AH37-AH38-AH39-AH40)&gt;0,AH40,AI52-AH37-AH38-AH39))</f>
        <v>17.945547040000292</v>
      </c>
      <c r="AI76" s="4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</row>
    <row r="77" spans="1:82">
      <c r="A77" s="4"/>
      <c r="B77" s="142">
        <v>5</v>
      </c>
      <c r="C77" s="145" t="str">
        <f t="shared" si="81"/>
        <v>Solar CSP</v>
      </c>
      <c r="D77" s="146">
        <f>IF(IF((T52-S37-S38-S39-S40-S41)&gt;0,S41,T52-S37-S38-S39-S40)&lt;0,0,IF((T52-S37-S38-S39-S40-S41)&gt;0,S41,T52-S37-S38-S39-S40))</f>
        <v>0</v>
      </c>
      <c r="E77" s="145" t="str">
        <f t="shared" si="82"/>
        <v>Solar CSP</v>
      </c>
      <c r="F77" s="146">
        <f>IF(IF((U52-T37-T38-T39-T40-T41)&gt;0,T41,U52-T37-T38-T39-T40)&lt;0,0,IF((U52-T37-T38-T39-T40-T41)&gt;0,T41,U52-T37-T38-T39-T40))</f>
        <v>0</v>
      </c>
      <c r="G77" s="145" t="str">
        <f t="shared" si="83"/>
        <v>Solar CSP</v>
      </c>
      <c r="H77" s="146">
        <f>IF(IF((V52-U37-U38-U39-U40-U41)&gt;0,U41,V52-U37-U38-U39-U40)&lt;0,0,IF((V52-U37-U38-U39-U40-U41)&gt;0,U41,V52-U37-U38-U39-U40))</f>
        <v>0</v>
      </c>
      <c r="I77" s="145" t="str">
        <f t="shared" si="84"/>
        <v>Solar CSP</v>
      </c>
      <c r="J77" s="146">
        <f>IF(IF((W52-V37-V38-V39-V40-V41)&gt;0,V41,W52-V37-V38-V39-V40)&lt;0,0,IF((W52-V37-V38-V39-V40-V41)&gt;0,V41,W52-V37-V38-V39-V40))</f>
        <v>0</v>
      </c>
      <c r="K77" s="145" t="str">
        <f t="shared" si="85"/>
        <v>Solar CSP</v>
      </c>
      <c r="L77" s="146">
        <f>IF(IF((X52-W37-W38-W39-W40-W41)&gt;0,W41,X52-W37-W38-W39-W40)&lt;0,0,IF((X52-W37-W38-W39-W40-W41)&gt;0,W41,X52-W37-W38-W39-W40))</f>
        <v>0</v>
      </c>
      <c r="M77" s="145" t="str">
        <f t="shared" si="86"/>
        <v>Solar CSP</v>
      </c>
      <c r="N77" s="146">
        <f>IF(IF((Y52-X37-X38-X39-X40-X41)&gt;0,X41,Y52-X37-X38-X39-X40)&lt;0,0,IF((Y52-X37-X38-X39-X40-X41)&gt;0,X41,Y52-X37-X38-X39-X40))</f>
        <v>0</v>
      </c>
      <c r="O77" s="145" t="str">
        <f t="shared" si="87"/>
        <v>Solar CSP</v>
      </c>
      <c r="P77" s="146">
        <f>IF(IF((Z52-Y37-Y38-Y39-Y40-Y41)&gt;0,Y41,Z52-Y37-Y38-Y39-Y40)&lt;0,0,IF((Z52-Y37-Y38-Y39-Y40-Y41)&gt;0,Y41,Z52-Y37-Y38-Y39-Y40))</f>
        <v>0</v>
      </c>
      <c r="Q77" s="145" t="str">
        <f t="shared" si="88"/>
        <v>Solar CSP</v>
      </c>
      <c r="R77" s="146">
        <f>IF(IF((AA52-Z37-Z38-Z39-Z40-Z41)&gt;0,Z41,AA52-Z37-Z38-Z39-Z40-Z41)&lt;0,0,IF((AA52-Z37-Z38-Z39-Z40-Z41)&gt;0,Z41,AA52-Z37-Z38-Z39-Z40-Z41))</f>
        <v>0</v>
      </c>
      <c r="S77" s="145" t="str">
        <f t="shared" si="89"/>
        <v>Solar CSP</v>
      </c>
      <c r="T77" s="146">
        <f>IF(IF((AB52-AA37-AA38-AA39-AA40-AA41)&gt;0,AA41,AB52-AA37-AA38-AA39-AA40)&lt;0,0,IF((AB52-AA37-AA38-AA39-AA40-AA41)&gt;0,AA41,AB52-AA37-AA38-AA39-AA40))</f>
        <v>0</v>
      </c>
      <c r="U77" s="145" t="str">
        <f t="shared" si="90"/>
        <v>Solar CSP</v>
      </c>
      <c r="V77" s="146">
        <f>IF(IF((AC52-AB37-AB38-AB39-AB40-AB41)&gt;0,AB41,AC52-AB37-AB38-AB39-AB40)&lt;0,0,IF((AC52-AB37-AB38-AB39-AB40-AB41)&gt;0,AB41,AC52-AB37-AB38-AB39-AB40))</f>
        <v>0</v>
      </c>
      <c r="W77" s="145" t="str">
        <f t="shared" si="91"/>
        <v>Solar CSP</v>
      </c>
      <c r="X77" s="146">
        <f>IF(IF((AD52-AC37-AC38-AC39-AC40-AC41)&gt;0,AC41,AD52-AC37-AC38-AC39-AC40)&lt;0,0,IF((AD52-AC37-AC38-AC39-AC40-AC41)&gt;0,AC41,AD52-AC37-AC38-AC39-AC40))</f>
        <v>0</v>
      </c>
      <c r="Y77" s="145" t="str">
        <f t="shared" si="92"/>
        <v>Solar CSP</v>
      </c>
      <c r="Z77" s="146">
        <f>IF(IF((AE52-AD37-AD38-AD39-AD40-AD41)&gt;0,AD41,AE52-AD37-AD38-AD39-AD40)&lt;0,0,IF((AE52-AD37-AD38-AD39-AD40-AD41)&gt;0,AD41,AE52-AD37-AD38-AD39-AD40))</f>
        <v>0</v>
      </c>
      <c r="AA77" s="145" t="str">
        <f t="shared" si="93"/>
        <v>Solar CSP</v>
      </c>
      <c r="AB77" s="146">
        <f>IF(IF((AF52-AE37-AE38-AE39-AE40-AE41)&gt;0,AE41,AF52-AE37-AE38-AE39-AE40)&lt;0,0,IF((AF52-AE37-AE38-AE39-AE40-AE41)&gt;0,AE41,AF52-AE37-AE38-AE39-AE40))</f>
        <v>0</v>
      </c>
      <c r="AC77" s="145" t="str">
        <f t="shared" si="94"/>
        <v>Solar CSP</v>
      </c>
      <c r="AD77" s="146">
        <f>IF(IF((AG52-AF37-AF38-AF39-AF40-AF41)&gt;0,AF41,AG52-AF37-AF38-AF39-AF40)&lt;0,0,IF((AG52-AF37-AF38-AF39-AF40-AF41)&gt;0,AF41,AG52-AF37-AF38-AF39-AF40))</f>
        <v>0</v>
      </c>
      <c r="AE77" s="145" t="str">
        <f t="shared" si="95"/>
        <v>Solar CSP</v>
      </c>
      <c r="AF77" s="146">
        <f>IF(IF((AH52-AG37-AG38-AG39-AG40-AG41)&gt;0,AG41,AH52-AG37-AG38-AG39-AG40)&lt;0,0,IF((AH52-AG37-AG38-AG39-AG40-AG41)&gt;0,AG41,AH52-AG37-AG38-AG39-AG40))</f>
        <v>0</v>
      </c>
      <c r="AG77" s="145" t="str">
        <f t="shared" si="96"/>
        <v>Solar CSP</v>
      </c>
      <c r="AH77" s="146">
        <f>IF(IF((AI52-AH37-AH38-AH39-AH40-AH41)&gt;0,AH41,AI52-AH37-AH38-AH39-AH40)&lt;0,0,IF((AI52-AH37-AH38-AH39-AH40-AH41)&gt;0,AH41,AI52-AH37-AH38-AH39-AH40))</f>
        <v>0</v>
      </c>
      <c r="AI77" s="4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</row>
    <row r="78" spans="1:82">
      <c r="A78" s="4"/>
      <c r="B78" s="142">
        <v>6</v>
      </c>
      <c r="C78" s="145" t="str">
        <f t="shared" si="81"/>
        <v>Gas CCS</v>
      </c>
      <c r="D78" s="146">
        <f>IF(IF((T52-SUM(S37:S42))&gt;0,S42,T52-SUM(S37:S41))&lt;0,0,IF((T52-SUM(S37:S42))&gt;0,S42,T52-SUM(S37:S41)))</f>
        <v>0</v>
      </c>
      <c r="E78" s="145" t="str">
        <f t="shared" si="82"/>
        <v>Gas CCS</v>
      </c>
      <c r="F78" s="146">
        <f>IF(IF((U52-SUM(T37:T42))&gt;0,T42,U52-SUM(T37:T41))&lt;0,0,IF((U52-SUM(T37:T42))&gt;0,T42,U52-SUM(T37:T41)))</f>
        <v>0</v>
      </c>
      <c r="G78" s="145" t="str">
        <f t="shared" si="83"/>
        <v>Gas CCS</v>
      </c>
      <c r="H78" s="146">
        <f>IF(IF((V52-SUM(U37:U42))&gt;0,U42,V52-SUM(U37:U41))&lt;0,0,IF((V52-SUM(U37:U42))&gt;0,U42,V52-SUM(U37:U41)))</f>
        <v>0</v>
      </c>
      <c r="I78" s="145" t="str">
        <f t="shared" si="84"/>
        <v>Gas CCS</v>
      </c>
      <c r="J78" s="146">
        <f>IF(IF((W52-SUM(V37:V42))&gt;0,V42,W52-SUM(V37:V41))&lt;0,0,IF((W52-SUM(V37:V42))&gt;0,V42,W52-SUM(V37:V41)))</f>
        <v>0</v>
      </c>
      <c r="K78" s="145" t="str">
        <f t="shared" si="85"/>
        <v>Gas CCS</v>
      </c>
      <c r="L78" s="146">
        <f>IF(IF((X52-SUM(W37:W42))&gt;0,W42,X52-SUM(W37:W41))&lt;0,0,IF((X52-SUM(W37:W42))&gt;0,W42,X52-SUM(W37:W41)))</f>
        <v>0</v>
      </c>
      <c r="M78" s="145" t="str">
        <f t="shared" si="86"/>
        <v>Gas CCS</v>
      </c>
      <c r="N78" s="146">
        <f>IF(IF((Y52-SUM(X37:X42))&gt;0,X42,Y52-SUM(X37:X41))&lt;0,0,IF((Y52-SUM(X37:X42))&gt;0,X42,Y52-SUM(X37:X41)))</f>
        <v>0</v>
      </c>
      <c r="O78" s="145" t="str">
        <f t="shared" si="87"/>
        <v>Gas CCS</v>
      </c>
      <c r="P78" s="146">
        <f>IF(IF((Z52-SUM(Y37:Y42))&gt;0,Y42,Z52-SUM(Y37:Y41))&lt;0,0,IF((Z52-SUM(Y37:Y42))&gt;0,Y42,Z52-SUM(Y37:Y41)))</f>
        <v>0</v>
      </c>
      <c r="Q78" s="145" t="str">
        <f t="shared" si="88"/>
        <v>Gas CCS</v>
      </c>
      <c r="R78" s="146">
        <f>IF(IF((AA52-SUM(Z37:Z42))&gt;0,Z42,AA52-SUM(Z37:Z41))&lt;0,0,IF((AA52-SUM(Z37:Z42))&gt;0,Z42,AA52-SUM(Z37:Z41)))</f>
        <v>0</v>
      </c>
      <c r="S78" s="145" t="str">
        <f t="shared" si="89"/>
        <v>Gas CCS</v>
      </c>
      <c r="T78" s="146">
        <f>IF(IF((AB52-SUM(AA37:AA42))&gt;0,AA42,AB52-SUM(AA37:AA41))&lt;0,0,IF((AB52-SUM(AA37:AA42))&gt;0,AA42,AB52-SUM(AA37:AA41)))</f>
        <v>0</v>
      </c>
      <c r="U78" s="145" t="str">
        <f t="shared" si="90"/>
        <v>Gas CCS</v>
      </c>
      <c r="V78" s="146">
        <f>IF(IF((AC52-SUM(AB37:AB42))&gt;0,AB42,AC52-SUM(AB37:AB41))&lt;0,0,IF((AC52-SUM(AB37:AB42))&gt;0,AB42,AC52-SUM(AB37:AB41)))</f>
        <v>0</v>
      </c>
      <c r="W78" s="145" t="str">
        <f t="shared" si="91"/>
        <v>Gas CCS</v>
      </c>
      <c r="X78" s="146">
        <f>IF(IF((AD52-SUM(AC37:AC42))&gt;0,AC42,AD52-SUM(AC37:AC41))&lt;0,0,IF((AD52-SUM(AC37:AC42))&gt;0,AC42,AD52-SUM(AC37:AC41)))</f>
        <v>0</v>
      </c>
      <c r="Y78" s="145" t="str">
        <f t="shared" si="92"/>
        <v>Gas CCS</v>
      </c>
      <c r="Z78" s="146">
        <f>IF(IF((AE52-SUM(AD37:AD42))&gt;0,AD42,AE52-SUM(AD37:AD41))&lt;0,0,IF((AE52-SUM(AD37:AD42))&gt;0,AD42,AE52-SUM(AD37:AD41)))</f>
        <v>0</v>
      </c>
      <c r="AA78" s="145" t="str">
        <f t="shared" si="93"/>
        <v>Gas CCS</v>
      </c>
      <c r="AB78" s="146">
        <f>IF(IF((AF52-SUM(AE37:AE42))&gt;0,AE42,AF52-SUM(AE37:AE41))&lt;0,0,IF((AF52-SUM(AE37:AE42))&gt;0,AE42,AF52-SUM(AE37:AE41)))</f>
        <v>0</v>
      </c>
      <c r="AC78" s="145" t="str">
        <f t="shared" si="94"/>
        <v>Gas CCS</v>
      </c>
      <c r="AD78" s="146">
        <f>IF(IF((AG52-SUM(AF37:AF42))&gt;0,AF42,AG52-SUM(AF37:AF41))&lt;0,0,IF((AG52-SUM(AF37:AF42))&gt;0,AF42,AG52-SUM(AF37:AF41)))</f>
        <v>0</v>
      </c>
      <c r="AE78" s="145" t="str">
        <f t="shared" si="95"/>
        <v>Gas CCS</v>
      </c>
      <c r="AF78" s="146">
        <f>IF(IF((AH52-SUM(AG37:AG42))&gt;0,AG42,AH52-SUM(AG37:AG41))&lt;0,0,IF((AH52-SUM(AG37:AG42))&gt;0,AG42,AH52-SUM(AG37:AG41)))</f>
        <v>0</v>
      </c>
      <c r="AG78" s="145" t="str">
        <f t="shared" si="96"/>
        <v>Gas CCS</v>
      </c>
      <c r="AH78" s="146">
        <f>IF(IF((AI52-SUM(AH37:AH42))&gt;0,AH42,AI52-SUM(AH37:AH41))&lt;0,0,IF((AI52-SUM(AH37:AH42))&gt;0,AH42,AI52-SUM(AH37:AH41)))</f>
        <v>0</v>
      </c>
      <c r="AI78" s="4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</row>
    <row r="79" spans="1:82">
      <c r="A79" s="4"/>
      <c r="B79" s="142">
        <v>7</v>
      </c>
      <c r="C79" s="145" t="str">
        <f t="shared" si="81"/>
        <v>Nuclear</v>
      </c>
      <c r="D79" s="146">
        <f>IF(IF((T52-SUM(S37:S43))&gt;0,S43,T52-SUM(S37:S42))&lt;0,0,IF((T52-SUM(S37:S43))&gt;0,S43,T52-SUM(S37:S42)))</f>
        <v>0</v>
      </c>
      <c r="E79" s="145" t="str">
        <f t="shared" si="82"/>
        <v>Nuclear</v>
      </c>
      <c r="F79" s="146">
        <f>IF(IF((U52-SUM(T37:T43))&gt;0,T43,U52-SUM(T37:T42))&lt;0,0,IF((U52-SUM(T37:T43))&gt;0,T43,U52-SUM(T37:T42)))</f>
        <v>0</v>
      </c>
      <c r="G79" s="145" t="str">
        <f t="shared" si="83"/>
        <v>Nuclear</v>
      </c>
      <c r="H79" s="146">
        <f>IF(IF((V52-SUM(U37:U43))&gt;0,U43,V52-SUM(U37:U42))&lt;0,0,IF((V52-SUM(U37:U43))&gt;0,U43,V52-SUM(U37:U42)))</f>
        <v>0</v>
      </c>
      <c r="I79" s="145" t="str">
        <f t="shared" si="84"/>
        <v>Nuclear</v>
      </c>
      <c r="J79" s="146">
        <f>IF(IF((W52-SUM(V37:V43))&gt;0,V43,W52-SUM(V37:V42))&lt;0,0,IF((W52-SUM(V37:V43))&gt;0,V43,W52-SUM(V37:V42)))</f>
        <v>0</v>
      </c>
      <c r="K79" s="145" t="str">
        <f t="shared" si="85"/>
        <v>Nuclear</v>
      </c>
      <c r="L79" s="146">
        <f>IF(IF((X52-SUM(W37:W43))&gt;0,W43,X52-SUM(W37:W42))&lt;0,0,IF((X52-SUM(W37:W43))&gt;0,W43,X52-SUM(W37:W42)))</f>
        <v>0</v>
      </c>
      <c r="M79" s="145" t="str">
        <f t="shared" si="86"/>
        <v>Nuclear</v>
      </c>
      <c r="N79" s="146">
        <f>IF(IF((Y52-SUM(X37:X43))&gt;0,X43,Y52-SUM(X37:X42))&lt;0,0,IF((Y52-SUM(X37:X43))&gt;0,X43,Y52-SUM(X37:X42)))</f>
        <v>0</v>
      </c>
      <c r="O79" s="145" t="str">
        <f t="shared" si="87"/>
        <v>Nuclear</v>
      </c>
      <c r="P79" s="146">
        <f>IF(IF((Z52-SUM(Y37:Y43))&gt;0,Y43,Z52-SUM(Y37:Y42))&lt;0,0,IF((Z52-SUM(Y37:Y43))&gt;0,Y43,Z52-SUM(Y37:Y42)))</f>
        <v>0</v>
      </c>
      <c r="Q79" s="145" t="str">
        <f t="shared" si="88"/>
        <v>Nuclear</v>
      </c>
      <c r="R79" s="146">
        <f>IF(IF((AA52-SUM(Z37:Z43))&gt;0,Z43,AA52-SUM(Z37:Z42))&lt;0,0,IF((AA52-SUM(Z37:Z43))&gt;0,Z43,AA52-SUM(Z37:Z42)))</f>
        <v>0</v>
      </c>
      <c r="S79" s="145" t="str">
        <f t="shared" si="89"/>
        <v>Nuclear</v>
      </c>
      <c r="T79" s="146">
        <f>IF(IF((AB52-SUM(AA37:AA43))&gt;0,AA43,AB52-SUM(AA37:AA42))&lt;0,0,IF((AB52-SUM(AA37:AA43))&gt;0,AA43,AB52-SUM(AA37:AA42)))</f>
        <v>0</v>
      </c>
      <c r="U79" s="145" t="str">
        <f t="shared" si="90"/>
        <v>Nuclear</v>
      </c>
      <c r="V79" s="146">
        <f>IF(IF((AC52-SUM(AB37:AB43))&gt;0,AB43,AC52-SUM(AB37:AB42))&lt;0,0,IF((AC52-SUM(AB37:AB43))&gt;0,AB43,AC52-SUM(AB37:AB42)))</f>
        <v>0</v>
      </c>
      <c r="W79" s="145" t="str">
        <f t="shared" si="91"/>
        <v>Nuclear</v>
      </c>
      <c r="X79" s="146">
        <f>IF(IF((AD52-SUM(AC37:AC43))&gt;0,AC43,AD52-SUM(AC37:AC42))&lt;0,0,IF((AD52-SUM(AC37:AC43))&gt;0,AC43,AD52-SUM(AC37:AC42)))</f>
        <v>0</v>
      </c>
      <c r="Y79" s="145" t="str">
        <f t="shared" si="92"/>
        <v>Nuclear</v>
      </c>
      <c r="Z79" s="146">
        <f>IF(IF((AE52-SUM(AD37:AD43))&gt;0,AD43,AE52-SUM(AD37:AD42))&lt;0,0,IF((AE52-SUM(AD37:AD43))&gt;0,AD43,AE52-SUM(AD37:AD42)))</f>
        <v>0</v>
      </c>
      <c r="AA79" s="145" t="str">
        <f t="shared" si="93"/>
        <v>Nuclear</v>
      </c>
      <c r="AB79" s="146">
        <f>IF(IF((AF52-SUM(AE37:AE43))&gt;0,AE43,AF52-SUM(AE37:AE42))&lt;0,0,IF((AF52-SUM(AE37:AE43))&gt;0,AE43,AF52-SUM(AE37:AE42)))</f>
        <v>0</v>
      </c>
      <c r="AC79" s="145" t="str">
        <f t="shared" si="94"/>
        <v>Nuclear</v>
      </c>
      <c r="AD79" s="146">
        <f>IF(IF((AG52-SUM(AF37:AF43))&gt;0,AF43,AG52-SUM(AF37:AF42))&lt;0,0,IF((AG52-SUM(AF37:AF43))&gt;0,AF43,AG52-SUM(AF37:AF42)))</f>
        <v>0</v>
      </c>
      <c r="AE79" s="145" t="str">
        <f t="shared" si="95"/>
        <v>Nuclear</v>
      </c>
      <c r="AF79" s="146">
        <f>IF(IF((AH52-SUM(AG37:AG43))&gt;0,AG43,AH52-SUM(AG37:AG42))&lt;0,0,IF((AH52-SUM(AG37:AG43))&gt;0,AG43,AH52-SUM(AG37:AG42)))</f>
        <v>0</v>
      </c>
      <c r="AG79" s="145" t="str">
        <f t="shared" si="96"/>
        <v>Nuclear</v>
      </c>
      <c r="AH79" s="146">
        <f>IF(IF((AI52-SUM(AH37:AH43))&gt;0,AH43,AI52-SUM(AH37:AH42))&lt;0,0,IF((AI52-SUM(AH37:AH43))&gt;0,AH43,AI52-SUM(AH37:AH42)))</f>
        <v>0</v>
      </c>
      <c r="AI79" s="4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</row>
    <row r="80" spans="1:82">
      <c r="A80" s="4"/>
      <c r="B80" s="142">
        <v>8</v>
      </c>
      <c r="C80" s="145" t="str">
        <f t="shared" si="81"/>
        <v>Geotherm</v>
      </c>
      <c r="D80" s="146">
        <f>IF(IF((T52-SUM(S37:S44))&gt;0,S44,T52-SUM(S37:S43))&lt;0,0,IF((T52-SUM(S37:S44))&gt;0,S44,T52-SUM(S37:S43)))</f>
        <v>0</v>
      </c>
      <c r="E80" s="145" t="str">
        <f t="shared" si="82"/>
        <v>Geotherm</v>
      </c>
      <c r="F80" s="146">
        <f>IF(IF((U52-SUM(T37:T44))&gt;0,T44,U52-SUM(T37:T43))&lt;0,0,IF((U52-SUM(T37:T44))&gt;0,T44,U52-SUM(T37:T43)))</f>
        <v>0</v>
      </c>
      <c r="G80" s="145" t="str">
        <f t="shared" si="83"/>
        <v>Geotherm</v>
      </c>
      <c r="H80" s="146">
        <f>IF(IF((V52-SUM(U37:U44))&gt;0,U44,V52-SUM(U37:U43))&lt;0,0,IF((V52-SUM(U37:U44))&gt;0,U44,V52-SUM(U37:U43)))</f>
        <v>0</v>
      </c>
      <c r="I80" s="145" t="str">
        <f t="shared" si="84"/>
        <v>Geotherm</v>
      </c>
      <c r="J80" s="146">
        <f>IF(IF((W52-SUM(V37:V44))&gt;0,V44,W52-SUM(V37:V43))&lt;0,0,IF((W52-SUM(V37:V44))&gt;0,V44,W52-SUM(V37:V43)))</f>
        <v>0</v>
      </c>
      <c r="K80" s="145" t="str">
        <f t="shared" si="85"/>
        <v>Geotherm</v>
      </c>
      <c r="L80" s="146">
        <f>IF(IF((X52-SUM(W37:W44))&gt;0,W44,X52-SUM(W37:W43))&lt;0,0,IF((X52-SUM(W37:W44))&gt;0,W44,X52-SUM(W37:W43)))</f>
        <v>0</v>
      </c>
      <c r="M80" s="145" t="str">
        <f t="shared" si="86"/>
        <v>Geotherm</v>
      </c>
      <c r="N80" s="146">
        <f>IF(IF((Y52-SUM(X37:X44))&gt;0,X44,Y52-SUM(X37:X43))&lt;0,0,IF((Y52-SUM(X37:X44))&gt;0,X44,Y52-SUM(X37:X43)))</f>
        <v>0</v>
      </c>
      <c r="O80" s="145" t="str">
        <f t="shared" si="87"/>
        <v>Geotherm</v>
      </c>
      <c r="P80" s="146">
        <f>IF(IF((Z52-SUM(Y37:Y44))&gt;0,Y44,Z52-SUM(Y37:Y43))&lt;0,0,IF((Z52-SUM(Y37:Y44))&gt;0,Y44,Z52-SUM(Y37:Y43)))</f>
        <v>0</v>
      </c>
      <c r="Q80" s="145" t="str">
        <f t="shared" si="88"/>
        <v>Geotherm</v>
      </c>
      <c r="R80" s="146">
        <f>IF(IF((AA52-SUM(Z37:Z44))&gt;0,Z44,AA52-SUM(Z37:Z43))&lt;0,0,IF((AA52-SUM(Z37:Z44))&gt;0,Z44,AA52-SUM(Z37:Z43)))</f>
        <v>0</v>
      </c>
      <c r="S80" s="145" t="str">
        <f t="shared" si="89"/>
        <v>Geotherm</v>
      </c>
      <c r="T80" s="146">
        <f>IF(IF((AB52-SUM(AA37:AA44))&gt;0,AA44,AB52-SUM(AA37:AA43))&lt;0,0,IF((AB52-SUM(AA37:AA44))&gt;0,AA44,AB52-SUM(AA37:AA43)))</f>
        <v>0</v>
      </c>
      <c r="U80" s="145" t="str">
        <f t="shared" si="90"/>
        <v>Geotherm</v>
      </c>
      <c r="V80" s="146">
        <f>IF(IF((AC52-SUM(AB37:AB44))&gt;0,AB44,AC52-SUM(AB37:AB43))&lt;0,0,IF((AC52-SUM(AB37:AB44))&gt;0,AB44,AC52-SUM(AB37:AB43)))</f>
        <v>0</v>
      </c>
      <c r="W80" s="145" t="str">
        <f t="shared" si="91"/>
        <v>Geotherm</v>
      </c>
      <c r="X80" s="146">
        <f>IF(IF((AD52-SUM(AC37:AC44))&gt;0,AC44,AD52-SUM(AC37:AC43))&lt;0,0,IF((AD52-SUM(AC37:AC44))&gt;0,AC44,AD52-SUM(AC37:AC43)))</f>
        <v>0</v>
      </c>
      <c r="Y80" s="145" t="str">
        <f t="shared" si="92"/>
        <v>Geotherm</v>
      </c>
      <c r="Z80" s="146">
        <f>IF(IF((AE52-SUM(AD37:AD44))&gt;0,AD44,AE52-SUM(AD37:AD43))&lt;0,0,IF((AE52-SUM(AD37:AD44))&gt;0,AD44,AE52-SUM(AD37:AD43)))</f>
        <v>0</v>
      </c>
      <c r="AA80" s="145" t="str">
        <f t="shared" si="93"/>
        <v>Geotherm</v>
      </c>
      <c r="AB80" s="146">
        <f>IF(IF((AF52-SUM(AE37:AE44))&gt;0,AE44,AF52-SUM(AE37:AE43))&lt;0,0,IF((AF52-SUM(AE37:AE44))&gt;0,AE44,AF52-SUM(AE37:AE43)))</f>
        <v>0</v>
      </c>
      <c r="AC80" s="145" t="str">
        <f t="shared" si="94"/>
        <v>Geotherm</v>
      </c>
      <c r="AD80" s="146">
        <f>IF(IF((AG52-SUM(AF37:AF44))&gt;0,AF44,AG52-SUM(AF37:AF43))&lt;0,0,IF((AG52-SUM(AF37:AF44))&gt;0,AF44,AG52-SUM(AF37:AF43)))</f>
        <v>0</v>
      </c>
      <c r="AE80" s="145" t="str">
        <f t="shared" si="95"/>
        <v>Geotherm</v>
      </c>
      <c r="AF80" s="146">
        <f>IF(IF((AH52-SUM(AG37:AG44))&gt;0,AG44,AH52-SUM(AG37:AG43))&lt;0,0,IF((AH52-SUM(AG37:AG44))&gt;0,AG44,AH52-SUM(AG37:AG43)))</f>
        <v>0</v>
      </c>
      <c r="AG80" s="145" t="str">
        <f t="shared" si="96"/>
        <v>Geotherm</v>
      </c>
      <c r="AH80" s="146">
        <f>IF(IF((AI52-SUM(AH37:AH44))&gt;0,AH44,AI52-SUM(AH37:AH43))&lt;0,0,IF((AI52-SUM(AH37:AH44))&gt;0,AH44,AI52-SUM(AH37:AH43)))</f>
        <v>0</v>
      </c>
      <c r="AI80" s="4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</row>
    <row r="81" spans="1:82">
      <c r="A81" s="4"/>
      <c r="B81" s="142">
        <v>9</v>
      </c>
      <c r="C81" s="145" t="str">
        <f t="shared" si="81"/>
        <v>Coal CCS</v>
      </c>
      <c r="D81" s="146">
        <f>IF(IF((T52-SUM(S37:S45))&gt;0,S45,T52-SUM(S37:S44))&lt;0,0,IF((T52-SUM(S37:S45))&gt;0,S45,T52-SUM(S37:S44)))</f>
        <v>0</v>
      </c>
      <c r="E81" s="145" t="str">
        <f t="shared" si="82"/>
        <v>Coal CCS</v>
      </c>
      <c r="F81" s="146">
        <f>IF(IF((U52-SUM(T37:T45))&gt;0,T45,U52-SUM(T37:T44))&lt;0,0,IF((U52-SUM(T37:T45))&gt;0,T45,U52-SUM(T37:T44)))</f>
        <v>0</v>
      </c>
      <c r="G81" s="145" t="str">
        <f t="shared" si="83"/>
        <v>Coal CCS</v>
      </c>
      <c r="H81" s="146">
        <f>IF(IF((V52-SUM(U37:U45))&gt;0,U45,V52-SUM(U37:U44))&lt;0,0,IF((V52-SUM(U37:U45))&gt;0,U45,V52-SUM(U37:U44)))</f>
        <v>0</v>
      </c>
      <c r="I81" s="145" t="str">
        <f t="shared" si="84"/>
        <v>Coal CCS</v>
      </c>
      <c r="J81" s="146">
        <f>IF(IF((W52-SUM(V37:V45))&gt;0,V45,W52-SUM(V37:V44))&lt;0,0,IF((W52-SUM(V37:V45))&gt;0,V45,W52-SUM(V37:V44)))</f>
        <v>0</v>
      </c>
      <c r="K81" s="145" t="str">
        <f t="shared" si="85"/>
        <v>Coal CCS</v>
      </c>
      <c r="L81" s="146">
        <f>IF(IF((X52-SUM(W37:W45))&gt;0,W45,X52-SUM(W37:W44))&lt;0,0,IF((X52-SUM(W37:W45))&gt;0,W45,X52-SUM(W37:W44)))</f>
        <v>0</v>
      </c>
      <c r="M81" s="145" t="str">
        <f t="shared" si="86"/>
        <v>Coal CCS</v>
      </c>
      <c r="N81" s="146">
        <f>IF(IF((Y52-SUM(X37:X45))&gt;0,X45,Y52-SUM(X37:X44))&lt;0,0,IF((Y52-SUM(X37:X45))&gt;0,X45,Y52-SUM(X37:X44)))</f>
        <v>0</v>
      </c>
      <c r="O81" s="145" t="str">
        <f t="shared" si="87"/>
        <v>Coal CCS</v>
      </c>
      <c r="P81" s="146">
        <f>IF(IF((Z52-SUM(Y37:Y45))&gt;0,Y45,Z52-SUM(Y37:Y44))&lt;0,0,IF((Z52-SUM(Y37:Y45))&gt;0,Y45,Z52-SUM(Y37:Y44)))</f>
        <v>0</v>
      </c>
      <c r="Q81" s="145" t="str">
        <f t="shared" si="88"/>
        <v>Coal CCS</v>
      </c>
      <c r="R81" s="146">
        <f>IF(IF((AA52-SUM(Z37:Z45))&gt;0,Z45,AA52-SUM(Z37:Z44))&lt;0,0,IF((AA52-SUM(Z37:Z45))&gt;0,Z45,AA52-SUM(Z37:Z44)))</f>
        <v>0</v>
      </c>
      <c r="S81" s="145" t="str">
        <f t="shared" si="89"/>
        <v>Coal CCS</v>
      </c>
      <c r="T81" s="146">
        <f>IF(IF((AB52-SUM(AA37:AA45))&gt;0,AA45,AB52-SUM(AA37:AA44))&lt;0,0,IF((AB52-SUM(AA37:AA45))&gt;0,AA45,AB52-SUM(AA37:AA44)))</f>
        <v>0</v>
      </c>
      <c r="U81" s="145" t="str">
        <f t="shared" si="90"/>
        <v>Coal CCS</v>
      </c>
      <c r="V81" s="146">
        <f>IF(IF((AC52-SUM(AB37:AB45))&gt;0,AB45,AC52-SUM(AB37:AB44))&lt;0,0,IF((AC52-SUM(AB37:AB45))&gt;0,AB45,AC52-SUM(AB37:AB44)))</f>
        <v>0</v>
      </c>
      <c r="W81" s="145" t="str">
        <f t="shared" si="91"/>
        <v>Coal CCS</v>
      </c>
      <c r="X81" s="146">
        <f>IF(IF((AD52-SUM(AC37:AC45))&gt;0,AC45,AD52-SUM(AC37:AC44))&lt;0,0,IF((AD52-SUM(AC37:AC45))&gt;0,AC45,AD52-SUM(AC37:AC44)))</f>
        <v>0</v>
      </c>
      <c r="Y81" s="145" t="str">
        <f t="shared" si="92"/>
        <v>Coal CCS</v>
      </c>
      <c r="Z81" s="146">
        <f>IF(IF((AE52-SUM(AD37:AD45))&gt;0,AD45,AE52-SUM(AD37:AD44))&lt;0,0,IF((AE52-SUM(AD37:AD45))&gt;0,AD45,AE52-SUM(AD37:AD44)))</f>
        <v>0</v>
      </c>
      <c r="AA81" s="145" t="str">
        <f t="shared" si="93"/>
        <v>Coal CCS</v>
      </c>
      <c r="AB81" s="146">
        <f>IF(IF((AF52-SUM(AE37:AE45))&gt;0,AE45,AF52-SUM(AE37:AE44))&lt;0,0,IF((AF52-SUM(AE37:AE45))&gt;0,AE45,AF52-SUM(AE37:AE44)))</f>
        <v>0</v>
      </c>
      <c r="AC81" s="145" t="str">
        <f t="shared" si="94"/>
        <v>Coal CCS</v>
      </c>
      <c r="AD81" s="146">
        <f>IF(IF((AG52-SUM(AF37:AF45))&gt;0,AF45,AG52-SUM(AF37:AF44))&lt;0,0,IF((AG52-SUM(AF37:AF45))&gt;0,AF45,AG52-SUM(AF37:AF44)))</f>
        <v>0</v>
      </c>
      <c r="AE81" s="145" t="str">
        <f t="shared" si="95"/>
        <v>Coal CCS</v>
      </c>
      <c r="AF81" s="146">
        <f>IF(IF((AH52-SUM(AG37:AG45))&gt;0,AG45,AH52-SUM(AG37:AG44))&lt;0,0,IF((AH52-SUM(AG37:AG45))&gt;0,AG45,AH52-SUM(AG37:AG44)))</f>
        <v>0</v>
      </c>
      <c r="AG81" s="145" t="str">
        <f t="shared" si="96"/>
        <v>Coal CCS</v>
      </c>
      <c r="AH81" s="146">
        <f>IF(IF((AI52-SUM(AH37:AH45))&gt;0,AH45,AI52-SUM(AH37:AH44))&lt;0,0,IF((AI52-SUM(AH37:AH45))&gt;0,AH45,AI52-SUM(AH37:AH44)))</f>
        <v>0</v>
      </c>
      <c r="AI81" s="4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</row>
    <row r="82" spans="1:82">
      <c r="A82" s="4"/>
      <c r="B82" s="142">
        <v>10</v>
      </c>
      <c r="C82" s="145" t="str">
        <f t="shared" si="81"/>
        <v>Biomass</v>
      </c>
      <c r="D82" s="146">
        <f>IF(IF((T52-SUM(S37:S46))&gt;0,S46,T52-SUM(S37:S45))&lt;0,0,IF((T52-SUM(S37:S46))&gt;0,S46,T52-SUM(S37:S45)))</f>
        <v>0</v>
      </c>
      <c r="E82" s="145" t="str">
        <f t="shared" si="82"/>
        <v>Biomass</v>
      </c>
      <c r="F82" s="146">
        <f>IF(IF((U52-SUM(T37:T46))&gt;0,T46,U52-SUM(T37:T45))&lt;0,0,IF((U52-SUM(T37:T46))&gt;0,T46,U52-SUM(T37:T45)))</f>
        <v>0</v>
      </c>
      <c r="G82" s="145" t="str">
        <f t="shared" si="83"/>
        <v>Biomass</v>
      </c>
      <c r="H82" s="146">
        <f>IF(IF((V52-SUM(U37:U46))&gt;0,U46,V52-SUM(U37:U45))&lt;0,0,IF((V52-SUM(U37:U46))&gt;0,U46,V52-SUM(U37:U45)))</f>
        <v>0</v>
      </c>
      <c r="I82" s="145" t="str">
        <f t="shared" si="84"/>
        <v>Biomass</v>
      </c>
      <c r="J82" s="146">
        <f>IF(IF((W52-SUM(V37:V46))&gt;0,V46,W52-SUM(V37:V45))&lt;0,0,IF((W52-SUM(V37:V46))&gt;0,V46,W52-SUM(V37:V45)))</f>
        <v>0</v>
      </c>
      <c r="K82" s="145" t="str">
        <f t="shared" si="85"/>
        <v>Biomass</v>
      </c>
      <c r="L82" s="146">
        <f>IF(IF((X52-SUM(W37:W46))&gt;0,W46,X52-SUM(W37:W45))&lt;0,0,IF((X52-SUM(W37:W46))&gt;0,W46,X52-SUM(W37:W45)))</f>
        <v>0</v>
      </c>
      <c r="M82" s="145" t="str">
        <f t="shared" si="86"/>
        <v>Biomass</v>
      </c>
      <c r="N82" s="146">
        <f>IF(IF((Y52-SUM(X37:X46))&gt;0,X46,Y52-SUM(X37:X45))&lt;0,0,IF((Y52-SUM(X37:X46))&gt;0,X46,Y52-SUM(X37:X45)))</f>
        <v>0</v>
      </c>
      <c r="O82" s="145" t="str">
        <f t="shared" si="87"/>
        <v>Biomass</v>
      </c>
      <c r="P82" s="146">
        <f>IF(IF((Z52-SUM(Y37:Y46))&gt;0,Y46,Z52-SUM(Y37:Y45))&lt;0,0,IF((Z52-SUM(Y37:Y46))&gt;0,Y46,Z52-SUM(Y37:Y45)))</f>
        <v>0</v>
      </c>
      <c r="Q82" s="145" t="str">
        <f t="shared" si="88"/>
        <v>Biomass</v>
      </c>
      <c r="R82" s="146">
        <f>IF(IF((AA52-SUM(Z37:Z46))&gt;0,Z46,AA52-SUM(Z37:Z45))&lt;0,0,IF((AA52-SUM(Z37:Z46))&gt;0,Z46,AA52-SUM(Z37:Z45)))</f>
        <v>0</v>
      </c>
      <c r="S82" s="145" t="str">
        <f t="shared" si="89"/>
        <v>Biomass</v>
      </c>
      <c r="T82" s="146">
        <f>IF(IF((AB52-SUM(AA37:AA46))&gt;0,AA46,AB52-SUM(AA37:AA45))&lt;0,0,IF((AB52-SUM(AA37:AA46))&gt;0,AA46,AB52-SUM(AA37:AA45)))</f>
        <v>0</v>
      </c>
      <c r="U82" s="145" t="str">
        <f t="shared" si="90"/>
        <v>Biomass</v>
      </c>
      <c r="V82" s="146">
        <f>IF(IF((AC52-SUM(AB37:AB46))&gt;0,AB46,AC52-SUM(AB37:AB45))&lt;0,0,IF((AC52-SUM(AB37:AB46))&gt;0,AB46,AC52-SUM(AB37:AB45)))</f>
        <v>0</v>
      </c>
      <c r="W82" s="145" t="str">
        <f t="shared" si="91"/>
        <v>Biomass</v>
      </c>
      <c r="X82" s="146">
        <f>IF(IF((AD52-SUM(AC37:AC46))&gt;0,AC46,AD52-SUM(AC37:AC45))&lt;0,0,IF((AD52-SUM(AC37:AC46))&gt;0,AC46,AD52-SUM(AC37:AC45)))</f>
        <v>0</v>
      </c>
      <c r="Y82" s="145" t="str">
        <f t="shared" si="92"/>
        <v>Biomass</v>
      </c>
      <c r="Z82" s="146">
        <f>IF(IF((AE52-SUM(AD37:AD46))&gt;0,AD46,AE52-SUM(AD37:AD45))&lt;0,0,IF((AE52-SUM(AD37:AD46))&gt;0,AD46,AE52-SUM(AD37:AD45)))</f>
        <v>0</v>
      </c>
      <c r="AA82" s="145" t="str">
        <f t="shared" si="93"/>
        <v>Biomass</v>
      </c>
      <c r="AB82" s="146">
        <f>IF(IF((AF52-SUM(AE37:AE46))&gt;0,AE46,AF52-SUM(AE37:AE45))&lt;0,0,IF((AF52-SUM(AE37:AE46))&gt;0,AE46,AF52-SUM(AE37:AE45)))</f>
        <v>0</v>
      </c>
      <c r="AC82" s="145" t="str">
        <f t="shared" si="94"/>
        <v>Biomass</v>
      </c>
      <c r="AD82" s="146">
        <f>IF(IF((AG52-SUM(AF37:AF46))&gt;0,AF46,AG52-SUM(AF37:AF45))&lt;0,0,IF((AG52-SUM(AF37:AF46))&gt;0,AF46,AG52-SUM(AF37:AF45)))</f>
        <v>0</v>
      </c>
      <c r="AE82" s="145" t="str">
        <f t="shared" si="95"/>
        <v>Biomass</v>
      </c>
      <c r="AF82" s="146">
        <f>IF(IF((AH52-SUM(AG37:AG46))&gt;0,AG46,AH52-SUM(AG37:AG45))&lt;0,0,IF((AH52-SUM(AG37:AG46))&gt;0,AG46,AH52-SUM(AG37:AG45)))</f>
        <v>0</v>
      </c>
      <c r="AG82" s="145" t="str">
        <f t="shared" si="96"/>
        <v>Biomass</v>
      </c>
      <c r="AH82" s="146">
        <f>IF(IF((AI52-SUM(AH37:AH46))&gt;0,AH46,AI52-SUM(AH37:AH45))&lt;0,0,IF((AI52-SUM(AH37:AH46))&gt;0,AH46,AI52-SUM(AH37:AH45)))</f>
        <v>0</v>
      </c>
      <c r="AI82" s="4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</row>
    <row r="83" spans="1:82">
      <c r="A83" s="4"/>
      <c r="B83" s="142">
        <v>11</v>
      </c>
      <c r="C83" s="145" t="str">
        <f t="shared" si="81"/>
        <v xml:space="preserve">Coal </v>
      </c>
      <c r="D83" s="146">
        <f>IF(IF((T52-SUM(S37:S47))&gt;0,S47,T52-SUM(S37:S46))&lt;0,0,IF((T52-SUM(S37:S47))&gt;0,S47,T52-SUM(S37:S46)))</f>
        <v>0</v>
      </c>
      <c r="E83" s="145" t="str">
        <f t="shared" si="82"/>
        <v xml:space="preserve">Coal </v>
      </c>
      <c r="F83" s="146">
        <f>IF(IF((U52-SUM(T37:T47))&gt;0,T47,U52-SUM(T37:T46))&lt;0,0,IF((U52-SUM(T37:T47))&gt;0,T47,U52-SUM(T37:T46)))</f>
        <v>0</v>
      </c>
      <c r="G83" s="145" t="str">
        <f t="shared" si="83"/>
        <v xml:space="preserve">Coal </v>
      </c>
      <c r="H83" s="146">
        <f>IF(IF((V52-SUM(U37:U47))&gt;0,U47,V52-SUM(U37:U46))&lt;0,0,IF((V52-SUM(U37:U47))&gt;0,U47,V52-SUM(U37:U46)))</f>
        <v>0</v>
      </c>
      <c r="I83" s="145" t="str">
        <f t="shared" si="84"/>
        <v xml:space="preserve">Coal </v>
      </c>
      <c r="J83" s="146">
        <f>IF(IF((W52-SUM(V37:V47))&gt;0,V47,W52-SUM(V37:V46))&lt;0,0,IF((W52-SUM(V37:V47))&gt;0,V47,W52-SUM(V37:V46)))</f>
        <v>0</v>
      </c>
      <c r="K83" s="145" t="str">
        <f t="shared" si="85"/>
        <v xml:space="preserve">Coal </v>
      </c>
      <c r="L83" s="146">
        <f>IF(IF((X52-SUM(W37:W47))&gt;0,W47,X52-SUM(W37:W46))&lt;0,0,IF((X52-SUM(W37:W47))&gt;0,W47,X52-SUM(W37:W46)))</f>
        <v>0</v>
      </c>
      <c r="M83" s="145" t="str">
        <f t="shared" si="86"/>
        <v xml:space="preserve">Coal </v>
      </c>
      <c r="N83" s="146">
        <f>IF(IF((Y52-SUM(X37:X47))&gt;0,X47,Y52-SUM(X37:X46))&lt;0,0,IF((Y52-SUM(X37:X47))&gt;0,X47,Y52-SUM(X37:X46)))</f>
        <v>0</v>
      </c>
      <c r="O83" s="145" t="str">
        <f t="shared" si="87"/>
        <v xml:space="preserve">Coal </v>
      </c>
      <c r="P83" s="146">
        <f>IF(IF((Z52-SUM(Y37:Y47))&gt;0,Y47,Z52-SUM(Y37:Y46))&lt;0,0,IF((Z52-SUM(Y37:Y47))&gt;0,Y47,Z52-SUM(Y37:Y46)))</f>
        <v>0</v>
      </c>
      <c r="Q83" s="145" t="str">
        <f t="shared" si="88"/>
        <v xml:space="preserve">Coal </v>
      </c>
      <c r="R83" s="146">
        <f>IF(IF((AA52-SUM(Z37:Z47))&gt;0,Z47,AA52-SUM(Z37:Z46))&lt;0,0,IF((AA52-SUM(Z37:Z47))&gt;0,Z47,AA52-SUM(Z37:Z46)))</f>
        <v>0</v>
      </c>
      <c r="S83" s="145" t="str">
        <f t="shared" si="89"/>
        <v xml:space="preserve">Coal </v>
      </c>
      <c r="T83" s="146">
        <f>IF(IF((AB52-SUM(AA37:AA47))&gt;0,AA47,AB52-SUM(AA37:AA46))&lt;0,0,IF((AB52-SUM(AA37:AA47))&gt;0,AA47,AB52-SUM(AA37:AA46)))</f>
        <v>0</v>
      </c>
      <c r="U83" s="145" t="str">
        <f t="shared" si="90"/>
        <v xml:space="preserve">Coal </v>
      </c>
      <c r="V83" s="146">
        <f>IF(IF((AC52-SUM(AB37:AB47))&gt;0,AB47,AC52-SUM(AB37:AB46))&lt;0,0,IF((AC52-SUM(AB37:AB47))&gt;0,AB47,AC52-SUM(AB37:AB46)))</f>
        <v>0</v>
      </c>
      <c r="W83" s="145" t="str">
        <f t="shared" si="91"/>
        <v xml:space="preserve">Coal </v>
      </c>
      <c r="X83" s="146">
        <f>IF(IF((AD52-SUM(AC37:AC47))&gt;0,AC47,AD52-SUM(AC37:AC46))&lt;0,0,IF((AD52-SUM(AC37:AC47))&gt;0,AC47,AD52-SUM(AC37:AC46)))</f>
        <v>0</v>
      </c>
      <c r="Y83" s="145" t="str">
        <f t="shared" si="92"/>
        <v xml:space="preserve">Coal </v>
      </c>
      <c r="Z83" s="146">
        <f>IF(IF((AE52-SUM(AD37:AD47))&gt;0,AD47,AE52-SUM(AD37:AD46))&lt;0,0,IF((AE52-SUM(AD37:AD47))&gt;0,AD47,AE52-SUM(AD37:AD46)))</f>
        <v>0</v>
      </c>
      <c r="AA83" s="145" t="str">
        <f t="shared" si="93"/>
        <v xml:space="preserve">Coal </v>
      </c>
      <c r="AB83" s="146">
        <f>IF(IF((AF52-SUM(AE37:AE47))&gt;0,AE47,AF52-SUM(AE37:AE46))&lt;0,0,IF((AF52-SUM(AE37:AE47))&gt;0,AE47,AF52-SUM(AE37:AE46)))</f>
        <v>0</v>
      </c>
      <c r="AC83" s="145" t="str">
        <f t="shared" si="94"/>
        <v xml:space="preserve">Coal </v>
      </c>
      <c r="AD83" s="146">
        <f>IF(IF((AG52-SUM(AF37:AF47))&gt;0,AF47,AG52-SUM(AF37:AF46))&lt;0,0,IF((AG52-SUM(AF37:AF47))&gt;0,AF47,AG52-SUM(AF37:AF46)))</f>
        <v>0</v>
      </c>
      <c r="AE83" s="145" t="str">
        <f t="shared" si="95"/>
        <v xml:space="preserve">Coal </v>
      </c>
      <c r="AF83" s="146">
        <f>IF(IF((AH52-SUM(AG37:AG47))&gt;0,AG47,AH52-SUM(AG37:AG46))&lt;0,0,IF((AH52-SUM(AG37:AG47))&gt;0,AG47,AH52-SUM(AG37:AG46)))</f>
        <v>0</v>
      </c>
      <c r="AG83" s="145" t="str">
        <f t="shared" si="96"/>
        <v xml:space="preserve">Coal </v>
      </c>
      <c r="AH83" s="146">
        <f>IF(IF((AI52-SUM(AH37:AH47))&gt;0,AH47,AI52-SUM(AH37:AH46))&lt;0,0,IF((AI52-SUM(AH37:AH47))&gt;0,AH47,AI52-SUM(AH37:AH46)))</f>
        <v>0</v>
      </c>
      <c r="AI83" s="4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</row>
    <row r="84" spans="1:82">
      <c r="A84" s="4"/>
      <c r="B84" s="142" t="s">
        <v>152</v>
      </c>
      <c r="C84" s="4"/>
      <c r="D84" s="146" t="str">
        <f>IF(T52-SUM(S37:S47)&gt;0,"MORE","OK")</f>
        <v>OK</v>
      </c>
      <c r="E84" s="4"/>
      <c r="F84" s="146" t="str">
        <f>IF(U52-SUM(T37:T47)&gt;0,"MORE","OK")</f>
        <v>OK</v>
      </c>
      <c r="G84" s="4"/>
      <c r="H84" s="146" t="str">
        <f>IF(V52-SUM(U37:U47)&gt;0,"MORE","OK")</f>
        <v>OK</v>
      </c>
      <c r="I84" s="4"/>
      <c r="J84" s="146" t="str">
        <f>IF(W52-SUM(V37:V47)&gt;0,"MORE","OK")</f>
        <v>OK</v>
      </c>
      <c r="K84" s="4"/>
      <c r="L84" s="146" t="str">
        <f>IF(X52-SUM(W37:W47)&gt;0,"MORE","OK")</f>
        <v>OK</v>
      </c>
      <c r="M84" s="4"/>
      <c r="N84" s="146" t="str">
        <f>IF(Y52-SUM(X37:X47)&gt;0,"MORE","OK")</f>
        <v>OK</v>
      </c>
      <c r="O84" s="4"/>
      <c r="P84" s="146" t="str">
        <f>IF(Z52-SUM(Y37:Y47)&gt;0,"MORE","OK")</f>
        <v>OK</v>
      </c>
      <c r="Q84" s="4"/>
      <c r="R84" s="146" t="str">
        <f>IF(AA52-SUM(Z37:Z47)&gt;0,"MORE","OK")</f>
        <v>OK</v>
      </c>
      <c r="S84" s="4"/>
      <c r="T84" s="146" t="str">
        <f>IF(AB52-SUM(AA37:AA47)&gt;0,"MORE","OK")</f>
        <v>OK</v>
      </c>
      <c r="U84" s="4"/>
      <c r="V84" s="146" t="str">
        <f>IF(AC52-SUM(AB37:AB47)&gt;0,"MORE","OK")</f>
        <v>OK</v>
      </c>
      <c r="W84" s="4"/>
      <c r="X84" s="146" t="str">
        <f>IF(AD52-SUM(AC37:AC47)&gt;0,"MORE","OK")</f>
        <v>OK</v>
      </c>
      <c r="Y84" s="4"/>
      <c r="Z84" s="146" t="str">
        <f>IF(AE52-SUM(AD37:AD47)&gt;0,"MORE","OK")</f>
        <v>OK</v>
      </c>
      <c r="AA84" s="4"/>
      <c r="AB84" s="146" t="str">
        <f>IF(AF52-SUM(AE37:AE47)&gt;0,"MORE","OK")</f>
        <v>OK</v>
      </c>
      <c r="AC84" s="4"/>
      <c r="AD84" s="146" t="str">
        <f>IF(AG52-SUM(AF37:AF47)&gt;0,"MORE","OK")</f>
        <v>OK</v>
      </c>
      <c r="AE84" s="4"/>
      <c r="AF84" s="146" t="str">
        <f>IF(AH52-SUM(AG37:AG47)&gt;0,"MORE","OK")</f>
        <v>OK</v>
      </c>
      <c r="AG84" s="4"/>
      <c r="AH84" s="146" t="str">
        <f>IF(AI52-SUM(AH37:AH47)&gt;0,"MORE","OK")</f>
        <v>OK</v>
      </c>
      <c r="AI84" s="4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</row>
    <row r="85" spans="1:8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</row>
    <row r="86" spans="1:8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</row>
    <row r="87" spans="1:82">
      <c r="A87" s="4"/>
      <c r="B87" s="142" t="s">
        <v>77</v>
      </c>
      <c r="C87" s="142">
        <v>2019</v>
      </c>
      <c r="D87" s="142">
        <v>2020</v>
      </c>
      <c r="E87" s="142">
        <v>2021</v>
      </c>
      <c r="F87" s="142">
        <v>2022</v>
      </c>
      <c r="G87" s="142">
        <v>2023</v>
      </c>
      <c r="H87" s="142">
        <v>2024</v>
      </c>
      <c r="I87" s="142">
        <v>2025</v>
      </c>
      <c r="J87" s="142">
        <v>2026</v>
      </c>
      <c r="K87" s="142">
        <v>2027</v>
      </c>
      <c r="L87" s="142">
        <v>2028</v>
      </c>
      <c r="M87" s="142">
        <v>2029</v>
      </c>
      <c r="N87" s="142">
        <v>2030</v>
      </c>
      <c r="O87" s="142">
        <v>2031</v>
      </c>
      <c r="P87" s="142">
        <v>2032</v>
      </c>
      <c r="Q87" s="142">
        <v>2033</v>
      </c>
      <c r="R87" s="142">
        <v>2034</v>
      </c>
      <c r="S87" s="142">
        <v>2035</v>
      </c>
      <c r="T87" s="142">
        <v>2036</v>
      </c>
      <c r="U87" s="142">
        <v>2037</v>
      </c>
      <c r="V87" s="142">
        <v>2038</v>
      </c>
      <c r="W87" s="142">
        <v>2039</v>
      </c>
      <c r="X87" s="142">
        <v>2040</v>
      </c>
      <c r="Y87" s="142">
        <v>2041</v>
      </c>
      <c r="Z87" s="142">
        <v>2042</v>
      </c>
      <c r="AA87" s="142">
        <v>2043</v>
      </c>
      <c r="AB87" s="142">
        <v>2044</v>
      </c>
      <c r="AC87" s="142">
        <v>2045</v>
      </c>
      <c r="AD87" s="142">
        <v>2046</v>
      </c>
      <c r="AE87" s="142">
        <v>2047</v>
      </c>
      <c r="AF87" s="142">
        <v>2048</v>
      </c>
      <c r="AG87" s="142">
        <v>2049</v>
      </c>
      <c r="AH87" s="142">
        <v>2050</v>
      </c>
      <c r="AI87" s="4"/>
      <c r="AJ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</row>
    <row r="88" spans="1:82">
      <c r="A88" s="4"/>
      <c r="B88" s="142" t="s">
        <v>81</v>
      </c>
      <c r="C88" s="148">
        <v>1086.8469095200001</v>
      </c>
      <c r="D88" s="148">
        <v>1064.5649559999999</v>
      </c>
      <c r="E88" s="148">
        <v>993.27435904000004</v>
      </c>
      <c r="F88" s="148">
        <v>920.65656076000005</v>
      </c>
      <c r="G88" s="148">
        <v>814.67102895999994</v>
      </c>
      <c r="H88" s="148">
        <v>707.23311544000001</v>
      </c>
      <c r="I88" s="148">
        <v>614.50424056000008</v>
      </c>
      <c r="J88" s="148">
        <v>568.07186932000002</v>
      </c>
      <c r="K88" s="148">
        <v>536.05742439999983</v>
      </c>
      <c r="L88" s="148">
        <v>517.83319924000011</v>
      </c>
      <c r="M88" s="148">
        <v>513.05026552000004</v>
      </c>
      <c r="N88" s="148">
        <v>487.54111924000006</v>
      </c>
      <c r="O88" s="148">
        <v>464.3796354399999</v>
      </c>
      <c r="P88" s="148">
        <v>422.02491279999992</v>
      </c>
      <c r="Q88" s="148">
        <v>422.02491279999992</v>
      </c>
      <c r="R88" s="148">
        <v>396.61127679999993</v>
      </c>
      <c r="S88" s="148">
        <v>396.61127679999993</v>
      </c>
      <c r="T88" s="148">
        <v>396.61127679999993</v>
      </c>
      <c r="U88" s="148">
        <v>386.41375203999974</v>
      </c>
      <c r="V88" s="148">
        <v>386.41375203999974</v>
      </c>
      <c r="W88" s="148">
        <v>386.41375203999974</v>
      </c>
      <c r="X88" s="148">
        <v>386.41375203999974</v>
      </c>
      <c r="Y88" s="148">
        <v>375.75287583999989</v>
      </c>
      <c r="Z88" s="148">
        <v>375.75287583999989</v>
      </c>
      <c r="AA88" s="148">
        <v>370.81220955999993</v>
      </c>
      <c r="AB88" s="148">
        <v>370.81220955999993</v>
      </c>
      <c r="AC88" s="148">
        <v>370.81220955999993</v>
      </c>
      <c r="AD88" s="148">
        <v>370.81220955999993</v>
      </c>
      <c r="AE88" s="148">
        <v>370.81220955999993</v>
      </c>
      <c r="AF88" s="148">
        <v>370.81220955999993</v>
      </c>
      <c r="AG88" s="148">
        <v>370.81220955999993</v>
      </c>
      <c r="AH88" s="148">
        <v>370.81220955999993</v>
      </c>
      <c r="AI88" s="4"/>
      <c r="AJ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</row>
    <row r="89" spans="1:82">
      <c r="A89" s="4"/>
      <c r="B89" s="142" t="s">
        <v>36</v>
      </c>
      <c r="C89" s="148">
        <v>0</v>
      </c>
      <c r="D89" s="148">
        <v>0</v>
      </c>
      <c r="E89" s="148">
        <v>0</v>
      </c>
      <c r="F89" s="148">
        <v>0</v>
      </c>
      <c r="G89" s="148">
        <v>0</v>
      </c>
      <c r="H89" s="148">
        <v>0</v>
      </c>
      <c r="I89" s="148">
        <v>0</v>
      </c>
      <c r="J89" s="148">
        <v>0</v>
      </c>
      <c r="K89" s="148">
        <v>0</v>
      </c>
      <c r="L89" s="148">
        <v>0</v>
      </c>
      <c r="M89" s="148">
        <v>0</v>
      </c>
      <c r="N89" s="148">
        <v>0</v>
      </c>
      <c r="O89" s="148">
        <v>0</v>
      </c>
      <c r="P89" s="148">
        <v>0</v>
      </c>
      <c r="Q89" s="148">
        <v>0</v>
      </c>
      <c r="R89" s="148">
        <v>0</v>
      </c>
      <c r="S89" s="148">
        <v>0</v>
      </c>
      <c r="T89" s="148">
        <v>0</v>
      </c>
      <c r="U89" s="148">
        <v>0</v>
      </c>
      <c r="V89" s="148">
        <v>0</v>
      </c>
      <c r="W89" s="148">
        <v>0</v>
      </c>
      <c r="X89" s="148">
        <v>0</v>
      </c>
      <c r="Y89" s="148">
        <v>0</v>
      </c>
      <c r="Z89" s="148">
        <v>0</v>
      </c>
      <c r="AA89" s="148">
        <v>0</v>
      </c>
      <c r="AB89" s="148">
        <v>0</v>
      </c>
      <c r="AC89" s="148">
        <v>0</v>
      </c>
      <c r="AD89" s="148">
        <v>0</v>
      </c>
      <c r="AE89" s="148">
        <v>0</v>
      </c>
      <c r="AF89" s="148">
        <v>0</v>
      </c>
      <c r="AG89" s="148">
        <v>0</v>
      </c>
      <c r="AH89" s="148">
        <v>0</v>
      </c>
      <c r="AI89" s="4"/>
      <c r="AJ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</row>
    <row r="90" spans="1:82">
      <c r="A90" s="4"/>
      <c r="B90" s="142" t="s">
        <v>89</v>
      </c>
      <c r="C90" s="148">
        <v>724.11517600000002</v>
      </c>
      <c r="D90" s="148">
        <v>716.808898</v>
      </c>
      <c r="E90" s="148">
        <v>675.27160162000007</v>
      </c>
      <c r="F90" s="148">
        <v>665.22256762000006</v>
      </c>
      <c r="G90" s="148">
        <v>648.65652724000006</v>
      </c>
      <c r="H90" s="148">
        <v>632.77639485999998</v>
      </c>
      <c r="I90" s="148">
        <v>624.24503523999999</v>
      </c>
      <c r="J90" s="148">
        <v>600.31623676000004</v>
      </c>
      <c r="K90" s="148">
        <v>596.59322800000007</v>
      </c>
      <c r="L90" s="148">
        <v>588.05003362000002</v>
      </c>
      <c r="M90" s="148">
        <v>573.41075524000007</v>
      </c>
      <c r="N90" s="148">
        <v>573.15846724000005</v>
      </c>
      <c r="O90" s="148">
        <v>570.42183010000008</v>
      </c>
      <c r="P90" s="148">
        <v>570.42183010000008</v>
      </c>
      <c r="Q90" s="148">
        <v>569.39254762000007</v>
      </c>
      <c r="R90" s="148">
        <v>569.04215638000005</v>
      </c>
      <c r="S90" s="148">
        <v>568.6085407600001</v>
      </c>
      <c r="T90" s="148">
        <v>566.69271562000006</v>
      </c>
      <c r="U90" s="148">
        <v>566.69271562000006</v>
      </c>
      <c r="V90" s="148">
        <v>563.13615124000012</v>
      </c>
      <c r="W90" s="148">
        <v>563.13615124000012</v>
      </c>
      <c r="X90" s="148">
        <v>562.23124324000003</v>
      </c>
      <c r="Y90" s="148">
        <v>550.24755448000008</v>
      </c>
      <c r="Z90" s="148">
        <v>548.22838762000003</v>
      </c>
      <c r="AA90" s="148">
        <v>547.31733886000006</v>
      </c>
      <c r="AB90" s="148">
        <v>547.31733886000006</v>
      </c>
      <c r="AC90" s="148">
        <v>545.97443085999998</v>
      </c>
      <c r="AD90" s="148">
        <v>544.97141086000011</v>
      </c>
      <c r="AE90" s="148">
        <v>544.97141086000011</v>
      </c>
      <c r="AF90" s="148">
        <v>544.97141086000011</v>
      </c>
      <c r="AG90" s="148">
        <v>544.97141086000011</v>
      </c>
      <c r="AH90" s="148">
        <v>544.97141086000011</v>
      </c>
      <c r="AI90" s="4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</row>
    <row r="91" spans="1:82">
      <c r="A91" s="4"/>
      <c r="B91" s="142" t="s">
        <v>88</v>
      </c>
      <c r="C91" s="148">
        <v>725.83126000000004</v>
      </c>
      <c r="D91" s="148">
        <v>719.16095800000005</v>
      </c>
      <c r="E91" s="148">
        <v>680.69842162000009</v>
      </c>
      <c r="F91" s="148">
        <v>657.61625962000005</v>
      </c>
      <c r="G91" s="148">
        <v>641.42482312000004</v>
      </c>
      <c r="H91" s="148">
        <v>621.45493582000006</v>
      </c>
      <c r="I91" s="148">
        <v>609.09896896000009</v>
      </c>
      <c r="J91" s="148">
        <v>592.27015047999998</v>
      </c>
      <c r="K91" s="148">
        <v>586.42720420000001</v>
      </c>
      <c r="L91" s="148">
        <v>582.87897057999999</v>
      </c>
      <c r="M91" s="148">
        <v>575.68130344000008</v>
      </c>
      <c r="N91" s="148">
        <v>573.70154344000002</v>
      </c>
      <c r="O91" s="148">
        <v>570.84840706</v>
      </c>
      <c r="P91" s="148">
        <v>566.38080706000005</v>
      </c>
      <c r="Q91" s="148">
        <v>565.30772458000001</v>
      </c>
      <c r="R91" s="148">
        <v>561.72489334000011</v>
      </c>
      <c r="S91" s="148">
        <v>550.17834172000005</v>
      </c>
      <c r="T91" s="148">
        <v>547.12284934000002</v>
      </c>
      <c r="U91" s="148">
        <v>547.12284934000002</v>
      </c>
      <c r="V91" s="148">
        <v>536.25693220000005</v>
      </c>
      <c r="W91" s="148">
        <v>534.10197220000009</v>
      </c>
      <c r="X91" s="148">
        <v>534.10197220000009</v>
      </c>
      <c r="Y91" s="148">
        <v>533.1296122</v>
      </c>
      <c r="Z91" s="148">
        <v>526.99323658000003</v>
      </c>
      <c r="AA91" s="148">
        <v>511.85595658000005</v>
      </c>
      <c r="AB91" s="148">
        <v>511.85595658000005</v>
      </c>
      <c r="AC91" s="148">
        <v>508.53590782000003</v>
      </c>
      <c r="AD91" s="148">
        <v>504.49753906000007</v>
      </c>
      <c r="AE91" s="148">
        <v>498.49782382000006</v>
      </c>
      <c r="AF91" s="148">
        <v>498.49782382000006</v>
      </c>
      <c r="AG91" s="148">
        <v>498.49782382000006</v>
      </c>
      <c r="AH91" s="148">
        <v>498.46979182000007</v>
      </c>
      <c r="AI91" s="4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</row>
    <row r="92" spans="1:82">
      <c r="A92" s="4"/>
      <c r="B92" s="142" t="s">
        <v>90</v>
      </c>
      <c r="C92" s="148">
        <v>0</v>
      </c>
      <c r="D92" s="148">
        <v>0</v>
      </c>
      <c r="E92" s="148">
        <v>0</v>
      </c>
      <c r="F92" s="148">
        <v>0</v>
      </c>
      <c r="G92" s="148">
        <v>0</v>
      </c>
      <c r="H92" s="148">
        <v>0</v>
      </c>
      <c r="I92" s="148">
        <v>0</v>
      </c>
      <c r="J92" s="148">
        <v>0</v>
      </c>
      <c r="K92" s="148">
        <v>0</v>
      </c>
      <c r="L92" s="148">
        <v>0</v>
      </c>
      <c r="M92" s="148">
        <v>0</v>
      </c>
      <c r="N92" s="148">
        <v>0</v>
      </c>
      <c r="O92" s="148">
        <v>0</v>
      </c>
      <c r="P92" s="148">
        <v>0</v>
      </c>
      <c r="Q92" s="148">
        <v>0</v>
      </c>
      <c r="R92" s="148">
        <v>0</v>
      </c>
      <c r="S92" s="148">
        <v>0</v>
      </c>
      <c r="T92" s="148">
        <v>0</v>
      </c>
      <c r="U92" s="148">
        <v>0</v>
      </c>
      <c r="V92" s="148">
        <v>0</v>
      </c>
      <c r="W92" s="148">
        <v>0</v>
      </c>
      <c r="X92" s="148">
        <v>0</v>
      </c>
      <c r="Y92" s="148">
        <v>0</v>
      </c>
      <c r="Z92" s="148">
        <v>0</v>
      </c>
      <c r="AA92" s="148">
        <v>0</v>
      </c>
      <c r="AB92" s="148">
        <v>0</v>
      </c>
      <c r="AC92" s="148">
        <v>0</v>
      </c>
      <c r="AD92" s="148">
        <v>0</v>
      </c>
      <c r="AE92" s="148">
        <v>0</v>
      </c>
      <c r="AF92" s="148">
        <v>0</v>
      </c>
      <c r="AG92" s="148">
        <v>0</v>
      </c>
      <c r="AH92" s="148">
        <v>0</v>
      </c>
      <c r="AI92" s="4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</row>
    <row r="93" spans="1:82">
      <c r="A93" s="4"/>
      <c r="B93" s="142" t="s">
        <v>48</v>
      </c>
      <c r="C93" s="148">
        <v>59.982188000000001</v>
      </c>
      <c r="D93" s="148">
        <v>59.980727999999999</v>
      </c>
      <c r="E93" s="148">
        <v>59.979559999999999</v>
      </c>
      <c r="F93" s="148">
        <v>59.950505999999997</v>
      </c>
      <c r="G93" s="148">
        <v>59.941015999999998</v>
      </c>
      <c r="H93" s="148">
        <v>59.917656000000001</v>
      </c>
      <c r="I93" s="148">
        <v>59.914006000000001</v>
      </c>
      <c r="J93" s="148">
        <v>59.911085999999997</v>
      </c>
      <c r="K93" s="148">
        <v>59.911085999999997</v>
      </c>
      <c r="L93" s="148">
        <v>59.911085999999997</v>
      </c>
      <c r="M93" s="148">
        <v>59.801586</v>
      </c>
      <c r="N93" s="148">
        <v>59.801586</v>
      </c>
      <c r="O93" s="148">
        <v>59.801586</v>
      </c>
      <c r="P93" s="148">
        <v>59.801586</v>
      </c>
      <c r="Q93" s="148">
        <v>59.801586</v>
      </c>
      <c r="R93" s="148">
        <v>59.801586</v>
      </c>
      <c r="S93" s="148">
        <v>59.801586</v>
      </c>
      <c r="T93" s="148">
        <v>59.801586</v>
      </c>
      <c r="U93" s="148">
        <v>59.801586</v>
      </c>
      <c r="V93" s="148">
        <v>59.801586</v>
      </c>
      <c r="W93" s="148">
        <v>59.801586</v>
      </c>
      <c r="X93" s="148">
        <v>59.801586</v>
      </c>
      <c r="Y93" s="148">
        <v>59.801586</v>
      </c>
      <c r="Z93" s="148">
        <v>59.801586</v>
      </c>
      <c r="AA93" s="148">
        <v>59.801586</v>
      </c>
      <c r="AB93" s="148">
        <v>59.801586</v>
      </c>
      <c r="AC93" s="148">
        <v>59.801586</v>
      </c>
      <c r="AD93" s="148">
        <v>59.801586</v>
      </c>
      <c r="AE93" s="148">
        <v>59.738805999999997</v>
      </c>
      <c r="AF93" s="148">
        <v>59.738805999999997</v>
      </c>
      <c r="AG93" s="148">
        <v>59.738805999999997</v>
      </c>
      <c r="AH93" s="148">
        <v>59.738805999999997</v>
      </c>
      <c r="AI93" s="4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</row>
    <row r="94" spans="1:82">
      <c r="A94" s="4"/>
      <c r="B94" s="142" t="s">
        <v>51</v>
      </c>
      <c r="C94" s="148">
        <v>3.807188</v>
      </c>
      <c r="D94" s="148">
        <v>3.8057280000000002</v>
      </c>
      <c r="E94" s="148">
        <v>3.8045600000000004</v>
      </c>
      <c r="F94" s="148">
        <v>3.775506</v>
      </c>
      <c r="G94" s="148">
        <v>3.766016</v>
      </c>
      <c r="H94" s="148">
        <v>3.7426560000000002</v>
      </c>
      <c r="I94" s="148">
        <v>3.7390060000000003</v>
      </c>
      <c r="J94" s="148">
        <v>3.7360860000000002</v>
      </c>
      <c r="K94" s="148">
        <v>3.7360860000000002</v>
      </c>
      <c r="L94" s="148">
        <v>3.7360860000000002</v>
      </c>
      <c r="M94" s="148">
        <v>3.6265860000000001</v>
      </c>
      <c r="N94" s="148">
        <v>3.6265860000000001</v>
      </c>
      <c r="O94" s="148">
        <v>3.6265860000000001</v>
      </c>
      <c r="P94" s="148">
        <v>3.6265860000000001</v>
      </c>
      <c r="Q94" s="148">
        <v>3.6265860000000001</v>
      </c>
      <c r="R94" s="148">
        <v>3.6265860000000001</v>
      </c>
      <c r="S94" s="148">
        <v>3.6265860000000001</v>
      </c>
      <c r="T94" s="148">
        <v>3.6265860000000001</v>
      </c>
      <c r="U94" s="148">
        <v>3.6265860000000001</v>
      </c>
      <c r="V94" s="148">
        <v>3.6265860000000001</v>
      </c>
      <c r="W94" s="148">
        <v>3.6265860000000001</v>
      </c>
      <c r="X94" s="148">
        <v>3.6265860000000001</v>
      </c>
      <c r="Y94" s="148">
        <v>3.6265860000000001</v>
      </c>
      <c r="Z94" s="148">
        <v>3.6265860000000001</v>
      </c>
      <c r="AA94" s="148">
        <v>3.6265860000000001</v>
      </c>
      <c r="AB94" s="148">
        <v>3.6265860000000001</v>
      </c>
      <c r="AC94" s="148">
        <v>3.6265860000000001</v>
      </c>
      <c r="AD94" s="148">
        <v>3.6265860000000001</v>
      </c>
      <c r="AE94" s="148">
        <v>3.563806</v>
      </c>
      <c r="AF94" s="148">
        <v>3.563806</v>
      </c>
      <c r="AG94" s="148">
        <v>3.563806</v>
      </c>
      <c r="AH94" s="148">
        <v>3.563806</v>
      </c>
      <c r="AI94" s="4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</row>
    <row r="95" spans="1:82">
      <c r="A95" s="4"/>
      <c r="B95" s="142" t="s">
        <v>56</v>
      </c>
      <c r="C95" s="148">
        <v>272.63218799999999</v>
      </c>
      <c r="D95" s="148">
        <v>272.63072799999998</v>
      </c>
      <c r="E95" s="148">
        <v>272.62955999999997</v>
      </c>
      <c r="F95" s="148">
        <v>272.600506</v>
      </c>
      <c r="G95" s="148">
        <v>272.59101599999997</v>
      </c>
      <c r="H95" s="148">
        <v>272.567656</v>
      </c>
      <c r="I95" s="148">
        <v>272.56400599999995</v>
      </c>
      <c r="J95" s="148">
        <v>272.56108599999999</v>
      </c>
      <c r="K95" s="148">
        <v>272.56108599999999</v>
      </c>
      <c r="L95" s="148">
        <v>272.56108599999999</v>
      </c>
      <c r="M95" s="148">
        <v>272.45158599999996</v>
      </c>
      <c r="N95" s="148">
        <v>272.45158599999996</v>
      </c>
      <c r="O95" s="148">
        <v>272.45158599999996</v>
      </c>
      <c r="P95" s="148">
        <v>272.45158599999996</v>
      </c>
      <c r="Q95" s="148">
        <v>272.45158599999996</v>
      </c>
      <c r="R95" s="148">
        <v>272.45158599999996</v>
      </c>
      <c r="S95" s="148">
        <v>272.45158599999996</v>
      </c>
      <c r="T95" s="148">
        <v>272.45158599999996</v>
      </c>
      <c r="U95" s="148">
        <v>272.45158599999996</v>
      </c>
      <c r="V95" s="148">
        <v>272.45158599999996</v>
      </c>
      <c r="W95" s="148">
        <v>272.45158599999996</v>
      </c>
      <c r="X95" s="148">
        <v>272.45158599999996</v>
      </c>
      <c r="Y95" s="148">
        <v>272.45158599999996</v>
      </c>
      <c r="Z95" s="148">
        <v>272.45158599999996</v>
      </c>
      <c r="AA95" s="148">
        <v>272.45158599999996</v>
      </c>
      <c r="AB95" s="148">
        <v>272.45158599999996</v>
      </c>
      <c r="AC95" s="148">
        <v>272.45158599999996</v>
      </c>
      <c r="AD95" s="148">
        <v>272.45158599999996</v>
      </c>
      <c r="AE95" s="148">
        <v>272.38880599999999</v>
      </c>
      <c r="AF95" s="148">
        <v>272.38880599999999</v>
      </c>
      <c r="AG95" s="148">
        <v>272.38880599999999</v>
      </c>
      <c r="AH95" s="148">
        <v>272.38880599999999</v>
      </c>
      <c r="AI95" s="4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</row>
    <row r="96" spans="1:82">
      <c r="A96" s="4"/>
      <c r="B96" s="142" t="s">
        <v>59</v>
      </c>
      <c r="C96" s="148">
        <v>0</v>
      </c>
      <c r="D96" s="148">
        <v>0</v>
      </c>
      <c r="E96" s="148">
        <v>0</v>
      </c>
      <c r="F96" s="148">
        <v>0</v>
      </c>
      <c r="G96" s="148">
        <v>0</v>
      </c>
      <c r="H96" s="148">
        <v>0</v>
      </c>
      <c r="I96" s="148">
        <v>0</v>
      </c>
      <c r="J96" s="148">
        <v>0</v>
      </c>
      <c r="K96" s="148">
        <v>0</v>
      </c>
      <c r="L96" s="148">
        <v>0</v>
      </c>
      <c r="M96" s="148">
        <v>0</v>
      </c>
      <c r="N96" s="148">
        <v>0</v>
      </c>
      <c r="O96" s="148">
        <v>0</v>
      </c>
      <c r="P96" s="148">
        <v>0</v>
      </c>
      <c r="Q96" s="148">
        <v>0</v>
      </c>
      <c r="R96" s="148">
        <v>0</v>
      </c>
      <c r="S96" s="148">
        <v>0</v>
      </c>
      <c r="T96" s="148">
        <v>0</v>
      </c>
      <c r="U96" s="148">
        <v>0</v>
      </c>
      <c r="V96" s="148">
        <v>0</v>
      </c>
      <c r="W96" s="148">
        <v>0</v>
      </c>
      <c r="X96" s="148">
        <v>0</v>
      </c>
      <c r="Y96" s="148">
        <v>0</v>
      </c>
      <c r="Z96" s="148">
        <v>0</v>
      </c>
      <c r="AA96" s="148">
        <v>0</v>
      </c>
      <c r="AB96" s="148">
        <v>0</v>
      </c>
      <c r="AC96" s="148">
        <v>0</v>
      </c>
      <c r="AD96" s="148">
        <v>0</v>
      </c>
      <c r="AE96" s="148">
        <v>0</v>
      </c>
      <c r="AF96" s="148">
        <v>0</v>
      </c>
      <c r="AG96" s="148">
        <v>0</v>
      </c>
      <c r="AH96" s="148">
        <v>0</v>
      </c>
      <c r="AI96" s="4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</row>
    <row r="97" spans="1:82">
      <c r="A97" s="4"/>
      <c r="B97" s="142" t="s">
        <v>5</v>
      </c>
      <c r="C97" s="148">
        <v>792.72919999999999</v>
      </c>
      <c r="D97" s="148">
        <v>776.13425599999994</v>
      </c>
      <c r="E97" s="148">
        <v>728.29852399999993</v>
      </c>
      <c r="F97" s="148">
        <v>697.10589847999995</v>
      </c>
      <c r="G97" s="148">
        <v>667.47521599999993</v>
      </c>
      <c r="H97" s="148">
        <v>667.47521599999993</v>
      </c>
      <c r="I97" s="148">
        <v>639.2382144799999</v>
      </c>
      <c r="J97" s="148">
        <v>629.4445344799999</v>
      </c>
      <c r="K97" s="148">
        <v>629.4445344799999</v>
      </c>
      <c r="L97" s="148">
        <v>629.4445344799999</v>
      </c>
      <c r="M97" s="148">
        <v>629.4445344799999</v>
      </c>
      <c r="N97" s="148">
        <v>629.4445344799999</v>
      </c>
      <c r="O97" s="148">
        <v>629.4445344799999</v>
      </c>
      <c r="P97" s="148">
        <v>616.89146324000001</v>
      </c>
      <c r="Q97" s="148">
        <v>616.89146324000001</v>
      </c>
      <c r="R97" s="148">
        <v>616.89146324000001</v>
      </c>
      <c r="S97" s="148">
        <v>616.89146324000001</v>
      </c>
      <c r="T97" s="148">
        <v>616.89146324000001</v>
      </c>
      <c r="U97" s="148">
        <v>616.89146324000001</v>
      </c>
      <c r="V97" s="148">
        <v>616.89146324000001</v>
      </c>
      <c r="W97" s="148">
        <v>616.89146324000001</v>
      </c>
      <c r="X97" s="148">
        <v>616.89146324000001</v>
      </c>
      <c r="Y97" s="148">
        <v>616.89146324000001</v>
      </c>
      <c r="Z97" s="148">
        <v>616.89146324000001</v>
      </c>
      <c r="AA97" s="148">
        <v>616.89146324000001</v>
      </c>
      <c r="AB97" s="148">
        <v>616.89146324000001</v>
      </c>
      <c r="AC97" s="148">
        <v>616.89146324000001</v>
      </c>
      <c r="AD97" s="148">
        <v>616.89146324000001</v>
      </c>
      <c r="AE97" s="148">
        <v>616.89146324000001</v>
      </c>
      <c r="AF97" s="148">
        <v>616.89146324000001</v>
      </c>
      <c r="AG97" s="148">
        <v>616.89146324000001</v>
      </c>
      <c r="AH97" s="148">
        <v>616.89146324000001</v>
      </c>
      <c r="AI97" s="4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</row>
    <row r="98" spans="1:82">
      <c r="A98" s="4"/>
      <c r="B98" s="142" t="s">
        <v>6</v>
      </c>
      <c r="C98" s="148">
        <v>15.949188000000001</v>
      </c>
      <c r="D98" s="148">
        <v>15.947728</v>
      </c>
      <c r="E98" s="148">
        <v>15.94656</v>
      </c>
      <c r="F98" s="148">
        <v>15.917506000000001</v>
      </c>
      <c r="G98" s="148">
        <v>15.908016</v>
      </c>
      <c r="H98" s="148">
        <v>15.884656</v>
      </c>
      <c r="I98" s="148">
        <v>15.881006000000001</v>
      </c>
      <c r="J98" s="148">
        <v>15.878086</v>
      </c>
      <c r="K98" s="148">
        <v>15.878086</v>
      </c>
      <c r="L98" s="148">
        <v>15.878086</v>
      </c>
      <c r="M98" s="148">
        <v>15.768586000000001</v>
      </c>
      <c r="N98" s="148">
        <v>15.768586000000001</v>
      </c>
      <c r="O98" s="148">
        <v>15.768586000000001</v>
      </c>
      <c r="P98" s="148">
        <v>15.768586000000001</v>
      </c>
      <c r="Q98" s="148">
        <v>15.768586000000001</v>
      </c>
      <c r="R98" s="148">
        <v>15.768586000000001</v>
      </c>
      <c r="S98" s="148">
        <v>15.768586000000001</v>
      </c>
      <c r="T98" s="148">
        <v>15.768586000000001</v>
      </c>
      <c r="U98" s="148">
        <v>15.768586000000001</v>
      </c>
      <c r="V98" s="148">
        <v>15.768586000000001</v>
      </c>
      <c r="W98" s="148">
        <v>15.768586000000001</v>
      </c>
      <c r="X98" s="148">
        <v>15.768586000000001</v>
      </c>
      <c r="Y98" s="148">
        <v>15.768586000000001</v>
      </c>
      <c r="Z98" s="148">
        <v>15.768586000000001</v>
      </c>
      <c r="AA98" s="148">
        <v>15.768586000000001</v>
      </c>
      <c r="AB98" s="148">
        <v>15.768586000000001</v>
      </c>
      <c r="AC98" s="148">
        <v>15.768586000000001</v>
      </c>
      <c r="AD98" s="148">
        <v>15.768586000000001</v>
      </c>
      <c r="AE98" s="148">
        <v>15.705806000000001</v>
      </c>
      <c r="AF98" s="148">
        <v>15.705806000000001</v>
      </c>
      <c r="AG98" s="148">
        <v>15.705806000000001</v>
      </c>
      <c r="AH98" s="148">
        <v>15.705806000000001</v>
      </c>
      <c r="AI98" s="4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</row>
    <row r="99" spans="1:82">
      <c r="A99" s="4"/>
      <c r="B99" s="142" t="s">
        <v>7</v>
      </c>
      <c r="C99" s="148">
        <v>61.883188000000004</v>
      </c>
      <c r="D99" s="148">
        <v>61.881728000000003</v>
      </c>
      <c r="E99" s="148">
        <v>61.880560000000003</v>
      </c>
      <c r="F99" s="148">
        <v>61.851506000000001</v>
      </c>
      <c r="G99" s="148">
        <v>61.842016000000001</v>
      </c>
      <c r="H99" s="148">
        <v>61.818656000000004</v>
      </c>
      <c r="I99" s="148">
        <v>61.815006000000004</v>
      </c>
      <c r="J99" s="148">
        <v>61.812086000000001</v>
      </c>
      <c r="K99" s="148">
        <v>61.812086000000001</v>
      </c>
      <c r="L99" s="148">
        <v>61.812086000000001</v>
      </c>
      <c r="M99" s="148">
        <v>61.702586000000004</v>
      </c>
      <c r="N99" s="148">
        <v>61.702586000000004</v>
      </c>
      <c r="O99" s="148">
        <v>61.702586000000004</v>
      </c>
      <c r="P99" s="148">
        <v>61.702586000000004</v>
      </c>
      <c r="Q99" s="148">
        <v>61.702586000000004</v>
      </c>
      <c r="R99" s="148">
        <v>61.702586000000004</v>
      </c>
      <c r="S99" s="148">
        <v>61.702586000000004</v>
      </c>
      <c r="T99" s="148">
        <v>61.702586000000004</v>
      </c>
      <c r="U99" s="148">
        <v>61.702586000000004</v>
      </c>
      <c r="V99" s="148">
        <v>61.702586000000004</v>
      </c>
      <c r="W99" s="148">
        <v>61.702586000000004</v>
      </c>
      <c r="X99" s="148">
        <v>61.702586000000004</v>
      </c>
      <c r="Y99" s="148">
        <v>61.702586000000004</v>
      </c>
      <c r="Z99" s="148">
        <v>61.702586000000004</v>
      </c>
      <c r="AA99" s="148">
        <v>61.702586000000004</v>
      </c>
      <c r="AB99" s="148">
        <v>61.702586000000004</v>
      </c>
      <c r="AC99" s="148">
        <v>61.702586000000004</v>
      </c>
      <c r="AD99" s="148">
        <v>61.702586000000004</v>
      </c>
      <c r="AE99" s="148">
        <v>61.639806</v>
      </c>
      <c r="AF99" s="148">
        <v>61.639806</v>
      </c>
      <c r="AG99" s="148">
        <v>61.639806</v>
      </c>
      <c r="AH99" s="148">
        <v>61.639806</v>
      </c>
      <c r="AI99" s="4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</row>
    <row r="100" spans="1:82">
      <c r="A100" s="4"/>
      <c r="B100" s="142" t="s">
        <v>72</v>
      </c>
      <c r="C100" s="148">
        <v>292.50618800000001</v>
      </c>
      <c r="D100" s="148">
        <v>292.504728</v>
      </c>
      <c r="E100" s="148">
        <v>292.50355999999999</v>
      </c>
      <c r="F100" s="148">
        <v>292.47450600000002</v>
      </c>
      <c r="G100" s="148">
        <v>292.46501599999999</v>
      </c>
      <c r="H100" s="148">
        <v>292.44165600000002</v>
      </c>
      <c r="I100" s="148">
        <v>292.43800599999997</v>
      </c>
      <c r="J100" s="148">
        <v>292.43508600000001</v>
      </c>
      <c r="K100" s="148">
        <v>292.43508600000001</v>
      </c>
      <c r="L100" s="148">
        <v>292.43508600000001</v>
      </c>
      <c r="M100" s="148">
        <v>292.32558599999999</v>
      </c>
      <c r="N100" s="148">
        <v>292.32558599999999</v>
      </c>
      <c r="O100" s="148">
        <v>292.32558599999999</v>
      </c>
      <c r="P100" s="148">
        <v>292.32558599999999</v>
      </c>
      <c r="Q100" s="148">
        <v>292.32558599999999</v>
      </c>
      <c r="R100" s="148">
        <v>292.32558599999999</v>
      </c>
      <c r="S100" s="148">
        <v>292.32558599999999</v>
      </c>
      <c r="T100" s="148">
        <v>292.32558599999999</v>
      </c>
      <c r="U100" s="148">
        <v>292.32558599999999</v>
      </c>
      <c r="V100" s="148">
        <v>292.32558599999999</v>
      </c>
      <c r="W100" s="148">
        <v>292.32558599999999</v>
      </c>
      <c r="X100" s="148">
        <v>292.32558599999999</v>
      </c>
      <c r="Y100" s="148">
        <v>292.32558599999999</v>
      </c>
      <c r="Z100" s="148">
        <v>292.32558599999999</v>
      </c>
      <c r="AA100" s="148">
        <v>292.32558599999999</v>
      </c>
      <c r="AB100" s="148">
        <v>292.32558599999999</v>
      </c>
      <c r="AC100" s="148">
        <v>292.32558599999999</v>
      </c>
      <c r="AD100" s="148">
        <v>292.32558599999999</v>
      </c>
      <c r="AE100" s="148">
        <v>292.26280600000001</v>
      </c>
      <c r="AF100" s="148">
        <v>292.26280600000001</v>
      </c>
      <c r="AG100" s="148">
        <v>292.26280600000001</v>
      </c>
      <c r="AH100" s="148">
        <v>292.26280600000001</v>
      </c>
      <c r="AI100" s="4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</row>
    <row r="101" spans="1:82">
      <c r="A101" s="4"/>
      <c r="B101" s="142" t="s">
        <v>178</v>
      </c>
      <c r="C101" s="148">
        <v>47.147851080000692</v>
      </c>
      <c r="D101" s="148">
        <v>47.13823260000072</v>
      </c>
      <c r="E101" s="148">
        <v>47.138337719999981</v>
      </c>
      <c r="F101" s="148">
        <v>47.138486639999883</v>
      </c>
      <c r="G101" s="148">
        <v>47.138215080000464</v>
      </c>
      <c r="H101" s="148">
        <v>47.129455080000298</v>
      </c>
      <c r="I101" s="148">
        <v>47.129481360000227</v>
      </c>
      <c r="J101" s="148">
        <v>47.129472600000099</v>
      </c>
      <c r="K101" s="148">
        <v>47.129674080000314</v>
      </c>
      <c r="L101" s="148">
        <v>47.129525159999957</v>
      </c>
      <c r="M101" s="148">
        <v>47.129516400000284</v>
      </c>
      <c r="N101" s="148">
        <v>47.129455080000753</v>
      </c>
      <c r="O101" s="148">
        <v>47.129481360000227</v>
      </c>
      <c r="P101" s="148">
        <v>47.129726639999717</v>
      </c>
      <c r="Q101" s="148">
        <v>47.12977920000003</v>
      </c>
      <c r="R101" s="148">
        <v>47.129516400000284</v>
      </c>
      <c r="S101" s="148">
        <v>47.129507639999701</v>
      </c>
      <c r="T101" s="148">
        <v>47.129752920000101</v>
      </c>
      <c r="U101" s="148">
        <v>47.129691600000115</v>
      </c>
      <c r="V101" s="148">
        <v>47.129770439999902</v>
      </c>
      <c r="W101" s="148">
        <v>47.129752920000101</v>
      </c>
      <c r="X101" s="148">
        <v>47.129735399999845</v>
      </c>
      <c r="Y101" s="148">
        <v>47.129840520000016</v>
      </c>
      <c r="Z101" s="148">
        <v>47.12995439999986</v>
      </c>
      <c r="AA101" s="148">
        <v>47.130024479999975</v>
      </c>
      <c r="AB101" s="148">
        <v>47.130024479999975</v>
      </c>
      <c r="AC101" s="148">
        <v>47.129875560000073</v>
      </c>
      <c r="AD101" s="148">
        <v>47.129884320000201</v>
      </c>
      <c r="AE101" s="148">
        <v>47.12982299999976</v>
      </c>
      <c r="AF101" s="148">
        <v>47.12982299999976</v>
      </c>
      <c r="AG101" s="148">
        <v>47.12982299999976</v>
      </c>
      <c r="AH101" s="148">
        <v>47.129787959999703</v>
      </c>
      <c r="AI101" s="4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</row>
    <row r="102" spans="1:8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</row>
    <row r="103" spans="1:82">
      <c r="A103" s="4"/>
      <c r="B103" s="142" t="s">
        <v>162</v>
      </c>
      <c r="C103" s="148">
        <f t="shared" ref="C103:AH103" si="97">SUM(C88:C101)</f>
        <v>4083.4305246000004</v>
      </c>
      <c r="D103" s="148">
        <f t="shared" si="97"/>
        <v>4030.5586686000001</v>
      </c>
      <c r="E103" s="148">
        <f t="shared" si="97"/>
        <v>3831.4256040000005</v>
      </c>
      <c r="F103" s="148">
        <f t="shared" si="97"/>
        <v>3694.30980912</v>
      </c>
      <c r="G103" s="148">
        <f t="shared" si="97"/>
        <v>3525.8789064000002</v>
      </c>
      <c r="H103" s="148">
        <f t="shared" si="97"/>
        <v>3382.4420532000004</v>
      </c>
      <c r="I103" s="148">
        <f t="shared" si="97"/>
        <v>3240.5669766000001</v>
      </c>
      <c r="J103" s="148">
        <f t="shared" si="97"/>
        <v>3143.5657796400005</v>
      </c>
      <c r="K103" s="148">
        <f t="shared" si="97"/>
        <v>3101.9855811600005</v>
      </c>
      <c r="L103" s="148">
        <f t="shared" si="97"/>
        <v>3071.6697790799999</v>
      </c>
      <c r="M103" s="148">
        <f t="shared" si="97"/>
        <v>3044.39289108</v>
      </c>
      <c r="N103" s="148">
        <f t="shared" si="97"/>
        <v>3016.6516354800006</v>
      </c>
      <c r="O103" s="148">
        <f t="shared" si="97"/>
        <v>2987.9004044399999</v>
      </c>
      <c r="P103" s="148">
        <f t="shared" si="97"/>
        <v>2928.5252558399998</v>
      </c>
      <c r="Q103" s="148">
        <f t="shared" si="97"/>
        <v>2926.4229434399999</v>
      </c>
      <c r="R103" s="148">
        <f t="shared" si="97"/>
        <v>2897.0758221600004</v>
      </c>
      <c r="S103" s="148">
        <f t="shared" si="97"/>
        <v>2885.0956461599999</v>
      </c>
      <c r="T103" s="148">
        <f t="shared" si="97"/>
        <v>2880.1245739200003</v>
      </c>
      <c r="U103" s="148">
        <f t="shared" si="97"/>
        <v>2869.92698784</v>
      </c>
      <c r="V103" s="148">
        <f t="shared" si="97"/>
        <v>2855.5045851599998</v>
      </c>
      <c r="W103" s="148">
        <f t="shared" si="97"/>
        <v>2853.3496076400002</v>
      </c>
      <c r="X103" s="148">
        <f t="shared" si="97"/>
        <v>2852.4446821199999</v>
      </c>
      <c r="Y103" s="148">
        <f t="shared" si="97"/>
        <v>2828.8278622799999</v>
      </c>
      <c r="Z103" s="148">
        <f t="shared" si="97"/>
        <v>2820.6724336799998</v>
      </c>
      <c r="AA103" s="148">
        <f t="shared" si="97"/>
        <v>2799.6835087200002</v>
      </c>
      <c r="AB103" s="148">
        <f t="shared" si="97"/>
        <v>2799.6835087200002</v>
      </c>
      <c r="AC103" s="148">
        <f t="shared" si="97"/>
        <v>2795.02040304</v>
      </c>
      <c r="AD103" s="148">
        <f t="shared" si="97"/>
        <v>2789.9790230400004</v>
      </c>
      <c r="AE103" s="148">
        <f t="shared" si="97"/>
        <v>2783.6025664800004</v>
      </c>
      <c r="AF103" s="148">
        <f t="shared" si="97"/>
        <v>2783.6025664800004</v>
      </c>
      <c r="AG103" s="148">
        <f t="shared" si="97"/>
        <v>2783.6025664800004</v>
      </c>
      <c r="AH103" s="148">
        <f t="shared" si="97"/>
        <v>2783.5744994400002</v>
      </c>
      <c r="AI103" s="4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</row>
    <row r="104" spans="1:82">
      <c r="A104" s="4"/>
      <c r="B104" s="142" t="s">
        <v>163</v>
      </c>
      <c r="C104" s="4">
        <v>4578.8618159999996</v>
      </c>
      <c r="D104" s="4">
        <v>4617.2041019999997</v>
      </c>
      <c r="E104" s="4">
        <v>4654.576172</v>
      </c>
      <c r="F104" s="4">
        <v>4691.001953</v>
      </c>
      <c r="G104" s="4">
        <v>4726.5024409999996</v>
      </c>
      <c r="H104" s="4">
        <v>4761.1015630000002</v>
      </c>
      <c r="I104" s="4">
        <v>4794.8212890000004</v>
      </c>
      <c r="J104" s="4">
        <v>4827.6845700000003</v>
      </c>
      <c r="K104" s="4">
        <v>4859.7114259999998</v>
      </c>
      <c r="L104" s="4">
        <v>4890.9248049999997</v>
      </c>
      <c r="M104" s="4">
        <v>4921.3447269999997</v>
      </c>
      <c r="N104" s="4">
        <v>4950.9931640000004</v>
      </c>
      <c r="O104" s="4">
        <v>4979.8896480000003</v>
      </c>
      <c r="P104" s="4">
        <v>5008.0546880000002</v>
      </c>
      <c r="Q104" s="4">
        <v>5035.5058589999999</v>
      </c>
      <c r="R104" s="4">
        <v>5062.265625</v>
      </c>
      <c r="S104" s="4">
        <v>5088.3496089999999</v>
      </c>
      <c r="T104" s="4">
        <v>5113.7783200000003</v>
      </c>
      <c r="U104" s="4">
        <v>5138.5668949999999</v>
      </c>
      <c r="V104" s="4">
        <v>5162.734375</v>
      </c>
      <c r="W104" s="4">
        <v>5186.2983400000003</v>
      </c>
      <c r="X104" s="4">
        <v>5209.2734380000002</v>
      </c>
      <c r="Y104" s="4">
        <v>5231.6777339999999</v>
      </c>
      <c r="Z104" s="4">
        <v>5253.5253910000001</v>
      </c>
      <c r="AA104" s="4">
        <v>5274.8320309999999</v>
      </c>
      <c r="AB104" s="4">
        <v>5295.6123049999997</v>
      </c>
      <c r="AC104" s="4">
        <v>5315.8823240000002</v>
      </c>
      <c r="AD104" s="4">
        <v>5335.654297</v>
      </c>
      <c r="AE104" s="4">
        <v>5354.9428710000002</v>
      </c>
      <c r="AF104" s="4">
        <v>5373.7617190000001</v>
      </c>
      <c r="AG104" s="4">
        <v>5392.123047</v>
      </c>
      <c r="AH104" s="4">
        <v>5410.0405270000001</v>
      </c>
      <c r="AI104" s="4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</row>
    <row r="105" spans="1:82">
      <c r="A105" s="4"/>
      <c r="B105" s="142" t="s">
        <v>140</v>
      </c>
      <c r="C105" s="148">
        <f>C104-C103</f>
        <v>495.43129139999928</v>
      </c>
      <c r="D105" s="148">
        <f>D104-D103-C105</f>
        <v>91.214142000000265</v>
      </c>
      <c r="E105" s="148">
        <f>E104-E103-D105-C105</f>
        <v>236.50513460000002</v>
      </c>
      <c r="F105" s="148">
        <f>F104-F103-E105-D105-C105</f>
        <v>173.54157588000044</v>
      </c>
      <c r="G105" s="148">
        <f>G104-G103-F105-E105-D105-C105</f>
        <v>203.9313907199994</v>
      </c>
      <c r="H105" s="148">
        <f>H104-H103-G105-F105-E105-D105-C105</f>
        <v>178.03597520000039</v>
      </c>
      <c r="I105" s="148">
        <f>I104-I103-H105-G105-F105-E105-D105-C105</f>
        <v>175.59480260000055</v>
      </c>
      <c r="J105" s="148">
        <f>J104-J103-I105-H105-G105-F105-E105-D105-C105</f>
        <v>129.86447795999948</v>
      </c>
      <c r="K105" s="148">
        <f>K104-K103-J105-I105-H105-G105-F105-E105-D105-C105</f>
        <v>73.607054479999533</v>
      </c>
      <c r="L105" s="148">
        <f>L104-L103-K105-J105-I105-H105-G105-F105-E105-D105-C105</f>
        <v>61.529181080000399</v>
      </c>
      <c r="M105" s="148">
        <f>M104-M103-L105-K105-J105-I105-H105-G105-F105-E105-D105-C105</f>
        <v>57.696809999999914</v>
      </c>
      <c r="N105" s="148">
        <f>N104-N103-M105-L105-K105-J105-I105-H105-G105-F105-E105-D105-C105</f>
        <v>57.389692600000217</v>
      </c>
      <c r="O105" s="148">
        <f>O104-O103-N105-M105-L105-K105-J105-I105-H105-G105-F105-E105-D105-C105</f>
        <v>57.647715040000548</v>
      </c>
      <c r="P105" s="148">
        <f>P104-P103-O105-N105-M105-L105-K105-J105-I105-H105-G105-F105-E105-D105-C105</f>
        <v>87.540188599999965</v>
      </c>
      <c r="Q105" s="148">
        <f>Q104-Q103-P105-O105-N105-M105-L105-K105-J105-I105-H105-G105-F105-E105-D105-C105</f>
        <v>29.55348339999955</v>
      </c>
      <c r="R105" s="148">
        <f>R104-R103-Q105-P105-O105-N105-M105-L105-K105-J105-I105-H105-G105-F105-E105-D105-C105</f>
        <v>56.106887279999683</v>
      </c>
      <c r="S105" s="148">
        <f>S104-S103-R105-Q105-P105-O105-N105-M105-L105-K105-J105-I105-H105-G105-F105-E105-D105-C105</f>
        <v>38.064160000000356</v>
      </c>
      <c r="T105" s="148">
        <f>T104-T103-S105-R105-Q105-P105-O105-N105-M105-L105-K105-J105-I105-H105-G105-F105-E105-D105-C105</f>
        <v>30.399783240000033</v>
      </c>
      <c r="U105" s="148">
        <f>U104-U103-T105-S105-R105-Q105-P105-O105-N105-M105-L105-K105-J105-I105-H105-G105-F105-E105-D105-C105</f>
        <v>34.986161079999874</v>
      </c>
      <c r="V105" s="148">
        <f>V104-V103-U105-T105-S105-R105-Q105-P105-O105-N105-M105-L105-K105-J105-I105-H105-G105-F105-E105-D105-C105</f>
        <v>38.589882680000301</v>
      </c>
      <c r="W105" s="148">
        <f>W104-W103-V105-U105-T105-S105-R105-Q105-P105-O105-N105-M105-L105-K105-J105-I105-H105-G105-F105-E105-D105-C105</f>
        <v>25.718942519999928</v>
      </c>
      <c r="X105" s="148">
        <f>X104-X103-W105-V105-U105-T105-S105-R105-Q105-P105-O105-N105-M105-L105-K105-J105-I105-H105-G105-F105-E105-D105-C105</f>
        <v>23.880023520000123</v>
      </c>
      <c r="Y105" s="148">
        <f>Y104-Y103-X105-W105-V105-U105-T105-S105-R105-Q105-P105-O105-N105-M105-L105-K105-J105-I105-H105-G105-F105-E105-D105-C105</f>
        <v>46.021115839999766</v>
      </c>
      <c r="Z105" s="148">
        <f>Z104-Z103-Y105-X105-W105-V105-U105-T105-S105-R105-Q105-P105-O105-N105-M105-L105-K105-J105-I105-H105-G105-F105-E105-D105-C105</f>
        <v>30.003085600000304</v>
      </c>
      <c r="AA105" s="148">
        <f>AA104-AA103-Z105-Y105-X105-W105-V105-U105-T105-S105-R105-Q105-P105-O105-N105-M105-L105-K105-J105-I105-H105-G105-F105-E105-D105-C105</f>
        <v>42.29556495999941</v>
      </c>
      <c r="AB105" s="148">
        <f>AB104-AB103-AA105-Z105-Y105-X105-W105-V105-U105-T105-S105-R105-Q105-P105-O105-N105-M105-L105-K105-J105-I105-H105-G105-F105-E105-D105-C105</f>
        <v>20.780273999999736</v>
      </c>
      <c r="AC105" s="148">
        <f>AC104-AC103-AB105-AA105-Z105-Y105-X105-W105-V105-U105-T105-S105-R105-Q105-P105-O105-N105-M105-L105-K105-J105-I105-H105-G105-F105-E105-D105-C105</f>
        <v>24.933124680000674</v>
      </c>
      <c r="AD105" s="148">
        <f>AD104-AD103-AC105-AB105-AA105-Z105-Y105-X105-W105-V105-U105-T105-S105-R105-Q105-P105-O105-N105-M105-L105-K105-J105-I105-H105-G105-F105-E105-D105-C105</f>
        <v>24.813352999999552</v>
      </c>
      <c r="AE105" s="148">
        <f>AE104-AE103-AD105-AC105-AB105-AA105-Z105-Y105-X105-W105-V105-U105-T105-S105-R105-Q105-P105-O105-N105-M105-L105-K105-J105-I105-H105-G105-F105-E105-D105-C105</f>
        <v>25.665030560000105</v>
      </c>
      <c r="AF105" s="148">
        <f>AF104-AF103-AE105-AD105-AC105-AB105-AA105-Z105-Y105-X105-W105-V105-U105-T105-S105-R105-Q105-P105-O105-N105-M105-L105-K105-J105-I105-H105-G105-F105-E105-D105-C105</f>
        <v>18.818847999999889</v>
      </c>
      <c r="AG105" s="148">
        <f>AG104-AG103-AF105-AE105-AD105-AC105-AB105-AA105-Z105-Y105-X105-W105-V105-U105-T105-S105-R105-Q105-P105-O105-N105-M105-L105-K105-J105-I105-H105-G105-F105-E105-D105-C105</f>
        <v>18.361327999999958</v>
      </c>
      <c r="AH105" s="148">
        <f>AH104-AH103-AG105-AF105-AE105-AD105-AC105-AB105-AA105-Z105-Y105-X105-W105-V105-U105-T105-S105-R105-Q105-P105-O105-N105-M105-L105-K105-J105-I105-H105-G105-F105-E105-D105-C105</f>
        <v>17.945547040000292</v>
      </c>
      <c r="AI105" s="4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</row>
    <row r="106" spans="1:8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</row>
    <row r="107" spans="1:8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</row>
    <row r="108" spans="1:8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</row>
    <row r="109" spans="1:8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</row>
    <row r="110" spans="1:8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</row>
    <row r="111" spans="1:82">
      <c r="A111" s="4"/>
      <c r="B111" s="142" t="s">
        <v>77</v>
      </c>
      <c r="C111" s="142">
        <v>2019</v>
      </c>
      <c r="D111" s="142">
        <v>2020</v>
      </c>
      <c r="E111" s="142">
        <v>2021</v>
      </c>
      <c r="F111" s="142">
        <v>2022</v>
      </c>
      <c r="G111" s="142">
        <v>2023</v>
      </c>
      <c r="H111" s="142">
        <v>2024</v>
      </c>
      <c r="I111" s="142">
        <v>2025</v>
      </c>
      <c r="J111" s="142">
        <v>2026</v>
      </c>
      <c r="K111" s="142">
        <v>2027</v>
      </c>
      <c r="L111" s="142">
        <v>2028</v>
      </c>
      <c r="M111" s="142">
        <v>2029</v>
      </c>
      <c r="N111" s="142">
        <v>2030</v>
      </c>
      <c r="O111" s="142">
        <v>2031</v>
      </c>
      <c r="P111" s="142">
        <v>2032</v>
      </c>
      <c r="Q111" s="142">
        <v>2033</v>
      </c>
      <c r="R111" s="142">
        <v>2034</v>
      </c>
      <c r="S111" s="142">
        <v>2035</v>
      </c>
      <c r="T111" s="142">
        <v>2036</v>
      </c>
      <c r="U111" s="142">
        <v>2037</v>
      </c>
      <c r="V111" s="142">
        <v>2038</v>
      </c>
      <c r="W111" s="142">
        <v>2039</v>
      </c>
      <c r="X111" s="142">
        <v>2040</v>
      </c>
      <c r="Y111" s="142">
        <v>2041</v>
      </c>
      <c r="Z111" s="142">
        <v>2042</v>
      </c>
      <c r="AA111" s="142">
        <v>2043</v>
      </c>
      <c r="AB111" s="142">
        <v>2044</v>
      </c>
      <c r="AC111" s="142">
        <v>2045</v>
      </c>
      <c r="AD111" s="142">
        <v>2046</v>
      </c>
      <c r="AE111" s="142">
        <v>2047</v>
      </c>
      <c r="AF111" s="142">
        <v>2048</v>
      </c>
      <c r="AG111" s="142">
        <v>2049</v>
      </c>
      <c r="AH111" s="142">
        <v>2050</v>
      </c>
      <c r="AI111" s="4"/>
      <c r="AJ111" s="1"/>
      <c r="AK111" s="1" t="s">
        <v>113</v>
      </c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</row>
    <row r="112" spans="1:82">
      <c r="A112" s="4"/>
      <c r="B112" s="149" t="s">
        <v>81</v>
      </c>
      <c r="C112" s="141">
        <f>C88+VLOOKUP($B$112,C56:D66,2,FALSE)</f>
        <v>1086.8469095200001</v>
      </c>
      <c r="D112" s="141">
        <f>C112-(C88-D88)+VLOOKUP(B112,$E$56:$F$66,2,FALSE)</f>
        <v>1064.5649559999999</v>
      </c>
      <c r="E112" s="141">
        <f>D112-(D88-E88)+VLOOKUP(B112,$G$56:$H$66,2,FALSE)</f>
        <v>993.27435904000004</v>
      </c>
      <c r="F112" s="141">
        <f>E112-(E88-F88)+VLOOKUP(B112,$I$56:$J$66,2,FALSE)</f>
        <v>920.65656076000005</v>
      </c>
      <c r="G112" s="141">
        <f>F112-(F88-G88)+VLOOKUP(B112,$K$56:$L$66,2,FALSE)</f>
        <v>814.67102895999994</v>
      </c>
      <c r="H112" s="141">
        <f>G112-(G88-H88)+VLOOKUP(B112,$M$56:$N$66,2,FALSE)</f>
        <v>707.23311544000001</v>
      </c>
      <c r="I112" s="141">
        <f>H112-(H88-I88)+VLOOKUP(B112,$O$56:$P$66,2,FALSE)</f>
        <v>614.50424056000008</v>
      </c>
      <c r="J112" s="141">
        <f>I112-(I88-J88)+VLOOKUP(B112,$Q$56:$R$66,2,FALSE)</f>
        <v>568.07186932000002</v>
      </c>
      <c r="K112" s="141">
        <f>J112-(J88-K88)+VLOOKUP(B112,$S$56:$T$66,2,FALSE)</f>
        <v>536.05742439999983</v>
      </c>
      <c r="L112" s="141">
        <f>K112-(K88-L88)+VLOOKUP(B112,$U$56:$V$66,2,FALSE)</f>
        <v>517.83319924000011</v>
      </c>
      <c r="M112" s="141">
        <f>L112-(L88-M88)+VLOOKUP(B112,$W$56:$X$66,2,FALSE)</f>
        <v>513.05026552000004</v>
      </c>
      <c r="N112" s="141">
        <f>M112-(M88-N88)+VLOOKUP(B112,$Y$56:$Z$66,2,FALSE)</f>
        <v>487.54111924000006</v>
      </c>
      <c r="O112" s="141">
        <f>N112-(N88-O88)+VLOOKUP(B112,$AA$56:$AB$66,2,FALSE)</f>
        <v>464.3796354399999</v>
      </c>
      <c r="P112" s="141">
        <f>O112-(O88-P88)+VLOOKUP(B112,$AC$56:$AD$66,2,FALSE)</f>
        <v>422.02491279999992</v>
      </c>
      <c r="Q112" s="141">
        <f>P112-(P88-Q88)+VLOOKUP(B112,$AE$56:$AF$66,2,FALSE)</f>
        <v>422.02491279999992</v>
      </c>
      <c r="R112" s="141">
        <f>Q112-(Q88-R88)+VLOOKUP(B112,$AG$56:$AH$66,2,FALSE)</f>
        <v>396.61127679999993</v>
      </c>
      <c r="S112" s="141">
        <f>R112-(R88-S88)+VLOOKUP(B112,$C$73:$D$83,2,FALSE)</f>
        <v>396.61127679999993</v>
      </c>
      <c r="T112" s="141">
        <f>S112-(S88-T88)+VLOOKUP(B112,$E$73:$F$83,2,FALSE)</f>
        <v>396.61127679999993</v>
      </c>
      <c r="U112" s="141">
        <f>T112-(T88-U88)+VLOOKUP(B112,$G$73:$H$83,2,FALSE)</f>
        <v>386.41375203999974</v>
      </c>
      <c r="V112" s="141">
        <f>U112-(U88-V88)+VLOOKUP(B112,$I$73:$J$83,2,FALSE)</f>
        <v>386.41375203999974</v>
      </c>
      <c r="W112" s="141">
        <f>V112-(V88-W88)+VLOOKUP(B112,$K$73:$L$83,2,FALSE)</f>
        <v>386.41375203999974</v>
      </c>
      <c r="X112" s="141">
        <f>W112-(W88-X88)+VLOOKUP(B112,$M$73:$N$83,2,FALSE)</f>
        <v>386.41375203999974</v>
      </c>
      <c r="Y112" s="141">
        <f>X112-(X88-Y88)+VLOOKUP(B112,$O$73:$P$83,2,FALSE)</f>
        <v>375.75287583999989</v>
      </c>
      <c r="Z112" s="141">
        <f>Y112-(Y88-Z88)+VLOOKUP(B112,$Q$73:$R$83,2,FALSE)</f>
        <v>375.75287583999989</v>
      </c>
      <c r="AA112" s="141">
        <f>Z112-(Z88-AA88)+VLOOKUP(B112,$S$73:$T$83,2,FALSE)</f>
        <v>370.81220955999993</v>
      </c>
      <c r="AB112" s="141">
        <f>AA112-(AA88-AB88)+VLOOKUP(B112,$U$73:$V$83,2,FALSE)</f>
        <v>370.81220955999993</v>
      </c>
      <c r="AC112" s="141">
        <f>AB112-(AB88-AC88)+VLOOKUP(B112,$W$73:$X$83,2,FALSE)</f>
        <v>370.81220955999993</v>
      </c>
      <c r="AD112" s="141">
        <f>AC112-(AC88-AD88)+VLOOKUP(B112,$Y$73:$Z$83,2,FALSE)</f>
        <v>370.81220955999993</v>
      </c>
      <c r="AE112" s="141">
        <f>AD112-(AD88-AE88)+VLOOKUP(B112,$AA$73:$AB$83,2,FALSE)</f>
        <v>370.81220955999993</v>
      </c>
      <c r="AF112" s="141">
        <f>AE112-(AE88-AF88)+VLOOKUP(B112,$AC$73:$AD$83,2,FALSE)</f>
        <v>370.81220955999993</v>
      </c>
      <c r="AG112" s="141">
        <f>AF112-(AF88-AG88)+VLOOKUP(B112,$AE$73:$AF$83,2,FALSE)</f>
        <v>370.81220955999993</v>
      </c>
      <c r="AH112" s="141">
        <f>AG112-(AG88-AH88)+VLOOKUP(B112,$AG$73:$AH$83,2,FALSE)</f>
        <v>370.81220955999993</v>
      </c>
      <c r="AI112" s="4"/>
      <c r="AJ112" s="1"/>
      <c r="AK112" s="1">
        <v>1000</v>
      </c>
      <c r="AL112" s="1">
        <f t="shared" ref="AL112:AL125" si="98">AK112/10^(-9)</f>
        <v>999999999999.99988</v>
      </c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</row>
    <row r="113" spans="1:82">
      <c r="A113" s="4"/>
      <c r="B113" s="149" t="s">
        <v>96</v>
      </c>
      <c r="C113" s="141">
        <f>C89+VLOOKUP(B113,$C$56:$D$66,2,FALSE)</f>
        <v>93.813291399999287</v>
      </c>
      <c r="D113" s="141">
        <f>C113-(C89-D89)+VLOOKUP(B113,$E$56:$F$66,2,FALSE)</f>
        <v>93.813291399999287</v>
      </c>
      <c r="E113" s="141">
        <f>D113-(D89-E89)+VLOOKUP(B113,$G$56:$H$66,2,FALSE)</f>
        <v>93.813291399999287</v>
      </c>
      <c r="F113" s="141">
        <f t="shared" ref="F113:F124" si="99">E113-(E89-F89)+VLOOKUP(B113,$I$56:$J$66,2,FALSE)</f>
        <v>93.813291399999287</v>
      </c>
      <c r="G113" s="141">
        <f t="shared" ref="G113:G124" si="100">F113-(F89-G89)+VLOOKUP(B113,$K$56:$L$66,2,FALSE)</f>
        <v>93.813291399999287</v>
      </c>
      <c r="H113" s="141">
        <f t="shared" ref="H113:H124" si="101">G113-(G89-H89)+VLOOKUP(B113,$M$56:$N$66,2,FALSE)</f>
        <v>93.813291399999287</v>
      </c>
      <c r="I113" s="141">
        <f t="shared" ref="I113:I124" si="102">H113-(H89-I89)+VLOOKUP(B113,$O$56:$P$66,2,FALSE)</f>
        <v>93.813291399999287</v>
      </c>
      <c r="J113" s="141">
        <f t="shared" ref="J113:J124" si="103">I113-(I89-J89)+VLOOKUP(B113,$Q$56:$R$66,2,FALSE)</f>
        <v>93.813291399999287</v>
      </c>
      <c r="K113" s="141">
        <f t="shared" ref="K113:K123" si="104">J113-(J89-K89)+VLOOKUP(B113,$S$56:$T$66,2,FALSE)</f>
        <v>93.813291399999287</v>
      </c>
      <c r="L113" s="141">
        <f t="shared" ref="L113:L124" si="105">K113-(K89-L89)+VLOOKUP(B113,$U$56:$V$66,2,FALSE)</f>
        <v>93.813291399999287</v>
      </c>
      <c r="M113" s="141">
        <f t="shared" ref="M113:M123" si="106">L113-(L89-M89)+VLOOKUP(B113,$W$56:$X$66,2,FALSE)</f>
        <v>93.813291399999287</v>
      </c>
      <c r="N113" s="141">
        <f t="shared" ref="N113:N123" si="107">M113-(M89-N89)+VLOOKUP(B113,$Y$56:$Z$66,2,FALSE)</f>
        <v>93.813291399999287</v>
      </c>
      <c r="O113" s="141">
        <f t="shared" ref="O113:O124" si="108">N113-(N89-O89)+VLOOKUP(B113,$AA$56:$AB$66,2,FALSE)</f>
        <v>93.813291399999287</v>
      </c>
      <c r="P113" s="141">
        <f t="shared" ref="P113:P124" si="109">O113-(O89-P89)+VLOOKUP(B113,$AC$56:$AD$66,2,FALSE)</f>
        <v>93.813291399999287</v>
      </c>
      <c r="Q113" s="141">
        <f t="shared" ref="Q113:Q124" si="110">P113-(P89-Q89)+VLOOKUP(B113,$AE$56:$AF$66,2,FALSE)</f>
        <v>93.813291399999287</v>
      </c>
      <c r="R113" s="141">
        <f t="shared" ref="R113:R124" si="111">Q113-(Q89-R89)+VLOOKUP(B113,$AG$56:$AH$66,2,FALSE)</f>
        <v>93.813291399999287</v>
      </c>
      <c r="S113" s="141">
        <f t="shared" ref="S113:S124" si="112">R113-(R89-S89)+VLOOKUP(B113,$C$73:$D$83,2,FALSE)</f>
        <v>93.813291399999287</v>
      </c>
      <c r="T113" s="141">
        <f t="shared" ref="T113:T124" si="113">S113-(S89-T89)+VLOOKUP(B113,$E$73:$F$83,2,FALSE)</f>
        <v>93.813291399999287</v>
      </c>
      <c r="U113" s="141">
        <f t="shared" ref="U113:U124" si="114">T113-(T89-U89)+VLOOKUP(B113,$G$73:$H$83,2,FALSE)</f>
        <v>93.813291399999287</v>
      </c>
      <c r="V113" s="141">
        <f t="shared" ref="V113:V124" si="115">U113-(U89-V89)+VLOOKUP(B113,$I$73:$J$83,2,FALSE)</f>
        <v>93.813291399999287</v>
      </c>
      <c r="W113" s="141">
        <f t="shared" ref="W113:W124" si="116">V113-(V89-W89)+VLOOKUP(B113,$K$73:$L$83,2,FALSE)</f>
        <v>93.813291399999287</v>
      </c>
      <c r="X113" s="141">
        <f t="shared" ref="X113:X124" si="117">W113-(W89-X89)+VLOOKUP(B113,$M$73:$N$83,2,FALSE)</f>
        <v>93.813291399999287</v>
      </c>
      <c r="Y113" s="141">
        <f t="shared" ref="Y113:Y124" si="118">X113-(X89-Y89)+VLOOKUP(B113,$O$73:$P$83,2,FALSE)</f>
        <v>93.813291399999287</v>
      </c>
      <c r="Z113" s="141">
        <f t="shared" ref="Z113:Z124" si="119">Y113-(Y89-Z89)+VLOOKUP(B113,$Q$73:$R$83,2,FALSE)</f>
        <v>93.813291399999287</v>
      </c>
      <c r="AA113" s="141">
        <f t="shared" ref="AA113:AA124" si="120">Z113-(Z89-AA89)+VLOOKUP(B113,$S$73:$T$83,2,FALSE)</f>
        <v>93.813291399999287</v>
      </c>
      <c r="AB113" s="141">
        <f t="shared" ref="AB113:AB124" si="121">AA113-(AA89-AB89)+VLOOKUP(B113,$U$73:$V$83,2,FALSE)</f>
        <v>93.813291399999287</v>
      </c>
      <c r="AC113" s="141">
        <f t="shared" ref="AC113:AC124" si="122">AB113-(AB89-AC89)+VLOOKUP(B113,$W$73:$X$83,2,FALSE)</f>
        <v>93.813291399999287</v>
      </c>
      <c r="AD113" s="141">
        <f t="shared" ref="AD113:AD124" si="123">AC113-(AC89-AD89)+VLOOKUP(B113,$Y$73:$Z$83,2,FALSE)</f>
        <v>93.813291399999287</v>
      </c>
      <c r="AE113" s="141">
        <f t="shared" ref="AE113:AE124" si="124">AD113-(AD89-AE89)+VLOOKUP(B113,$AA$73:$AB$83,2,FALSE)</f>
        <v>93.813291399999287</v>
      </c>
      <c r="AF113" s="141">
        <f t="shared" ref="AF113:AF124" si="125">AE113-(AE89-AF89)+VLOOKUP(B113,$AC$73:$AD$83,2,FALSE)</f>
        <v>93.813291399999287</v>
      </c>
      <c r="AG113" s="141">
        <f t="shared" ref="AG113:AG124" si="126">AF113-(AF89-AG89)+VLOOKUP(B113,$AE$73:$AF$83,2,FALSE)</f>
        <v>93.813291399999287</v>
      </c>
      <c r="AH113" s="141">
        <f t="shared" ref="AH113:AH124" si="127">AG113-(AG89-AH89)+VLOOKUP(B113,$AG$73:$AH$83,2,FALSE)</f>
        <v>93.813291399999287</v>
      </c>
      <c r="AI113" s="4"/>
      <c r="AJ113" s="1"/>
      <c r="AK113" s="1">
        <v>222.87170139311257</v>
      </c>
      <c r="AL113" s="1">
        <f t="shared" si="98"/>
        <v>222871701393.11255</v>
      </c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</row>
    <row r="114" spans="1:82">
      <c r="A114" s="4"/>
      <c r="B114" s="149" t="s">
        <v>89</v>
      </c>
      <c r="C114" s="141">
        <f>C90</f>
        <v>724.11517600000002</v>
      </c>
      <c r="D114" s="141">
        <f t="shared" ref="D114:AH115" si="128">D90</f>
        <v>716.808898</v>
      </c>
      <c r="E114" s="141">
        <f t="shared" si="128"/>
        <v>675.27160162000007</v>
      </c>
      <c r="F114" s="141">
        <f t="shared" si="128"/>
        <v>665.22256762000006</v>
      </c>
      <c r="G114" s="141">
        <f t="shared" si="128"/>
        <v>648.65652724000006</v>
      </c>
      <c r="H114" s="141">
        <f t="shared" si="128"/>
        <v>632.77639485999998</v>
      </c>
      <c r="I114" s="141">
        <f t="shared" si="128"/>
        <v>624.24503523999999</v>
      </c>
      <c r="J114" s="141">
        <f t="shared" si="128"/>
        <v>600.31623676000004</v>
      </c>
      <c r="K114" s="141">
        <f t="shared" si="128"/>
        <v>596.59322800000007</v>
      </c>
      <c r="L114" s="141">
        <f t="shared" si="128"/>
        <v>588.05003362000002</v>
      </c>
      <c r="M114" s="141">
        <f t="shared" si="128"/>
        <v>573.41075524000007</v>
      </c>
      <c r="N114" s="141">
        <f t="shared" si="128"/>
        <v>573.15846724000005</v>
      </c>
      <c r="O114" s="141">
        <f t="shared" si="128"/>
        <v>570.42183010000008</v>
      </c>
      <c r="P114" s="141">
        <f t="shared" si="128"/>
        <v>570.42183010000008</v>
      </c>
      <c r="Q114" s="141">
        <f t="shared" si="128"/>
        <v>569.39254762000007</v>
      </c>
      <c r="R114" s="141">
        <f t="shared" si="128"/>
        <v>569.04215638000005</v>
      </c>
      <c r="S114" s="141">
        <f t="shared" si="128"/>
        <v>568.6085407600001</v>
      </c>
      <c r="T114" s="141">
        <f t="shared" si="128"/>
        <v>566.69271562000006</v>
      </c>
      <c r="U114" s="141">
        <f t="shared" si="128"/>
        <v>566.69271562000006</v>
      </c>
      <c r="V114" s="141">
        <f t="shared" si="128"/>
        <v>563.13615124000012</v>
      </c>
      <c r="W114" s="141">
        <f t="shared" si="128"/>
        <v>563.13615124000012</v>
      </c>
      <c r="X114" s="141">
        <f t="shared" si="128"/>
        <v>562.23124324000003</v>
      </c>
      <c r="Y114" s="141">
        <f t="shared" si="128"/>
        <v>550.24755448000008</v>
      </c>
      <c r="Z114" s="141">
        <f t="shared" si="128"/>
        <v>548.22838762000003</v>
      </c>
      <c r="AA114" s="141">
        <f t="shared" si="128"/>
        <v>547.31733886000006</v>
      </c>
      <c r="AB114" s="141">
        <f t="shared" si="128"/>
        <v>547.31733886000006</v>
      </c>
      <c r="AC114" s="141">
        <f t="shared" si="128"/>
        <v>545.97443085999998</v>
      </c>
      <c r="AD114" s="141">
        <f t="shared" si="128"/>
        <v>544.97141086000011</v>
      </c>
      <c r="AE114" s="141">
        <f t="shared" si="128"/>
        <v>544.97141086000011</v>
      </c>
      <c r="AF114" s="141">
        <f t="shared" si="128"/>
        <v>544.97141086000011</v>
      </c>
      <c r="AG114" s="141">
        <f t="shared" si="128"/>
        <v>544.97141086000011</v>
      </c>
      <c r="AH114" s="141">
        <f t="shared" si="128"/>
        <v>544.97141086000011</v>
      </c>
      <c r="AI114" s="4"/>
      <c r="AJ114" s="1"/>
      <c r="AK114" s="1">
        <v>652</v>
      </c>
      <c r="AL114" s="1">
        <f t="shared" si="98"/>
        <v>652000000000</v>
      </c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</row>
    <row r="115" spans="1:82">
      <c r="A115" s="4"/>
      <c r="B115" s="149" t="s">
        <v>88</v>
      </c>
      <c r="C115" s="141">
        <f>C91</f>
        <v>725.83126000000004</v>
      </c>
      <c r="D115" s="141">
        <f t="shared" si="128"/>
        <v>719.16095800000005</v>
      </c>
      <c r="E115" s="141">
        <f t="shared" si="128"/>
        <v>680.69842162000009</v>
      </c>
      <c r="F115" s="141">
        <f t="shared" si="128"/>
        <v>657.61625962000005</v>
      </c>
      <c r="G115" s="141">
        <f t="shared" si="128"/>
        <v>641.42482312000004</v>
      </c>
      <c r="H115" s="141">
        <f t="shared" si="128"/>
        <v>621.45493582000006</v>
      </c>
      <c r="I115" s="141">
        <f t="shared" si="128"/>
        <v>609.09896896000009</v>
      </c>
      <c r="J115" s="141">
        <f t="shared" si="128"/>
        <v>592.27015047999998</v>
      </c>
      <c r="K115" s="141">
        <f t="shared" si="128"/>
        <v>586.42720420000001</v>
      </c>
      <c r="L115" s="141">
        <f t="shared" si="128"/>
        <v>582.87897057999999</v>
      </c>
      <c r="M115" s="141">
        <f t="shared" si="128"/>
        <v>575.68130344000008</v>
      </c>
      <c r="N115" s="141">
        <f t="shared" si="128"/>
        <v>573.70154344000002</v>
      </c>
      <c r="O115" s="141">
        <f t="shared" si="128"/>
        <v>570.84840706</v>
      </c>
      <c r="P115" s="141">
        <f t="shared" si="128"/>
        <v>566.38080706000005</v>
      </c>
      <c r="Q115" s="141">
        <f t="shared" si="128"/>
        <v>565.30772458000001</v>
      </c>
      <c r="R115" s="141">
        <f t="shared" si="128"/>
        <v>561.72489334000011</v>
      </c>
      <c r="S115" s="141">
        <f t="shared" si="128"/>
        <v>550.17834172000005</v>
      </c>
      <c r="T115" s="141">
        <f t="shared" si="128"/>
        <v>547.12284934000002</v>
      </c>
      <c r="U115" s="141">
        <f t="shared" si="128"/>
        <v>547.12284934000002</v>
      </c>
      <c r="V115" s="141">
        <f t="shared" si="128"/>
        <v>536.25693220000005</v>
      </c>
      <c r="W115" s="141">
        <f t="shared" si="128"/>
        <v>534.10197220000009</v>
      </c>
      <c r="X115" s="141">
        <f t="shared" si="128"/>
        <v>534.10197220000009</v>
      </c>
      <c r="Y115" s="141">
        <f t="shared" si="128"/>
        <v>533.1296122</v>
      </c>
      <c r="Z115" s="141">
        <f t="shared" si="128"/>
        <v>526.99323658000003</v>
      </c>
      <c r="AA115" s="141">
        <f t="shared" si="128"/>
        <v>511.85595658000005</v>
      </c>
      <c r="AB115" s="141">
        <f t="shared" si="128"/>
        <v>511.85595658000005</v>
      </c>
      <c r="AC115" s="141">
        <f t="shared" si="128"/>
        <v>508.53590782000003</v>
      </c>
      <c r="AD115" s="141">
        <f t="shared" si="128"/>
        <v>504.49753906000007</v>
      </c>
      <c r="AE115" s="141">
        <f t="shared" si="128"/>
        <v>498.49782382000006</v>
      </c>
      <c r="AF115" s="141">
        <f t="shared" si="128"/>
        <v>498.49782382000006</v>
      </c>
      <c r="AG115" s="141">
        <f t="shared" si="128"/>
        <v>498.49782382000006</v>
      </c>
      <c r="AH115" s="141">
        <f t="shared" si="128"/>
        <v>498.46979182000007</v>
      </c>
      <c r="AI115" s="4"/>
      <c r="AJ115" s="1"/>
      <c r="AK115" s="1">
        <v>441</v>
      </c>
      <c r="AL115" s="1">
        <f t="shared" si="98"/>
        <v>441000000000</v>
      </c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</row>
    <row r="116" spans="1:82">
      <c r="A116" s="4"/>
      <c r="B116" s="149" t="s">
        <v>97</v>
      </c>
      <c r="C116" s="141">
        <f t="shared" ref="C116:C124" si="129">C92+VLOOKUP(B116,$C$56:$D$66,2,FALSE)</f>
        <v>212.20500000000001</v>
      </c>
      <c r="D116" s="141">
        <f t="shared" ref="D116:D124" si="130">C116-(C92-D92)+VLOOKUP(B116,$E$56:$F$66,2,FALSE)</f>
        <v>212.20500000000001</v>
      </c>
      <c r="E116" s="141">
        <f t="shared" ref="E116:E124" si="131">D116-(D92-E92)+VLOOKUP(B116,$G$56:$H$66,2,FALSE)</f>
        <v>318.17297459999997</v>
      </c>
      <c r="F116" s="141">
        <f t="shared" si="99"/>
        <v>339.98624248000044</v>
      </c>
      <c r="G116" s="141">
        <f t="shared" si="100"/>
        <v>355.45800199999985</v>
      </c>
      <c r="H116" s="141">
        <f t="shared" si="101"/>
        <v>355.45800199999985</v>
      </c>
      <c r="I116" s="141">
        <f t="shared" si="102"/>
        <v>471.15280460000042</v>
      </c>
      <c r="J116" s="141">
        <f t="shared" si="103"/>
        <v>541.11728255999992</v>
      </c>
      <c r="K116" s="141">
        <f t="shared" si="104"/>
        <v>554.82433703999948</v>
      </c>
      <c r="L116" s="141">
        <f t="shared" si="105"/>
        <v>556.4535181199999</v>
      </c>
      <c r="M116" s="141">
        <f t="shared" si="106"/>
        <v>556.4535181199999</v>
      </c>
      <c r="N116" s="141">
        <f t="shared" si="107"/>
        <v>556.4535181199999</v>
      </c>
      <c r="O116" s="141">
        <f t="shared" si="108"/>
        <v>556.4535181199999</v>
      </c>
      <c r="P116" s="141">
        <f t="shared" si="109"/>
        <v>584.09370671999989</v>
      </c>
      <c r="Q116" s="141">
        <f t="shared" si="110"/>
        <v>584.09370671999989</v>
      </c>
      <c r="R116" s="141">
        <f t="shared" si="111"/>
        <v>584.09370671999989</v>
      </c>
      <c r="S116" s="141">
        <f t="shared" si="112"/>
        <v>584.09370671999989</v>
      </c>
      <c r="T116" s="141">
        <f t="shared" si="113"/>
        <v>584.09370671999989</v>
      </c>
      <c r="U116" s="141">
        <f t="shared" si="114"/>
        <v>584.09370671999989</v>
      </c>
      <c r="V116" s="141">
        <f t="shared" si="115"/>
        <v>584.09370671999989</v>
      </c>
      <c r="W116" s="141">
        <f t="shared" si="116"/>
        <v>584.09370671999989</v>
      </c>
      <c r="X116" s="141">
        <f t="shared" si="117"/>
        <v>584.09370671999989</v>
      </c>
      <c r="Y116" s="141">
        <f t="shared" si="118"/>
        <v>584.09370671999989</v>
      </c>
      <c r="Z116" s="141">
        <f t="shared" si="119"/>
        <v>584.09370671999989</v>
      </c>
      <c r="AA116" s="141">
        <f t="shared" si="120"/>
        <v>584.09370671999989</v>
      </c>
      <c r="AB116" s="141">
        <f t="shared" si="121"/>
        <v>584.09370671999989</v>
      </c>
      <c r="AC116" s="141">
        <f t="shared" si="122"/>
        <v>584.09370671999989</v>
      </c>
      <c r="AD116" s="141">
        <f t="shared" si="123"/>
        <v>584.09370671999989</v>
      </c>
      <c r="AE116" s="141">
        <f t="shared" si="124"/>
        <v>584.09370671999989</v>
      </c>
      <c r="AF116" s="141">
        <f t="shared" si="125"/>
        <v>584.09370671999989</v>
      </c>
      <c r="AG116" s="141">
        <f t="shared" si="126"/>
        <v>584.09370671999989</v>
      </c>
      <c r="AH116" s="141">
        <f t="shared" si="127"/>
        <v>584.09370671999989</v>
      </c>
      <c r="AI116" s="4"/>
      <c r="AJ116" s="1"/>
      <c r="AK116" s="1">
        <v>98.343000000000004</v>
      </c>
      <c r="AL116" s="1">
        <f t="shared" si="98"/>
        <v>98343000000</v>
      </c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</row>
    <row r="117" spans="1:82">
      <c r="A117" s="4"/>
      <c r="B117" s="149" t="s">
        <v>98</v>
      </c>
      <c r="C117" s="141">
        <f t="shared" si="129"/>
        <v>77.214188000000007</v>
      </c>
      <c r="D117" s="141">
        <f t="shared" si="130"/>
        <v>96.167928000000003</v>
      </c>
      <c r="E117" s="141">
        <f t="shared" si="131"/>
        <v>118.91300000000001</v>
      </c>
      <c r="F117" s="141">
        <f t="shared" si="99"/>
        <v>148.454058</v>
      </c>
      <c r="G117" s="141">
        <f t="shared" si="100"/>
        <v>189.84272480000001</v>
      </c>
      <c r="H117" s="141">
        <f t="shared" si="101"/>
        <v>251.91660000000002</v>
      </c>
      <c r="I117" s="141">
        <f t="shared" si="102"/>
        <v>251.91295000000002</v>
      </c>
      <c r="J117" s="141">
        <f t="shared" si="103"/>
        <v>251.91003000000001</v>
      </c>
      <c r="K117" s="141">
        <f t="shared" si="104"/>
        <v>251.91003000000001</v>
      </c>
      <c r="L117" s="141">
        <f t="shared" si="105"/>
        <v>251.91003000000001</v>
      </c>
      <c r="M117" s="141">
        <f t="shared" si="106"/>
        <v>251.80053000000001</v>
      </c>
      <c r="N117" s="141">
        <f t="shared" si="107"/>
        <v>251.80053000000001</v>
      </c>
      <c r="O117" s="141">
        <f t="shared" si="108"/>
        <v>251.80053000000001</v>
      </c>
      <c r="P117" s="141">
        <f t="shared" si="109"/>
        <v>251.80053000000001</v>
      </c>
      <c r="Q117" s="141">
        <f t="shared" si="110"/>
        <v>251.80053000000001</v>
      </c>
      <c r="R117" s="141">
        <f t="shared" si="111"/>
        <v>251.80053000000001</v>
      </c>
      <c r="S117" s="141">
        <f t="shared" si="112"/>
        <v>251.80053000000001</v>
      </c>
      <c r="T117" s="141">
        <f t="shared" si="113"/>
        <v>251.80053000000001</v>
      </c>
      <c r="U117" s="141">
        <f t="shared" si="114"/>
        <v>251.80053000000001</v>
      </c>
      <c r="V117" s="141">
        <f t="shared" si="115"/>
        <v>251.80053000000001</v>
      </c>
      <c r="W117" s="141">
        <f t="shared" si="116"/>
        <v>251.80053000000001</v>
      </c>
      <c r="X117" s="141">
        <f t="shared" si="117"/>
        <v>251.80053000000001</v>
      </c>
      <c r="Y117" s="141">
        <f t="shared" si="118"/>
        <v>251.80053000000001</v>
      </c>
      <c r="Z117" s="141">
        <f t="shared" si="119"/>
        <v>251.80053000000001</v>
      </c>
      <c r="AA117" s="141">
        <f t="shared" si="120"/>
        <v>251.80053000000001</v>
      </c>
      <c r="AB117" s="141">
        <f t="shared" si="121"/>
        <v>251.80053000000001</v>
      </c>
      <c r="AC117" s="141">
        <f t="shared" si="122"/>
        <v>251.80053000000001</v>
      </c>
      <c r="AD117" s="141">
        <f t="shared" si="123"/>
        <v>251.80053000000001</v>
      </c>
      <c r="AE117" s="141">
        <f t="shared" si="124"/>
        <v>251.73775000000001</v>
      </c>
      <c r="AF117" s="141">
        <f t="shared" si="125"/>
        <v>251.73775000000001</v>
      </c>
      <c r="AG117" s="141">
        <f t="shared" si="126"/>
        <v>251.73775000000001</v>
      </c>
      <c r="AH117" s="141">
        <f t="shared" si="127"/>
        <v>251.73775000000001</v>
      </c>
      <c r="AI117" s="4"/>
      <c r="AJ117" s="1"/>
      <c r="AK117" s="1">
        <v>45</v>
      </c>
      <c r="AL117" s="1">
        <f t="shared" si="98"/>
        <v>45000000000</v>
      </c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</row>
    <row r="118" spans="1:82">
      <c r="A118" s="4"/>
      <c r="B118" s="149" t="s">
        <v>99</v>
      </c>
      <c r="C118" s="141">
        <f t="shared" si="129"/>
        <v>3.807188</v>
      </c>
      <c r="D118" s="141">
        <f t="shared" si="130"/>
        <v>3.8057280000000002</v>
      </c>
      <c r="E118" s="141">
        <f t="shared" si="131"/>
        <v>3.8045600000000004</v>
      </c>
      <c r="F118" s="141">
        <f t="shared" si="99"/>
        <v>3.775506</v>
      </c>
      <c r="G118" s="141">
        <f t="shared" si="100"/>
        <v>3.766016</v>
      </c>
      <c r="H118" s="141">
        <f t="shared" si="101"/>
        <v>3.7426560000000002</v>
      </c>
      <c r="I118" s="141">
        <f t="shared" si="102"/>
        <v>3.7390060000000003</v>
      </c>
      <c r="J118" s="141">
        <f t="shared" si="103"/>
        <v>3.7360860000000002</v>
      </c>
      <c r="K118" s="141">
        <f t="shared" si="104"/>
        <v>3.7360860000000002</v>
      </c>
      <c r="L118" s="141">
        <f t="shared" si="105"/>
        <v>3.7360860000000002</v>
      </c>
      <c r="M118" s="141">
        <f t="shared" si="106"/>
        <v>3.6265860000000001</v>
      </c>
      <c r="N118" s="141">
        <f t="shared" si="107"/>
        <v>3.6265860000000001</v>
      </c>
      <c r="O118" s="141">
        <f t="shared" si="108"/>
        <v>3.6265860000000001</v>
      </c>
      <c r="P118" s="141">
        <f t="shared" si="109"/>
        <v>3.6265860000000001</v>
      </c>
      <c r="Q118" s="141">
        <f t="shared" si="110"/>
        <v>3.6265860000000001</v>
      </c>
      <c r="R118" s="141">
        <f t="shared" si="111"/>
        <v>3.6265860000000001</v>
      </c>
      <c r="S118" s="141">
        <f t="shared" si="112"/>
        <v>3.6265860000000001</v>
      </c>
      <c r="T118" s="141">
        <f t="shared" si="113"/>
        <v>3.6265860000000001</v>
      </c>
      <c r="U118" s="141">
        <f t="shared" si="114"/>
        <v>3.6265860000000001</v>
      </c>
      <c r="V118" s="141">
        <f t="shared" si="115"/>
        <v>3.6265860000000001</v>
      </c>
      <c r="W118" s="141">
        <f t="shared" si="116"/>
        <v>3.6265860000000001</v>
      </c>
      <c r="X118" s="141">
        <f t="shared" si="117"/>
        <v>3.6265860000000001</v>
      </c>
      <c r="Y118" s="141">
        <f t="shared" si="118"/>
        <v>3.6265860000000001</v>
      </c>
      <c r="Z118" s="141">
        <f t="shared" si="119"/>
        <v>3.6265860000000001</v>
      </c>
      <c r="AA118" s="141">
        <f t="shared" si="120"/>
        <v>3.6265860000000001</v>
      </c>
      <c r="AB118" s="141">
        <f t="shared" si="121"/>
        <v>3.6265860000000001</v>
      </c>
      <c r="AC118" s="141">
        <f t="shared" si="122"/>
        <v>3.6265860000000001</v>
      </c>
      <c r="AD118" s="141">
        <f t="shared" si="123"/>
        <v>3.6265860000000001</v>
      </c>
      <c r="AE118" s="141">
        <f t="shared" si="124"/>
        <v>3.563806</v>
      </c>
      <c r="AF118" s="141">
        <f t="shared" si="125"/>
        <v>3.563806</v>
      </c>
      <c r="AG118" s="141">
        <f t="shared" si="126"/>
        <v>3.563806</v>
      </c>
      <c r="AH118" s="141">
        <f t="shared" si="127"/>
        <v>3.563806</v>
      </c>
      <c r="AI118" s="4"/>
      <c r="AJ118" s="1"/>
      <c r="AK118" s="1">
        <v>22</v>
      </c>
      <c r="AL118" s="1">
        <f t="shared" si="98"/>
        <v>22000000000</v>
      </c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</row>
    <row r="119" spans="1:82">
      <c r="A119" s="4"/>
      <c r="B119" s="149" t="s">
        <v>100</v>
      </c>
      <c r="C119" s="141">
        <f t="shared" si="129"/>
        <v>308.90618799999999</v>
      </c>
      <c r="D119" s="141">
        <f t="shared" si="130"/>
        <v>348.806128</v>
      </c>
      <c r="E119" s="141">
        <f t="shared" si="131"/>
        <v>396.68664000000001</v>
      </c>
      <c r="F119" s="141">
        <f t="shared" si="99"/>
        <v>458.90377000000007</v>
      </c>
      <c r="G119" s="141">
        <f t="shared" si="100"/>
        <v>546.03893760000005</v>
      </c>
      <c r="H119" s="141">
        <f t="shared" si="101"/>
        <v>646.01557760000014</v>
      </c>
      <c r="I119" s="141">
        <f t="shared" si="102"/>
        <v>646.01192760000004</v>
      </c>
      <c r="J119" s="141">
        <f t="shared" si="103"/>
        <v>646.00900760000013</v>
      </c>
      <c r="K119" s="141">
        <f t="shared" si="104"/>
        <v>646.00900760000013</v>
      </c>
      <c r="L119" s="141">
        <f t="shared" si="105"/>
        <v>646.00900760000013</v>
      </c>
      <c r="M119" s="141">
        <f t="shared" si="106"/>
        <v>645.89950760000011</v>
      </c>
      <c r="N119" s="141">
        <f t="shared" si="107"/>
        <v>645.89950760000011</v>
      </c>
      <c r="O119" s="141">
        <f t="shared" si="108"/>
        <v>645.89950760000011</v>
      </c>
      <c r="P119" s="141">
        <f t="shared" si="109"/>
        <v>645.89950760000011</v>
      </c>
      <c r="Q119" s="141">
        <f t="shared" si="110"/>
        <v>645.89950760000011</v>
      </c>
      <c r="R119" s="141">
        <f t="shared" si="111"/>
        <v>645.89950760000011</v>
      </c>
      <c r="S119" s="141">
        <f t="shared" si="112"/>
        <v>645.89950760000011</v>
      </c>
      <c r="T119" s="141">
        <f t="shared" si="113"/>
        <v>645.89950760000011</v>
      </c>
      <c r="U119" s="141">
        <f t="shared" si="114"/>
        <v>645.89950760000011</v>
      </c>
      <c r="V119" s="141">
        <f t="shared" si="115"/>
        <v>645.89950760000011</v>
      </c>
      <c r="W119" s="141">
        <f t="shared" si="116"/>
        <v>645.89950760000011</v>
      </c>
      <c r="X119" s="141">
        <f t="shared" si="117"/>
        <v>645.89950760000011</v>
      </c>
      <c r="Y119" s="141">
        <f t="shared" si="118"/>
        <v>645.89950760000011</v>
      </c>
      <c r="Z119" s="141">
        <f t="shared" si="119"/>
        <v>645.89950760000011</v>
      </c>
      <c r="AA119" s="141">
        <f t="shared" si="120"/>
        <v>645.89950760000011</v>
      </c>
      <c r="AB119" s="141">
        <f t="shared" si="121"/>
        <v>645.89950760000011</v>
      </c>
      <c r="AC119" s="141">
        <f t="shared" si="122"/>
        <v>645.89950760000011</v>
      </c>
      <c r="AD119" s="141">
        <f t="shared" si="123"/>
        <v>645.89950760000011</v>
      </c>
      <c r="AE119" s="141">
        <f t="shared" si="124"/>
        <v>645.83672760000013</v>
      </c>
      <c r="AF119" s="141">
        <f t="shared" si="125"/>
        <v>645.83672760000013</v>
      </c>
      <c r="AG119" s="141">
        <f t="shared" si="126"/>
        <v>645.83672760000013</v>
      </c>
      <c r="AH119" s="141">
        <f t="shared" si="127"/>
        <v>645.83672760000013</v>
      </c>
      <c r="AI119" s="4"/>
      <c r="AJ119" s="1"/>
      <c r="AK119" s="1">
        <v>11</v>
      </c>
      <c r="AL119" s="1">
        <f t="shared" si="98"/>
        <v>11000000000</v>
      </c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</row>
    <row r="120" spans="1:82">
      <c r="A120" s="4"/>
      <c r="B120" s="149" t="s">
        <v>101</v>
      </c>
      <c r="C120" s="141">
        <f t="shared" si="129"/>
        <v>7.0000000000000001E-3</v>
      </c>
      <c r="D120" s="141">
        <f t="shared" si="130"/>
        <v>7.0000000000000001E-3</v>
      </c>
      <c r="E120" s="141">
        <f t="shared" si="131"/>
        <v>1.6240000000000001E-2</v>
      </c>
      <c r="F120" s="141">
        <f t="shared" si="99"/>
        <v>2.8252000000000003E-2</v>
      </c>
      <c r="G120" s="141">
        <f t="shared" si="100"/>
        <v>4.5068800000000006E-2</v>
      </c>
      <c r="H120" s="141">
        <f t="shared" si="101"/>
        <v>4.5068800000000006E-2</v>
      </c>
      <c r="I120" s="141">
        <f t="shared" si="102"/>
        <v>4.5068800000000006E-2</v>
      </c>
      <c r="J120" s="141">
        <f t="shared" si="103"/>
        <v>4.5068800000000006E-2</v>
      </c>
      <c r="K120" s="141">
        <f t="shared" si="104"/>
        <v>4.5068800000000006E-2</v>
      </c>
      <c r="L120" s="141">
        <f t="shared" si="105"/>
        <v>4.5068800000000006E-2</v>
      </c>
      <c r="M120" s="141">
        <f t="shared" si="106"/>
        <v>4.5068800000000006E-2</v>
      </c>
      <c r="N120" s="141">
        <f t="shared" si="107"/>
        <v>4.5068800000000006E-2</v>
      </c>
      <c r="O120" s="141">
        <f t="shared" si="108"/>
        <v>4.5068800000000006E-2</v>
      </c>
      <c r="P120" s="141">
        <f t="shared" si="109"/>
        <v>4.5068800000000006E-2</v>
      </c>
      <c r="Q120" s="141">
        <f t="shared" si="110"/>
        <v>4.5068800000000006E-2</v>
      </c>
      <c r="R120" s="141">
        <f t="shared" si="111"/>
        <v>4.5068800000000006E-2</v>
      </c>
      <c r="S120" s="141">
        <f t="shared" si="112"/>
        <v>4.5068800000000006E-2</v>
      </c>
      <c r="T120" s="141">
        <f t="shared" si="113"/>
        <v>4.5068800000000006E-2</v>
      </c>
      <c r="U120" s="141">
        <f t="shared" si="114"/>
        <v>4.5068800000000006E-2</v>
      </c>
      <c r="V120" s="141">
        <f t="shared" si="115"/>
        <v>4.5068800000000006E-2</v>
      </c>
      <c r="W120" s="141">
        <f t="shared" si="116"/>
        <v>4.5068800000000006E-2</v>
      </c>
      <c r="X120" s="141">
        <f t="shared" si="117"/>
        <v>4.5068800000000006E-2</v>
      </c>
      <c r="Y120" s="141">
        <f t="shared" si="118"/>
        <v>4.5068800000000006E-2</v>
      </c>
      <c r="Z120" s="141">
        <f t="shared" si="119"/>
        <v>4.5068800000000006E-2</v>
      </c>
      <c r="AA120" s="141">
        <f t="shared" si="120"/>
        <v>4.5068800000000006E-2</v>
      </c>
      <c r="AB120" s="141">
        <f t="shared" si="121"/>
        <v>4.5068800000000006E-2</v>
      </c>
      <c r="AC120" s="141">
        <f t="shared" si="122"/>
        <v>4.5068800000000006E-2</v>
      </c>
      <c r="AD120" s="141">
        <f t="shared" si="123"/>
        <v>4.5068800000000006E-2</v>
      </c>
      <c r="AE120" s="141">
        <f t="shared" si="124"/>
        <v>4.5068800000000006E-2</v>
      </c>
      <c r="AF120" s="141">
        <f t="shared" si="125"/>
        <v>4.5068800000000006E-2</v>
      </c>
      <c r="AG120" s="141">
        <f t="shared" si="126"/>
        <v>4.5068800000000006E-2</v>
      </c>
      <c r="AH120" s="141">
        <f t="shared" si="127"/>
        <v>4.5068800000000006E-2</v>
      </c>
      <c r="AI120" s="4"/>
      <c r="AJ120" s="1"/>
      <c r="AK120" s="1">
        <v>11</v>
      </c>
      <c r="AL120" s="1">
        <f t="shared" si="98"/>
        <v>11000000000</v>
      </c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</row>
    <row r="121" spans="1:82">
      <c r="A121" s="4"/>
      <c r="B121" s="149" t="s">
        <v>5</v>
      </c>
      <c r="C121" s="141">
        <f t="shared" si="129"/>
        <v>864.42920000000004</v>
      </c>
      <c r="D121" s="141">
        <f t="shared" si="130"/>
        <v>847.83425599999998</v>
      </c>
      <c r="E121" s="141">
        <f t="shared" si="131"/>
        <v>799.99852399999997</v>
      </c>
      <c r="F121" s="141">
        <f t="shared" si="99"/>
        <v>768.80589848</v>
      </c>
      <c r="G121" s="141">
        <f t="shared" si="100"/>
        <v>739.17521599999998</v>
      </c>
      <c r="H121" s="141">
        <f t="shared" si="101"/>
        <v>739.17521599999998</v>
      </c>
      <c r="I121" s="141">
        <f t="shared" si="102"/>
        <v>710.93821447999994</v>
      </c>
      <c r="J121" s="141">
        <f t="shared" si="103"/>
        <v>701.14453447999995</v>
      </c>
      <c r="K121" s="141">
        <f t="shared" si="104"/>
        <v>701.14453447999995</v>
      </c>
      <c r="L121" s="141">
        <f t="shared" si="105"/>
        <v>701.14453447999995</v>
      </c>
      <c r="M121" s="141">
        <f t="shared" si="106"/>
        <v>701.14453447999995</v>
      </c>
      <c r="N121" s="141">
        <f t="shared" si="107"/>
        <v>701.14453447999995</v>
      </c>
      <c r="O121" s="141">
        <f t="shared" si="108"/>
        <v>701.14453447999995</v>
      </c>
      <c r="P121" s="141">
        <f t="shared" si="109"/>
        <v>688.59146324000005</v>
      </c>
      <c r="Q121" s="141">
        <f t="shared" si="110"/>
        <v>688.59146324000005</v>
      </c>
      <c r="R121" s="141">
        <f t="shared" si="111"/>
        <v>688.59146324000005</v>
      </c>
      <c r="S121" s="141">
        <f t="shared" si="112"/>
        <v>688.59146324000005</v>
      </c>
      <c r="T121" s="141">
        <f t="shared" si="113"/>
        <v>688.59146324000005</v>
      </c>
      <c r="U121" s="141">
        <f t="shared" si="114"/>
        <v>688.59146324000005</v>
      </c>
      <c r="V121" s="141">
        <f t="shared" si="115"/>
        <v>688.59146324000005</v>
      </c>
      <c r="W121" s="141">
        <f t="shared" si="116"/>
        <v>688.59146324000005</v>
      </c>
      <c r="X121" s="141">
        <f t="shared" si="117"/>
        <v>688.59146324000005</v>
      </c>
      <c r="Y121" s="141">
        <f t="shared" si="118"/>
        <v>688.59146324000005</v>
      </c>
      <c r="Z121" s="141">
        <f t="shared" si="119"/>
        <v>688.59146324000005</v>
      </c>
      <c r="AA121" s="141">
        <f t="shared" si="120"/>
        <v>688.59146324000005</v>
      </c>
      <c r="AB121" s="141">
        <f t="shared" si="121"/>
        <v>688.59146324000005</v>
      </c>
      <c r="AC121" s="141">
        <f t="shared" si="122"/>
        <v>688.59146324000005</v>
      </c>
      <c r="AD121" s="141">
        <f t="shared" si="123"/>
        <v>688.59146324000005</v>
      </c>
      <c r="AE121" s="141">
        <f t="shared" si="124"/>
        <v>688.59146324000005</v>
      </c>
      <c r="AF121" s="141">
        <f t="shared" si="125"/>
        <v>688.59146324000005</v>
      </c>
      <c r="AG121" s="141">
        <f t="shared" si="126"/>
        <v>688.59146324000005</v>
      </c>
      <c r="AH121" s="141">
        <f t="shared" si="127"/>
        <v>688.59146324000005</v>
      </c>
      <c r="AI121" s="4"/>
      <c r="AJ121" s="1"/>
      <c r="AK121" s="1">
        <v>65</v>
      </c>
      <c r="AL121" s="1">
        <f t="shared" si="98"/>
        <v>64999999999.999992</v>
      </c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</row>
    <row r="122" spans="1:82">
      <c r="A122" s="4"/>
      <c r="B122" s="149" t="s">
        <v>102</v>
      </c>
      <c r="C122" s="141">
        <f t="shared" si="129"/>
        <v>20.249188</v>
      </c>
      <c r="D122" s="141">
        <f>C122-(C98-D98)+VLOOKUP(B122,$E$56:$F$66,2,FALSE)</f>
        <v>20.247727999999999</v>
      </c>
      <c r="E122" s="141">
        <f t="shared" si="131"/>
        <v>20.246559999999999</v>
      </c>
      <c r="F122" s="141">
        <f t="shared" si="99"/>
        <v>20.217506</v>
      </c>
      <c r="G122" s="141">
        <f t="shared" si="100"/>
        <v>20.208016000000001</v>
      </c>
      <c r="H122" s="141">
        <f t="shared" si="101"/>
        <v>20.184656</v>
      </c>
      <c r="I122" s="141">
        <f t="shared" si="102"/>
        <v>20.181006000000004</v>
      </c>
      <c r="J122" s="141">
        <f t="shared" si="103"/>
        <v>20.178086</v>
      </c>
      <c r="K122" s="141">
        <f t="shared" si="104"/>
        <v>20.178086</v>
      </c>
      <c r="L122" s="141">
        <f t="shared" si="105"/>
        <v>20.178086</v>
      </c>
      <c r="M122" s="141">
        <f t="shared" si="106"/>
        <v>20.068586000000003</v>
      </c>
      <c r="N122" s="141">
        <f>M122-(M98-N98)+VLOOKUP(B122,$Y$56:$Z$66,2,FALSE)</f>
        <v>20.068586000000003</v>
      </c>
      <c r="O122" s="141">
        <f t="shared" si="108"/>
        <v>20.068586000000003</v>
      </c>
      <c r="P122" s="141">
        <f t="shared" si="109"/>
        <v>20.068586000000003</v>
      </c>
      <c r="Q122" s="141">
        <f t="shared" si="110"/>
        <v>20.068586000000003</v>
      </c>
      <c r="R122" s="141">
        <f t="shared" si="111"/>
        <v>20.068586000000003</v>
      </c>
      <c r="S122" s="141">
        <f t="shared" si="112"/>
        <v>20.068586000000003</v>
      </c>
      <c r="T122" s="141">
        <f t="shared" si="113"/>
        <v>20.068586000000003</v>
      </c>
      <c r="U122" s="141">
        <f t="shared" si="114"/>
        <v>20.068586000000003</v>
      </c>
      <c r="V122" s="141">
        <f t="shared" si="115"/>
        <v>20.068586000000003</v>
      </c>
      <c r="W122" s="141">
        <f t="shared" si="116"/>
        <v>20.068586000000003</v>
      </c>
      <c r="X122" s="141">
        <f t="shared" si="117"/>
        <v>20.068586000000003</v>
      </c>
      <c r="Y122" s="141">
        <f t="shared" si="118"/>
        <v>20.068586000000003</v>
      </c>
      <c r="Z122" s="141">
        <f t="shared" si="119"/>
        <v>20.068586000000003</v>
      </c>
      <c r="AA122" s="141">
        <f t="shared" si="120"/>
        <v>20.068586000000003</v>
      </c>
      <c r="AB122" s="141">
        <f t="shared" si="121"/>
        <v>20.068586000000003</v>
      </c>
      <c r="AC122" s="141">
        <f t="shared" si="122"/>
        <v>20.068586000000003</v>
      </c>
      <c r="AD122" s="141">
        <f t="shared" si="123"/>
        <v>20.068586000000003</v>
      </c>
      <c r="AE122" s="141">
        <f t="shared" si="124"/>
        <v>20.005806000000003</v>
      </c>
      <c r="AF122" s="141">
        <f t="shared" si="125"/>
        <v>20.005806000000003</v>
      </c>
      <c r="AG122" s="141">
        <f t="shared" si="126"/>
        <v>20.005806000000003</v>
      </c>
      <c r="AH122" s="141">
        <f t="shared" si="127"/>
        <v>20.005806000000003</v>
      </c>
      <c r="AI122" s="4"/>
      <c r="AJ122" s="1"/>
      <c r="AK122" s="1">
        <v>47</v>
      </c>
      <c r="AL122" s="1">
        <f t="shared" si="98"/>
        <v>47000000000</v>
      </c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</row>
    <row r="123" spans="1:82">
      <c r="A123" s="4"/>
      <c r="B123" s="149" t="s">
        <v>7</v>
      </c>
      <c r="C123" s="141">
        <f t="shared" si="129"/>
        <v>61.883188000000004</v>
      </c>
      <c r="D123" s="141">
        <f t="shared" si="130"/>
        <v>61.881728000000003</v>
      </c>
      <c r="E123" s="141">
        <f t="shared" si="131"/>
        <v>61.880560000000003</v>
      </c>
      <c r="F123" s="141">
        <f t="shared" si="99"/>
        <v>61.851506000000001</v>
      </c>
      <c r="G123" s="141">
        <f t="shared" si="100"/>
        <v>61.842016000000001</v>
      </c>
      <c r="H123" s="141">
        <f t="shared" si="101"/>
        <v>61.818656000000004</v>
      </c>
      <c r="I123" s="141">
        <f t="shared" si="102"/>
        <v>61.815006000000004</v>
      </c>
      <c r="J123" s="141">
        <f t="shared" si="103"/>
        <v>61.812086000000001</v>
      </c>
      <c r="K123" s="141">
        <f t="shared" si="104"/>
        <v>61.812086000000001</v>
      </c>
      <c r="L123" s="141">
        <f t="shared" si="105"/>
        <v>61.812086000000001</v>
      </c>
      <c r="M123" s="141">
        <f t="shared" si="106"/>
        <v>61.702586000000004</v>
      </c>
      <c r="N123" s="141">
        <f t="shared" si="107"/>
        <v>61.702586000000004</v>
      </c>
      <c r="O123" s="141">
        <f t="shared" si="108"/>
        <v>61.702586000000004</v>
      </c>
      <c r="P123" s="141">
        <f t="shared" si="109"/>
        <v>61.702586000000004</v>
      </c>
      <c r="Q123" s="141">
        <f t="shared" si="110"/>
        <v>61.702586000000004</v>
      </c>
      <c r="R123" s="141">
        <f t="shared" si="111"/>
        <v>61.702586000000004</v>
      </c>
      <c r="S123" s="141">
        <f t="shared" si="112"/>
        <v>61.702586000000004</v>
      </c>
      <c r="T123" s="141">
        <f t="shared" si="113"/>
        <v>61.702586000000004</v>
      </c>
      <c r="U123" s="141">
        <f t="shared" si="114"/>
        <v>61.702586000000004</v>
      </c>
      <c r="V123" s="141">
        <f t="shared" si="115"/>
        <v>61.702586000000004</v>
      </c>
      <c r="W123" s="141">
        <f t="shared" si="116"/>
        <v>61.702586000000004</v>
      </c>
      <c r="X123" s="141">
        <f t="shared" si="117"/>
        <v>61.702586000000004</v>
      </c>
      <c r="Y123" s="141">
        <f t="shared" si="118"/>
        <v>61.702586000000004</v>
      </c>
      <c r="Z123" s="141">
        <f t="shared" si="119"/>
        <v>61.702586000000004</v>
      </c>
      <c r="AA123" s="141">
        <f t="shared" si="120"/>
        <v>61.702586000000004</v>
      </c>
      <c r="AB123" s="141">
        <f t="shared" si="121"/>
        <v>61.702586000000004</v>
      </c>
      <c r="AC123" s="141">
        <f t="shared" si="122"/>
        <v>61.702586000000004</v>
      </c>
      <c r="AD123" s="141">
        <f t="shared" si="123"/>
        <v>61.702586000000004</v>
      </c>
      <c r="AE123" s="141">
        <f t="shared" si="124"/>
        <v>61.639806</v>
      </c>
      <c r="AF123" s="141">
        <f t="shared" si="125"/>
        <v>61.639806</v>
      </c>
      <c r="AG123" s="141">
        <f t="shared" si="126"/>
        <v>61.639806</v>
      </c>
      <c r="AH123" s="141">
        <f t="shared" si="127"/>
        <v>61.639806</v>
      </c>
      <c r="AI123" s="4"/>
      <c r="AJ123" s="1"/>
      <c r="AK123" s="1">
        <v>291</v>
      </c>
      <c r="AL123" s="1">
        <f t="shared" si="98"/>
        <v>291000000000</v>
      </c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</row>
    <row r="124" spans="1:82">
      <c r="A124" s="4"/>
      <c r="B124" s="149" t="s">
        <v>103</v>
      </c>
      <c r="C124" s="141">
        <f t="shared" si="129"/>
        <v>352.40618799999999</v>
      </c>
      <c r="D124" s="141">
        <f t="shared" si="130"/>
        <v>384.76227000000023</v>
      </c>
      <c r="E124" s="141">
        <f t="shared" si="131"/>
        <v>444.6611020000002</v>
      </c>
      <c r="F124" s="141">
        <f t="shared" si="99"/>
        <v>504.5320480000002</v>
      </c>
      <c r="G124" s="141">
        <f t="shared" si="100"/>
        <v>564.42255800000021</v>
      </c>
      <c r="H124" s="141">
        <f t="shared" si="101"/>
        <v>580.33793800000069</v>
      </c>
      <c r="I124" s="141">
        <f t="shared" si="102"/>
        <v>640.23428800000067</v>
      </c>
      <c r="J124" s="141">
        <f t="shared" si="103"/>
        <v>700.13136800000063</v>
      </c>
      <c r="K124" s="141">
        <f>J124-(J100-K100)+VLOOKUP(B124,$S$56:$T$66,2,FALSE)</f>
        <v>760.03136800000061</v>
      </c>
      <c r="L124" s="141">
        <f t="shared" si="105"/>
        <v>819.93136800000059</v>
      </c>
      <c r="M124" s="141">
        <f>L124-(L100-M100)+VLOOKUP(B124,$W$56:$X$66,2,FALSE)</f>
        <v>877.51867800000048</v>
      </c>
      <c r="N124" s="141">
        <f>M124-(M100-N100)+VLOOKUP(B124,$Y$56:$Z$66,2,FALSE)</f>
        <v>934.90837060000069</v>
      </c>
      <c r="O124" s="141">
        <f t="shared" si="108"/>
        <v>992.55608564000124</v>
      </c>
      <c r="P124" s="141">
        <f t="shared" si="109"/>
        <v>1052.4560856400012</v>
      </c>
      <c r="Q124" s="141">
        <f t="shared" si="110"/>
        <v>1082.0095690400008</v>
      </c>
      <c r="R124" s="141">
        <f t="shared" si="111"/>
        <v>1138.1164563200005</v>
      </c>
      <c r="S124" s="141">
        <f t="shared" si="112"/>
        <v>1176.1806163200008</v>
      </c>
      <c r="T124" s="141">
        <f t="shared" si="113"/>
        <v>1206.5803995600008</v>
      </c>
      <c r="U124" s="141">
        <f t="shared" si="114"/>
        <v>1241.5665606400007</v>
      </c>
      <c r="V124" s="141">
        <f t="shared" si="115"/>
        <v>1280.156443320001</v>
      </c>
      <c r="W124" s="141">
        <f t="shared" si="116"/>
        <v>1305.8753858400009</v>
      </c>
      <c r="X124" s="141">
        <f t="shared" si="117"/>
        <v>1329.7554093600011</v>
      </c>
      <c r="Y124" s="141">
        <f t="shared" si="118"/>
        <v>1375.7765252000008</v>
      </c>
      <c r="Z124" s="141">
        <f t="shared" si="119"/>
        <v>1405.7796108000011</v>
      </c>
      <c r="AA124" s="141">
        <f t="shared" si="120"/>
        <v>1448.0751757600005</v>
      </c>
      <c r="AB124" s="141">
        <f t="shared" si="121"/>
        <v>1468.8554497600003</v>
      </c>
      <c r="AC124" s="141">
        <f t="shared" si="122"/>
        <v>1493.788574440001</v>
      </c>
      <c r="AD124" s="141">
        <f t="shared" si="123"/>
        <v>1518.6019274400005</v>
      </c>
      <c r="AE124" s="141">
        <f t="shared" si="124"/>
        <v>1544.2041780000006</v>
      </c>
      <c r="AF124" s="141">
        <f t="shared" si="125"/>
        <v>1563.0230260000005</v>
      </c>
      <c r="AG124" s="141">
        <f t="shared" si="126"/>
        <v>1581.3843540000005</v>
      </c>
      <c r="AH124" s="141">
        <f t="shared" si="127"/>
        <v>1599.3299010400008</v>
      </c>
      <c r="AI124" s="4"/>
      <c r="AJ124" s="1"/>
      <c r="AK124" s="1">
        <v>14</v>
      </c>
      <c r="AL124" s="1">
        <f t="shared" si="98"/>
        <v>14000000000</v>
      </c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</row>
    <row r="125" spans="1:82">
      <c r="A125" s="4"/>
      <c r="B125" s="142" t="s">
        <v>178</v>
      </c>
      <c r="C125" s="141">
        <f t="shared" ref="C125:AH125" si="132">C101</f>
        <v>47.147851080000692</v>
      </c>
      <c r="D125" s="141">
        <f t="shared" si="132"/>
        <v>47.13823260000072</v>
      </c>
      <c r="E125" s="141">
        <f t="shared" si="132"/>
        <v>47.138337719999981</v>
      </c>
      <c r="F125" s="141">
        <f t="shared" si="132"/>
        <v>47.138486639999883</v>
      </c>
      <c r="G125" s="141">
        <f t="shared" si="132"/>
        <v>47.138215080000464</v>
      </c>
      <c r="H125" s="141">
        <f t="shared" si="132"/>
        <v>47.129455080000298</v>
      </c>
      <c r="I125" s="141">
        <f t="shared" si="132"/>
        <v>47.129481360000227</v>
      </c>
      <c r="J125" s="141">
        <f t="shared" si="132"/>
        <v>47.129472600000099</v>
      </c>
      <c r="K125" s="141">
        <f t="shared" si="132"/>
        <v>47.129674080000314</v>
      </c>
      <c r="L125" s="141">
        <f t="shared" si="132"/>
        <v>47.129525159999957</v>
      </c>
      <c r="M125" s="141">
        <f t="shared" si="132"/>
        <v>47.129516400000284</v>
      </c>
      <c r="N125" s="141">
        <f t="shared" si="132"/>
        <v>47.129455080000753</v>
      </c>
      <c r="O125" s="141">
        <f t="shared" si="132"/>
        <v>47.129481360000227</v>
      </c>
      <c r="P125" s="141">
        <f t="shared" si="132"/>
        <v>47.129726639999717</v>
      </c>
      <c r="Q125" s="141">
        <f t="shared" si="132"/>
        <v>47.12977920000003</v>
      </c>
      <c r="R125" s="141">
        <f t="shared" si="132"/>
        <v>47.129516400000284</v>
      </c>
      <c r="S125" s="141">
        <f t="shared" si="132"/>
        <v>47.129507639999701</v>
      </c>
      <c r="T125" s="141">
        <f t="shared" si="132"/>
        <v>47.129752920000101</v>
      </c>
      <c r="U125" s="141">
        <f t="shared" si="132"/>
        <v>47.129691600000115</v>
      </c>
      <c r="V125" s="141">
        <f t="shared" si="132"/>
        <v>47.129770439999902</v>
      </c>
      <c r="W125" s="141">
        <f t="shared" si="132"/>
        <v>47.129752920000101</v>
      </c>
      <c r="X125" s="141">
        <f t="shared" si="132"/>
        <v>47.129735399999845</v>
      </c>
      <c r="Y125" s="141">
        <f t="shared" si="132"/>
        <v>47.129840520000016</v>
      </c>
      <c r="Z125" s="141">
        <f t="shared" si="132"/>
        <v>47.12995439999986</v>
      </c>
      <c r="AA125" s="141">
        <f t="shared" si="132"/>
        <v>47.130024479999975</v>
      </c>
      <c r="AB125" s="141">
        <f t="shared" si="132"/>
        <v>47.130024479999975</v>
      </c>
      <c r="AC125" s="141">
        <f t="shared" si="132"/>
        <v>47.129875560000073</v>
      </c>
      <c r="AD125" s="141">
        <f t="shared" si="132"/>
        <v>47.129884320000201</v>
      </c>
      <c r="AE125" s="141">
        <f t="shared" si="132"/>
        <v>47.12982299999976</v>
      </c>
      <c r="AF125" s="141">
        <f t="shared" si="132"/>
        <v>47.12982299999976</v>
      </c>
      <c r="AG125" s="141">
        <f t="shared" si="132"/>
        <v>47.12982299999976</v>
      </c>
      <c r="AH125" s="141">
        <f t="shared" si="132"/>
        <v>47.129787959999703</v>
      </c>
      <c r="AI125" s="4"/>
      <c r="AJ125" s="1"/>
      <c r="AK125" s="1">
        <v>0</v>
      </c>
      <c r="AL125" s="1">
        <f t="shared" si="98"/>
        <v>0</v>
      </c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</row>
    <row r="126" spans="1:82">
      <c r="A126" s="4"/>
      <c r="B126" s="142" t="s">
        <v>177</v>
      </c>
      <c r="C126" s="141">
        <f>SUM(C112:C125)</f>
        <v>4578.8618159999996</v>
      </c>
      <c r="D126" s="141">
        <f t="shared" ref="D126:AH126" si="133">SUM(D112:D125)</f>
        <v>4617.2041019999997</v>
      </c>
      <c r="E126" s="141">
        <f t="shared" si="133"/>
        <v>4654.5761719999991</v>
      </c>
      <c r="F126" s="141">
        <f t="shared" si="133"/>
        <v>4691.001952999999</v>
      </c>
      <c r="G126" s="141">
        <f t="shared" si="133"/>
        <v>4726.5024409999987</v>
      </c>
      <c r="H126" s="141">
        <f t="shared" si="133"/>
        <v>4761.1015630000002</v>
      </c>
      <c r="I126" s="141">
        <f t="shared" si="133"/>
        <v>4794.8212889999995</v>
      </c>
      <c r="J126" s="141">
        <f t="shared" si="133"/>
        <v>4827.6845699999994</v>
      </c>
      <c r="K126" s="141">
        <f t="shared" si="133"/>
        <v>4859.7114259999998</v>
      </c>
      <c r="L126" s="141">
        <f t="shared" si="133"/>
        <v>4890.9248050000006</v>
      </c>
      <c r="M126" s="141">
        <f t="shared" si="133"/>
        <v>4921.3447269999997</v>
      </c>
      <c r="N126" s="141">
        <f t="shared" si="133"/>
        <v>4950.9931640000013</v>
      </c>
      <c r="O126" s="141">
        <f t="shared" si="133"/>
        <v>4979.8896480000003</v>
      </c>
      <c r="P126" s="141">
        <f t="shared" si="133"/>
        <v>5008.0546880000002</v>
      </c>
      <c r="Q126" s="141">
        <f t="shared" si="133"/>
        <v>5035.505858999999</v>
      </c>
      <c r="R126" s="141">
        <f t="shared" si="133"/>
        <v>5062.265625</v>
      </c>
      <c r="S126" s="141">
        <f t="shared" si="133"/>
        <v>5088.349608999999</v>
      </c>
      <c r="T126" s="141">
        <f t="shared" si="133"/>
        <v>5113.7783199999994</v>
      </c>
      <c r="U126" s="141">
        <f t="shared" si="133"/>
        <v>5138.566894999999</v>
      </c>
      <c r="V126" s="141">
        <f t="shared" si="133"/>
        <v>5162.734375</v>
      </c>
      <c r="W126" s="141">
        <f t="shared" si="133"/>
        <v>5186.2983399999994</v>
      </c>
      <c r="X126" s="141">
        <f t="shared" si="133"/>
        <v>5209.2734380000002</v>
      </c>
      <c r="Y126" s="141">
        <f t="shared" si="133"/>
        <v>5231.677733999999</v>
      </c>
      <c r="Z126" s="141">
        <f t="shared" si="133"/>
        <v>5253.5253909999992</v>
      </c>
      <c r="AA126" s="141">
        <f t="shared" si="133"/>
        <v>5274.8320309999999</v>
      </c>
      <c r="AB126" s="141">
        <f t="shared" si="133"/>
        <v>5295.6123049999987</v>
      </c>
      <c r="AC126" s="141">
        <f t="shared" si="133"/>
        <v>5315.8823240000002</v>
      </c>
      <c r="AD126" s="141">
        <f t="shared" si="133"/>
        <v>5335.6542969999991</v>
      </c>
      <c r="AE126" s="141">
        <f t="shared" si="133"/>
        <v>5354.9428710000011</v>
      </c>
      <c r="AF126" s="141">
        <f t="shared" si="133"/>
        <v>5373.7617190000001</v>
      </c>
      <c r="AG126" s="141">
        <f t="shared" si="133"/>
        <v>5392.123047000001</v>
      </c>
      <c r="AH126" s="141">
        <f t="shared" si="133"/>
        <v>5410.0405270000001</v>
      </c>
      <c r="AI126" s="4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</row>
    <row r="127" spans="1:82">
      <c r="A127" s="4"/>
      <c r="B127" s="142" t="s">
        <v>175</v>
      </c>
      <c r="C127" s="141">
        <f t="shared" ref="C127:AH127" si="134">C124+C123+C122+C120+C119+C118+C117</f>
        <v>824.47312799999997</v>
      </c>
      <c r="D127" s="141">
        <f t="shared" si="134"/>
        <v>915.6785100000003</v>
      </c>
      <c r="E127" s="141">
        <f t="shared" si="134"/>
        <v>1046.2086620000005</v>
      </c>
      <c r="F127" s="141">
        <f t="shared" si="134"/>
        <v>1197.7626460000001</v>
      </c>
      <c r="G127" s="141">
        <f t="shared" si="134"/>
        <v>1386.1653372000003</v>
      </c>
      <c r="H127" s="141">
        <f t="shared" si="134"/>
        <v>1564.0611524000008</v>
      </c>
      <c r="I127" s="141">
        <f t="shared" si="134"/>
        <v>1623.9392524000009</v>
      </c>
      <c r="J127" s="141">
        <f t="shared" si="134"/>
        <v>1683.8217324000007</v>
      </c>
      <c r="K127" s="141">
        <f t="shared" si="134"/>
        <v>1743.7217324000007</v>
      </c>
      <c r="L127" s="141">
        <f t="shared" si="134"/>
        <v>1803.6217324000008</v>
      </c>
      <c r="M127" s="141">
        <f t="shared" si="134"/>
        <v>1860.6615424000006</v>
      </c>
      <c r="N127" s="141">
        <f t="shared" si="134"/>
        <v>1918.0512350000008</v>
      </c>
      <c r="O127" s="141">
        <f t="shared" si="134"/>
        <v>1975.6989500400016</v>
      </c>
      <c r="P127" s="141">
        <f t="shared" si="134"/>
        <v>2035.5989500400017</v>
      </c>
      <c r="Q127" s="141">
        <f t="shared" si="134"/>
        <v>2065.1524334400015</v>
      </c>
      <c r="R127" s="141">
        <f t="shared" si="134"/>
        <v>2121.2593207200011</v>
      </c>
      <c r="S127" s="141">
        <f t="shared" si="134"/>
        <v>2159.3234807200015</v>
      </c>
      <c r="T127" s="141">
        <f t="shared" si="134"/>
        <v>2189.7232639600015</v>
      </c>
      <c r="U127" s="141">
        <f t="shared" si="134"/>
        <v>2224.7094250400014</v>
      </c>
      <c r="V127" s="141">
        <f t="shared" si="134"/>
        <v>2263.2993077200017</v>
      </c>
      <c r="W127" s="141">
        <f t="shared" si="134"/>
        <v>2289.0182502400016</v>
      </c>
      <c r="X127" s="141">
        <f t="shared" si="134"/>
        <v>2312.8982737600013</v>
      </c>
      <c r="Y127" s="141">
        <f t="shared" si="134"/>
        <v>2358.9193896000011</v>
      </c>
      <c r="Z127" s="141">
        <f t="shared" si="134"/>
        <v>2388.9224752000014</v>
      </c>
      <c r="AA127" s="141">
        <f t="shared" si="134"/>
        <v>2431.2180401600008</v>
      </c>
      <c r="AB127" s="141">
        <f t="shared" si="134"/>
        <v>2451.9983141600005</v>
      </c>
      <c r="AC127" s="141">
        <f t="shared" si="134"/>
        <v>2476.9314388400012</v>
      </c>
      <c r="AD127" s="141">
        <f t="shared" si="134"/>
        <v>2501.7447918400007</v>
      </c>
      <c r="AE127" s="141">
        <f t="shared" si="134"/>
        <v>2527.0331424000005</v>
      </c>
      <c r="AF127" s="141">
        <f t="shared" si="134"/>
        <v>2545.8519904000004</v>
      </c>
      <c r="AG127" s="141">
        <f t="shared" si="134"/>
        <v>2564.2133184000004</v>
      </c>
      <c r="AH127" s="141">
        <f t="shared" si="134"/>
        <v>2582.1588654400011</v>
      </c>
      <c r="AI127" s="4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</row>
    <row r="128" spans="1:82">
      <c r="A128" s="4"/>
      <c r="B128" s="142" t="s">
        <v>176</v>
      </c>
      <c r="C128" s="141">
        <f t="shared" ref="C128:AH128" si="135">(C127/C126)*100</f>
        <v>18.00607140226483</v>
      </c>
      <c r="D128" s="141">
        <f t="shared" si="135"/>
        <v>19.831882883482727</v>
      </c>
      <c r="E128" s="141">
        <f t="shared" si="135"/>
        <v>22.476990886808515</v>
      </c>
      <c r="F128" s="141">
        <f t="shared" si="135"/>
        <v>25.533194358062556</v>
      </c>
      <c r="G128" s="141">
        <f t="shared" si="135"/>
        <v>29.327507062637327</v>
      </c>
      <c r="H128" s="141">
        <f t="shared" si="135"/>
        <v>32.850825207233683</v>
      </c>
      <c r="I128" s="141">
        <f t="shared" si="135"/>
        <v>33.868608536579828</v>
      </c>
      <c r="J128" s="141">
        <f t="shared" si="135"/>
        <v>34.878453800887009</v>
      </c>
      <c r="K128" s="141">
        <f t="shared" si="135"/>
        <v>35.881178521648309</v>
      </c>
      <c r="L128" s="141">
        <f t="shared" si="135"/>
        <v>36.87690578591917</v>
      </c>
      <c r="M128" s="141">
        <f t="shared" si="135"/>
        <v>37.807990409447306</v>
      </c>
      <c r="N128" s="141">
        <f t="shared" si="135"/>
        <v>38.740736887836277</v>
      </c>
      <c r="O128" s="141">
        <f t="shared" si="135"/>
        <v>39.673548807120099</v>
      </c>
      <c r="P128" s="141">
        <f t="shared" si="135"/>
        <v>40.646500025600389</v>
      </c>
      <c r="Q128" s="141">
        <f t="shared" si="135"/>
        <v>41.0118167124945</v>
      </c>
      <c r="R128" s="141">
        <f t="shared" si="135"/>
        <v>41.903358651196839</v>
      </c>
      <c r="S128" s="141">
        <f t="shared" si="135"/>
        <v>42.436617894743442</v>
      </c>
      <c r="T128" s="141">
        <f t="shared" si="135"/>
        <v>42.820066239398543</v>
      </c>
      <c r="U128" s="141">
        <f t="shared" si="135"/>
        <v>43.294355615078587</v>
      </c>
      <c r="V128" s="141">
        <f t="shared" si="135"/>
        <v>43.839158541252701</v>
      </c>
      <c r="W128" s="141">
        <f t="shared" si="135"/>
        <v>44.135876885169736</v>
      </c>
      <c r="X128" s="141">
        <f t="shared" si="135"/>
        <v>44.399632718224019</v>
      </c>
      <c r="Y128" s="141">
        <f t="shared" si="135"/>
        <v>45.089157045543693</v>
      </c>
      <c r="Z128" s="141">
        <f t="shared" si="135"/>
        <v>45.472750151594383</v>
      </c>
      <c r="AA128" s="141">
        <f t="shared" si="135"/>
        <v>46.090909167757744</v>
      </c>
      <c r="AB128" s="141">
        <f t="shared" si="135"/>
        <v>46.30245140575866</v>
      </c>
      <c r="AC128" s="141">
        <f t="shared" si="135"/>
        <v>46.59492607007531</v>
      </c>
      <c r="AD128" s="141">
        <f t="shared" si="135"/>
        <v>46.887310395027285</v>
      </c>
      <c r="AE128" s="141">
        <f t="shared" si="135"/>
        <v>47.190664835759364</v>
      </c>
      <c r="AF128" s="141">
        <f t="shared" si="135"/>
        <v>47.375602483426761</v>
      </c>
      <c r="AG128" s="141">
        <f t="shared" si="135"/>
        <v>47.554799770873998</v>
      </c>
      <c r="AH128" s="141">
        <f t="shared" si="135"/>
        <v>47.729011502837508</v>
      </c>
      <c r="AI128" s="4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</row>
    <row r="129" spans="1:8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</row>
    <row r="130" spans="1:82">
      <c r="A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</row>
    <row r="131" spans="1:82">
      <c r="A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</row>
    <row r="132" spans="1:82">
      <c r="A132" s="1"/>
      <c r="B132" s="64" t="s">
        <v>151</v>
      </c>
      <c r="C132" s="64">
        <v>2019</v>
      </c>
      <c r="D132" s="64">
        <v>2020</v>
      </c>
      <c r="E132" s="64">
        <v>2021</v>
      </c>
      <c r="F132" s="64">
        <v>2022</v>
      </c>
      <c r="G132" s="64">
        <v>2023</v>
      </c>
      <c r="H132" s="64">
        <v>2024</v>
      </c>
      <c r="I132" s="64">
        <v>2025</v>
      </c>
      <c r="J132" s="64">
        <v>2026</v>
      </c>
      <c r="K132" s="64">
        <v>2027</v>
      </c>
      <c r="L132" s="64">
        <v>2028</v>
      </c>
      <c r="M132" s="64">
        <v>2029</v>
      </c>
      <c r="N132" s="64">
        <v>2030</v>
      </c>
      <c r="O132" s="64">
        <v>2031</v>
      </c>
      <c r="P132" s="64">
        <v>2032</v>
      </c>
      <c r="Q132" s="64">
        <v>2033</v>
      </c>
      <c r="R132" s="64">
        <v>2034</v>
      </c>
      <c r="S132" s="64">
        <v>2035</v>
      </c>
      <c r="T132" s="64">
        <v>2036</v>
      </c>
      <c r="U132" s="64">
        <v>2037</v>
      </c>
      <c r="V132" s="64">
        <v>2038</v>
      </c>
      <c r="W132" s="64">
        <v>2039</v>
      </c>
      <c r="X132" s="64">
        <v>2040</v>
      </c>
      <c r="Y132" s="64">
        <v>2041</v>
      </c>
      <c r="Z132" s="64">
        <v>2042</v>
      </c>
      <c r="AA132" s="64">
        <v>2043</v>
      </c>
      <c r="AB132" s="64">
        <v>2044</v>
      </c>
      <c r="AC132" s="64">
        <v>2045</v>
      </c>
      <c r="AD132" s="64">
        <v>2046</v>
      </c>
      <c r="AE132" s="64">
        <v>2047</v>
      </c>
      <c r="AF132" s="64">
        <v>2048</v>
      </c>
      <c r="AG132" s="64">
        <v>2049</v>
      </c>
      <c r="AH132" s="64">
        <v>2050</v>
      </c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</row>
    <row r="133" spans="1:82">
      <c r="A133" s="1"/>
      <c r="B133" s="64" t="s">
        <v>81</v>
      </c>
      <c r="C133" s="48">
        <v>0</v>
      </c>
      <c r="D133" s="48">
        <v>0</v>
      </c>
      <c r="E133" s="48">
        <v>0</v>
      </c>
      <c r="F133" s="48">
        <v>0</v>
      </c>
      <c r="G133" s="48">
        <v>0</v>
      </c>
      <c r="H133" s="48">
        <v>0</v>
      </c>
      <c r="I133" s="48">
        <v>0</v>
      </c>
      <c r="J133" s="48">
        <v>0</v>
      </c>
      <c r="K133" s="48">
        <v>0</v>
      </c>
      <c r="L133" s="48">
        <v>0</v>
      </c>
      <c r="M133" s="48">
        <v>0</v>
      </c>
      <c r="N133" s="48">
        <v>0</v>
      </c>
      <c r="O133" s="48">
        <v>0</v>
      </c>
      <c r="P133" s="48">
        <v>0</v>
      </c>
      <c r="Q133" s="48">
        <v>0</v>
      </c>
      <c r="R133" s="48">
        <v>0</v>
      </c>
      <c r="S133" s="48">
        <v>0</v>
      </c>
      <c r="T133" s="48">
        <v>0</v>
      </c>
      <c r="U133" s="48">
        <v>0</v>
      </c>
      <c r="V133" s="48">
        <v>0</v>
      </c>
      <c r="W133" s="48">
        <v>0</v>
      </c>
      <c r="X133" s="48">
        <v>0</v>
      </c>
      <c r="Y133" s="48">
        <v>0</v>
      </c>
      <c r="Z133" s="48">
        <v>0</v>
      </c>
      <c r="AA133" s="48">
        <v>0</v>
      </c>
      <c r="AB133" s="48">
        <v>0</v>
      </c>
      <c r="AC133" s="48">
        <v>0</v>
      </c>
      <c r="AD133" s="48">
        <v>0</v>
      </c>
      <c r="AE133" s="48">
        <v>0</v>
      </c>
      <c r="AF133" s="48">
        <v>0</v>
      </c>
      <c r="AG133" s="48">
        <v>0</v>
      </c>
      <c r="AH133" s="48">
        <v>0</v>
      </c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</row>
    <row r="134" spans="1:82">
      <c r="A134" s="1"/>
      <c r="B134" s="64" t="s">
        <v>96</v>
      </c>
      <c r="C134" s="48">
        <v>99.3</v>
      </c>
      <c r="D134" s="48">
        <v>99.3</v>
      </c>
      <c r="E134" s="48">
        <v>99.3</v>
      </c>
      <c r="F134" s="48">
        <v>99.3</v>
      </c>
      <c r="G134" s="48">
        <v>99.3</v>
      </c>
      <c r="H134" s="48">
        <v>99.3</v>
      </c>
      <c r="I134" s="48">
        <v>99.3</v>
      </c>
      <c r="J134" s="48">
        <v>99.3</v>
      </c>
      <c r="K134" s="48">
        <v>99.3</v>
      </c>
      <c r="L134" s="48">
        <v>99.3</v>
      </c>
      <c r="M134" s="48">
        <v>99.3</v>
      </c>
      <c r="N134" s="48">
        <v>99.3</v>
      </c>
      <c r="O134" s="48">
        <v>99.3</v>
      </c>
      <c r="P134" s="48">
        <v>99.3</v>
      </c>
      <c r="Q134" s="48">
        <v>99.3</v>
      </c>
      <c r="R134" s="48">
        <v>99.3</v>
      </c>
      <c r="S134" s="48">
        <v>99.3</v>
      </c>
      <c r="T134" s="48">
        <v>99.3</v>
      </c>
      <c r="U134" s="48">
        <v>99.3</v>
      </c>
      <c r="V134" s="48">
        <v>99.3</v>
      </c>
      <c r="W134" s="48">
        <v>99.3</v>
      </c>
      <c r="X134" s="48">
        <v>99.3</v>
      </c>
      <c r="Y134" s="48">
        <v>99.3</v>
      </c>
      <c r="Z134" s="48">
        <v>99.3</v>
      </c>
      <c r="AA134" s="48">
        <v>99.3</v>
      </c>
      <c r="AB134" s="48">
        <v>99.3</v>
      </c>
      <c r="AC134" s="48">
        <v>99.3</v>
      </c>
      <c r="AD134" s="48">
        <v>99.3</v>
      </c>
      <c r="AE134" s="48">
        <v>99.3</v>
      </c>
      <c r="AF134" s="48">
        <v>99.3</v>
      </c>
      <c r="AG134" s="48">
        <v>99.3</v>
      </c>
      <c r="AH134" s="48">
        <v>99.3</v>
      </c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</row>
    <row r="135" spans="1:82">
      <c r="A135" s="1"/>
      <c r="B135" s="64" t="s">
        <v>89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8">
        <v>0</v>
      </c>
      <c r="K135" s="48">
        <v>0</v>
      </c>
      <c r="L135" s="48">
        <v>0</v>
      </c>
      <c r="M135" s="48">
        <v>0</v>
      </c>
      <c r="N135" s="48">
        <v>0</v>
      </c>
      <c r="O135" s="48">
        <v>0</v>
      </c>
      <c r="P135" s="48">
        <v>0</v>
      </c>
      <c r="Q135" s="48">
        <v>0</v>
      </c>
      <c r="R135" s="48">
        <v>0</v>
      </c>
      <c r="S135" s="48">
        <v>0</v>
      </c>
      <c r="T135" s="48">
        <v>0</v>
      </c>
      <c r="U135" s="48">
        <v>0</v>
      </c>
      <c r="V135" s="48">
        <v>0</v>
      </c>
      <c r="W135" s="48">
        <v>0</v>
      </c>
      <c r="X135" s="48">
        <v>0</v>
      </c>
      <c r="Y135" s="48">
        <v>0</v>
      </c>
      <c r="Z135" s="48">
        <v>0</v>
      </c>
      <c r="AA135" s="48">
        <v>0</v>
      </c>
      <c r="AB135" s="48">
        <v>0</v>
      </c>
      <c r="AC135" s="48">
        <v>0</v>
      </c>
      <c r="AD135" s="48">
        <v>0</v>
      </c>
      <c r="AE135" s="48">
        <v>0</v>
      </c>
      <c r="AF135" s="48">
        <v>0</v>
      </c>
      <c r="AG135" s="48">
        <v>0</v>
      </c>
      <c r="AH135" s="48">
        <v>0</v>
      </c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</row>
    <row r="136" spans="1:82">
      <c r="A136" s="1"/>
      <c r="B136" s="64" t="s">
        <v>88</v>
      </c>
      <c r="C136" s="48">
        <v>0</v>
      </c>
      <c r="D136" s="48">
        <v>0</v>
      </c>
      <c r="E136" s="48">
        <v>0</v>
      </c>
      <c r="F136" s="48">
        <v>0</v>
      </c>
      <c r="G136" s="48">
        <v>0</v>
      </c>
      <c r="H136" s="48">
        <v>0</v>
      </c>
      <c r="I136" s="48">
        <v>0</v>
      </c>
      <c r="J136" s="48">
        <v>0</v>
      </c>
      <c r="K136" s="48">
        <v>0</v>
      </c>
      <c r="L136" s="48">
        <v>0</v>
      </c>
      <c r="M136" s="48">
        <v>0</v>
      </c>
      <c r="N136" s="48">
        <v>0</v>
      </c>
      <c r="O136" s="48">
        <v>0</v>
      </c>
      <c r="P136" s="48">
        <v>0</v>
      </c>
      <c r="Q136" s="48">
        <v>0</v>
      </c>
      <c r="R136" s="48">
        <v>0</v>
      </c>
      <c r="S136" s="48">
        <v>0</v>
      </c>
      <c r="T136" s="48">
        <v>0</v>
      </c>
      <c r="U136" s="48">
        <v>0</v>
      </c>
      <c r="V136" s="48">
        <v>0</v>
      </c>
      <c r="W136" s="48">
        <v>0</v>
      </c>
      <c r="X136" s="48">
        <v>0</v>
      </c>
      <c r="Y136" s="48">
        <v>0</v>
      </c>
      <c r="Z136" s="48">
        <v>0</v>
      </c>
      <c r="AA136" s="48">
        <v>0</v>
      </c>
      <c r="AB136" s="48">
        <v>0</v>
      </c>
      <c r="AC136" s="48">
        <v>0</v>
      </c>
      <c r="AD136" s="48">
        <v>0</v>
      </c>
      <c r="AE136" s="48">
        <v>0</v>
      </c>
      <c r="AF136" s="48">
        <v>0</v>
      </c>
      <c r="AG136" s="48">
        <v>0</v>
      </c>
      <c r="AH136" s="48">
        <v>0</v>
      </c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</row>
    <row r="137" spans="1:82">
      <c r="A137" s="1"/>
      <c r="B137" s="64" t="s">
        <v>97</v>
      </c>
      <c r="C137" s="48">
        <v>212.20500000000001</v>
      </c>
      <c r="D137" s="48">
        <v>212.20500000000001</v>
      </c>
      <c r="E137" s="48">
        <v>212.20500000000001</v>
      </c>
      <c r="F137" s="48">
        <v>212.20500000000001</v>
      </c>
      <c r="G137" s="48">
        <v>212.20500000000001</v>
      </c>
      <c r="H137" s="48">
        <v>212.20500000000001</v>
      </c>
      <c r="I137" s="48">
        <v>212.20500000000001</v>
      </c>
      <c r="J137" s="48">
        <v>212.20500000000001</v>
      </c>
      <c r="K137" s="48">
        <v>212.20500000000001</v>
      </c>
      <c r="L137" s="48">
        <v>212.20500000000001</v>
      </c>
      <c r="M137" s="48">
        <v>212.20500000000001</v>
      </c>
      <c r="N137" s="48">
        <v>212.20500000000001</v>
      </c>
      <c r="O137" s="48">
        <v>212.20500000000001</v>
      </c>
      <c r="P137" s="48">
        <v>212.20500000000001</v>
      </c>
      <c r="Q137" s="48">
        <v>212.20500000000001</v>
      </c>
      <c r="R137" s="48">
        <v>212.20500000000001</v>
      </c>
      <c r="S137" s="48">
        <v>212.20500000000001</v>
      </c>
      <c r="T137" s="48">
        <v>212.20500000000001</v>
      </c>
      <c r="U137" s="48">
        <v>212.20500000000001</v>
      </c>
      <c r="V137" s="48">
        <v>212.20500000000001</v>
      </c>
      <c r="W137" s="48">
        <v>212.20500000000001</v>
      </c>
      <c r="X137" s="48">
        <v>212.20500000000001</v>
      </c>
      <c r="Y137" s="48">
        <v>212.20500000000001</v>
      </c>
      <c r="Z137" s="48">
        <v>212.20500000000001</v>
      </c>
      <c r="AA137" s="48">
        <v>212.20500000000001</v>
      </c>
      <c r="AB137" s="48">
        <v>212.20500000000001</v>
      </c>
      <c r="AC137" s="48">
        <v>212.20500000000001</v>
      </c>
      <c r="AD137" s="48">
        <v>212.20500000000001</v>
      </c>
      <c r="AE137" s="48">
        <v>212.20500000000001</v>
      </c>
      <c r="AF137" s="48">
        <v>212.20500000000001</v>
      </c>
      <c r="AG137" s="48">
        <v>212.20500000000001</v>
      </c>
      <c r="AH137" s="48">
        <v>212.20500000000001</v>
      </c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</row>
    <row r="138" spans="1:82">
      <c r="A138" s="1"/>
      <c r="B138" s="64" t="s">
        <v>98</v>
      </c>
      <c r="C138" s="48">
        <v>17.231999999999999</v>
      </c>
      <c r="D138" s="48">
        <f t="shared" ref="D138:AH138" si="136">IF(C128&lt;30,IF(C138*(((D132-$C$132)/10)+1)&gt;100,100,C138*(((D132-$C$132)/10)+1)),0)</f>
        <v>18.955200000000001</v>
      </c>
      <c r="E138" s="48">
        <f t="shared" si="136"/>
        <v>22.74624</v>
      </c>
      <c r="F138" s="48">
        <f t="shared" si="136"/>
        <v>29.570112000000002</v>
      </c>
      <c r="G138" s="48">
        <f t="shared" si="136"/>
        <v>41.398156800000002</v>
      </c>
      <c r="H138" s="48">
        <f t="shared" si="136"/>
        <v>62.0972352</v>
      </c>
      <c r="I138" s="48">
        <f t="shared" si="136"/>
        <v>0</v>
      </c>
      <c r="J138" s="48">
        <f t="shared" si="136"/>
        <v>0</v>
      </c>
      <c r="K138" s="48">
        <f t="shared" si="136"/>
        <v>0</v>
      </c>
      <c r="L138" s="48">
        <f t="shared" si="136"/>
        <v>0</v>
      </c>
      <c r="M138" s="48">
        <f t="shared" si="136"/>
        <v>0</v>
      </c>
      <c r="N138" s="48">
        <f t="shared" si="136"/>
        <v>0</v>
      </c>
      <c r="O138" s="48">
        <f t="shared" si="136"/>
        <v>0</v>
      </c>
      <c r="P138" s="48">
        <f t="shared" si="136"/>
        <v>0</v>
      </c>
      <c r="Q138" s="48">
        <f t="shared" si="136"/>
        <v>0</v>
      </c>
      <c r="R138" s="48">
        <f t="shared" si="136"/>
        <v>0</v>
      </c>
      <c r="S138" s="48">
        <f t="shared" si="136"/>
        <v>0</v>
      </c>
      <c r="T138" s="48">
        <f t="shared" si="136"/>
        <v>0</v>
      </c>
      <c r="U138" s="48">
        <f t="shared" si="136"/>
        <v>0</v>
      </c>
      <c r="V138" s="48">
        <f t="shared" si="136"/>
        <v>0</v>
      </c>
      <c r="W138" s="48">
        <f t="shared" si="136"/>
        <v>0</v>
      </c>
      <c r="X138" s="48">
        <f t="shared" si="136"/>
        <v>0</v>
      </c>
      <c r="Y138" s="48">
        <f t="shared" si="136"/>
        <v>0</v>
      </c>
      <c r="Z138" s="48">
        <f t="shared" si="136"/>
        <v>0</v>
      </c>
      <c r="AA138" s="48">
        <f t="shared" si="136"/>
        <v>0</v>
      </c>
      <c r="AB138" s="48">
        <f t="shared" si="136"/>
        <v>0</v>
      </c>
      <c r="AC138" s="48">
        <f t="shared" si="136"/>
        <v>0</v>
      </c>
      <c r="AD138" s="48">
        <f t="shared" si="136"/>
        <v>0</v>
      </c>
      <c r="AE138" s="48">
        <f t="shared" si="136"/>
        <v>0</v>
      </c>
      <c r="AF138" s="48">
        <f t="shared" si="136"/>
        <v>0</v>
      </c>
      <c r="AG138" s="48">
        <f t="shared" si="136"/>
        <v>0</v>
      </c>
      <c r="AH138" s="48">
        <f t="shared" si="136"/>
        <v>0</v>
      </c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</row>
    <row r="139" spans="1:82">
      <c r="A139" s="1"/>
      <c r="B139" s="64" t="s">
        <v>99</v>
      </c>
      <c r="C139" s="48">
        <v>0</v>
      </c>
      <c r="D139" s="48">
        <v>0</v>
      </c>
      <c r="E139" s="48">
        <v>0</v>
      </c>
      <c r="F139" s="48">
        <v>0</v>
      </c>
      <c r="G139" s="48">
        <v>0</v>
      </c>
      <c r="H139" s="48">
        <v>0</v>
      </c>
      <c r="I139" s="48">
        <v>0</v>
      </c>
      <c r="J139" s="48">
        <v>0</v>
      </c>
      <c r="K139" s="48">
        <v>0</v>
      </c>
      <c r="L139" s="48">
        <v>0</v>
      </c>
      <c r="M139" s="48">
        <v>0</v>
      </c>
      <c r="N139" s="48">
        <v>0</v>
      </c>
      <c r="O139" s="48">
        <v>0</v>
      </c>
      <c r="P139" s="48">
        <v>0</v>
      </c>
      <c r="Q139" s="48">
        <v>0</v>
      </c>
      <c r="R139" s="48">
        <v>0</v>
      </c>
      <c r="S139" s="48">
        <v>0</v>
      </c>
      <c r="T139" s="48">
        <v>0</v>
      </c>
      <c r="U139" s="48">
        <v>0</v>
      </c>
      <c r="V139" s="48">
        <v>0</v>
      </c>
      <c r="W139" s="48">
        <v>0</v>
      </c>
      <c r="X139" s="48">
        <v>0</v>
      </c>
      <c r="Y139" s="48">
        <v>0</v>
      </c>
      <c r="Z139" s="48">
        <v>0</v>
      </c>
      <c r="AA139" s="48">
        <v>0</v>
      </c>
      <c r="AB139" s="48">
        <v>0</v>
      </c>
      <c r="AC139" s="48">
        <v>0</v>
      </c>
      <c r="AD139" s="48">
        <v>0</v>
      </c>
      <c r="AE139" s="48">
        <v>0</v>
      </c>
      <c r="AF139" s="48">
        <v>0</v>
      </c>
      <c r="AG139" s="48">
        <v>0</v>
      </c>
      <c r="AH139" s="48">
        <v>0</v>
      </c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</row>
    <row r="140" spans="1:82">
      <c r="A140" s="1"/>
      <c r="B140" s="64" t="s">
        <v>100</v>
      </c>
      <c r="C140" s="48">
        <v>36.274000000000001</v>
      </c>
      <c r="D140" s="48">
        <f t="shared" ref="D140:AH140" si="137">IF(C128&lt;30,IF(C140*(((D132-$C$132)/10)+1)&gt;100,100,C140*(((D132-$C$132)/10)+1)),0)</f>
        <v>39.901400000000002</v>
      </c>
      <c r="E140" s="48">
        <f t="shared" si="137"/>
        <v>47.881680000000003</v>
      </c>
      <c r="F140" s="48">
        <f t="shared" si="137"/>
        <v>62.246184000000007</v>
      </c>
      <c r="G140" s="48">
        <f t="shared" si="137"/>
        <v>87.144657600000002</v>
      </c>
      <c r="H140" s="48">
        <f t="shared" si="137"/>
        <v>100</v>
      </c>
      <c r="I140" s="48">
        <f t="shared" si="137"/>
        <v>0</v>
      </c>
      <c r="J140" s="48">
        <f t="shared" si="137"/>
        <v>0</v>
      </c>
      <c r="K140" s="48">
        <f t="shared" si="137"/>
        <v>0</v>
      </c>
      <c r="L140" s="48">
        <f t="shared" si="137"/>
        <v>0</v>
      </c>
      <c r="M140" s="48">
        <f t="shared" si="137"/>
        <v>0</v>
      </c>
      <c r="N140" s="48">
        <f t="shared" si="137"/>
        <v>0</v>
      </c>
      <c r="O140" s="48">
        <f t="shared" si="137"/>
        <v>0</v>
      </c>
      <c r="P140" s="48">
        <f t="shared" si="137"/>
        <v>0</v>
      </c>
      <c r="Q140" s="48">
        <f t="shared" si="137"/>
        <v>0</v>
      </c>
      <c r="R140" s="48">
        <f t="shared" si="137"/>
        <v>0</v>
      </c>
      <c r="S140" s="48">
        <f t="shared" si="137"/>
        <v>0</v>
      </c>
      <c r="T140" s="48">
        <f t="shared" si="137"/>
        <v>0</v>
      </c>
      <c r="U140" s="48">
        <f t="shared" si="137"/>
        <v>0</v>
      </c>
      <c r="V140" s="48">
        <f t="shared" si="137"/>
        <v>0</v>
      </c>
      <c r="W140" s="48">
        <f t="shared" si="137"/>
        <v>0</v>
      </c>
      <c r="X140" s="48">
        <f t="shared" si="137"/>
        <v>0</v>
      </c>
      <c r="Y140" s="48">
        <f t="shared" si="137"/>
        <v>0</v>
      </c>
      <c r="Z140" s="48">
        <f t="shared" si="137"/>
        <v>0</v>
      </c>
      <c r="AA140" s="48">
        <f t="shared" si="137"/>
        <v>0</v>
      </c>
      <c r="AB140" s="48">
        <f t="shared" si="137"/>
        <v>0</v>
      </c>
      <c r="AC140" s="48">
        <f t="shared" si="137"/>
        <v>0</v>
      </c>
      <c r="AD140" s="48">
        <f t="shared" si="137"/>
        <v>0</v>
      </c>
      <c r="AE140" s="48">
        <f t="shared" si="137"/>
        <v>0</v>
      </c>
      <c r="AF140" s="48">
        <f t="shared" si="137"/>
        <v>0</v>
      </c>
      <c r="AG140" s="48">
        <f t="shared" si="137"/>
        <v>0</v>
      </c>
      <c r="AH140" s="48">
        <f t="shared" si="137"/>
        <v>0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</row>
    <row r="141" spans="1:82">
      <c r="A141" s="1"/>
      <c r="B141" s="64" t="s">
        <v>101</v>
      </c>
      <c r="C141" s="48">
        <v>7.0000000000000001E-3</v>
      </c>
      <c r="D141" s="48">
        <f t="shared" ref="D141:AH141" si="138">IF(C128&lt;30,IF(C141*(((D132-$C$132)/10)+1)&gt;100,100,C141*(((D132-$C$132)/10)+1)),0)</f>
        <v>7.7000000000000011E-3</v>
      </c>
      <c r="E141" s="48">
        <f t="shared" si="138"/>
        <v>9.2400000000000017E-3</v>
      </c>
      <c r="F141" s="48">
        <f t="shared" si="138"/>
        <v>1.2012000000000002E-2</v>
      </c>
      <c r="G141" s="48">
        <f t="shared" si="138"/>
        <v>1.68168E-2</v>
      </c>
      <c r="H141" s="48">
        <f t="shared" si="138"/>
        <v>2.52252E-2</v>
      </c>
      <c r="I141" s="48">
        <f t="shared" si="138"/>
        <v>0</v>
      </c>
      <c r="J141" s="48">
        <f t="shared" si="138"/>
        <v>0</v>
      </c>
      <c r="K141" s="48">
        <f t="shared" si="138"/>
        <v>0</v>
      </c>
      <c r="L141" s="48">
        <f t="shared" si="138"/>
        <v>0</v>
      </c>
      <c r="M141" s="48">
        <f t="shared" si="138"/>
        <v>0</v>
      </c>
      <c r="N141" s="48">
        <f t="shared" si="138"/>
        <v>0</v>
      </c>
      <c r="O141" s="48">
        <f t="shared" si="138"/>
        <v>0</v>
      </c>
      <c r="P141" s="48">
        <f t="shared" si="138"/>
        <v>0</v>
      </c>
      <c r="Q141" s="48">
        <f t="shared" si="138"/>
        <v>0</v>
      </c>
      <c r="R141" s="48">
        <f t="shared" si="138"/>
        <v>0</v>
      </c>
      <c r="S141" s="48">
        <f t="shared" si="138"/>
        <v>0</v>
      </c>
      <c r="T141" s="48">
        <f t="shared" si="138"/>
        <v>0</v>
      </c>
      <c r="U141" s="48">
        <f t="shared" si="138"/>
        <v>0</v>
      </c>
      <c r="V141" s="48">
        <f t="shared" si="138"/>
        <v>0</v>
      </c>
      <c r="W141" s="48">
        <f t="shared" si="138"/>
        <v>0</v>
      </c>
      <c r="X141" s="48">
        <f t="shared" si="138"/>
        <v>0</v>
      </c>
      <c r="Y141" s="48">
        <f t="shared" si="138"/>
        <v>0</v>
      </c>
      <c r="Z141" s="48">
        <f t="shared" si="138"/>
        <v>0</v>
      </c>
      <c r="AA141" s="48">
        <f t="shared" si="138"/>
        <v>0</v>
      </c>
      <c r="AB141" s="48">
        <f t="shared" si="138"/>
        <v>0</v>
      </c>
      <c r="AC141" s="48">
        <f t="shared" si="138"/>
        <v>0</v>
      </c>
      <c r="AD141" s="48">
        <f t="shared" si="138"/>
        <v>0</v>
      </c>
      <c r="AE141" s="48">
        <f t="shared" si="138"/>
        <v>0</v>
      </c>
      <c r="AF141" s="48">
        <f t="shared" si="138"/>
        <v>0</v>
      </c>
      <c r="AG141" s="48">
        <f t="shared" si="138"/>
        <v>0</v>
      </c>
      <c r="AH141" s="48">
        <f t="shared" si="138"/>
        <v>0</v>
      </c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</row>
    <row r="142" spans="1:82">
      <c r="A142" s="1"/>
      <c r="B142" s="64" t="s">
        <v>5</v>
      </c>
      <c r="C142" s="48">
        <v>71.7</v>
      </c>
      <c r="D142" s="48">
        <v>71.7</v>
      </c>
      <c r="E142" s="48">
        <v>71.7</v>
      </c>
      <c r="F142" s="48">
        <v>71.7</v>
      </c>
      <c r="G142" s="48">
        <v>71.7</v>
      </c>
      <c r="H142" s="48">
        <v>71.7</v>
      </c>
      <c r="I142" s="48">
        <v>71.7</v>
      </c>
      <c r="J142" s="48">
        <v>71.7</v>
      </c>
      <c r="K142" s="48">
        <v>71.7</v>
      </c>
      <c r="L142" s="48">
        <v>71.7</v>
      </c>
      <c r="M142" s="48">
        <v>71.7</v>
      </c>
      <c r="N142" s="48">
        <v>71.7</v>
      </c>
      <c r="O142" s="48">
        <v>71.7</v>
      </c>
      <c r="P142" s="48">
        <v>71.7</v>
      </c>
      <c r="Q142" s="48">
        <v>71.7</v>
      </c>
      <c r="R142" s="48">
        <v>71.7</v>
      </c>
      <c r="S142" s="48">
        <v>71.7</v>
      </c>
      <c r="T142" s="48">
        <v>71.7</v>
      </c>
      <c r="U142" s="48">
        <v>71.7</v>
      </c>
      <c r="V142" s="48">
        <v>71.7</v>
      </c>
      <c r="W142" s="48">
        <v>71.7</v>
      </c>
      <c r="X142" s="48">
        <v>71.7</v>
      </c>
      <c r="Y142" s="48">
        <v>71.7</v>
      </c>
      <c r="Z142" s="48">
        <v>71.7</v>
      </c>
      <c r="AA142" s="48">
        <v>71.7</v>
      </c>
      <c r="AB142" s="48">
        <v>71.7</v>
      </c>
      <c r="AC142" s="48">
        <v>71.7</v>
      </c>
      <c r="AD142" s="48">
        <v>71.7</v>
      </c>
      <c r="AE142" s="48">
        <v>71.7</v>
      </c>
      <c r="AF142" s="48">
        <v>71.7</v>
      </c>
      <c r="AG142" s="48">
        <v>71.7</v>
      </c>
      <c r="AH142" s="48">
        <v>71.7</v>
      </c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</row>
    <row r="143" spans="1:82">
      <c r="A143" s="1"/>
      <c r="B143" s="64" t="s">
        <v>102</v>
      </c>
      <c r="C143" s="48">
        <v>4.3</v>
      </c>
      <c r="D143" s="48">
        <v>4.3</v>
      </c>
      <c r="E143" s="48">
        <v>4.3</v>
      </c>
      <c r="F143" s="48">
        <v>4.3</v>
      </c>
      <c r="G143" s="48">
        <v>4.3</v>
      </c>
      <c r="H143" s="48">
        <v>4.3</v>
      </c>
      <c r="I143" s="48">
        <v>4.3</v>
      </c>
      <c r="J143" s="48">
        <v>4.3</v>
      </c>
      <c r="K143" s="48">
        <v>4.3</v>
      </c>
      <c r="L143" s="48">
        <v>4.3</v>
      </c>
      <c r="M143" s="48">
        <v>4.3</v>
      </c>
      <c r="N143" s="48">
        <v>4.3</v>
      </c>
      <c r="O143" s="48">
        <v>4.3</v>
      </c>
      <c r="P143" s="48">
        <v>4.3</v>
      </c>
      <c r="Q143" s="48">
        <v>4.3</v>
      </c>
      <c r="R143" s="48">
        <v>4.3</v>
      </c>
      <c r="S143" s="48">
        <v>4.3</v>
      </c>
      <c r="T143" s="48">
        <v>4.3</v>
      </c>
      <c r="U143" s="48">
        <v>4.3</v>
      </c>
      <c r="V143" s="48">
        <v>4.3</v>
      </c>
      <c r="W143" s="48">
        <v>4.3</v>
      </c>
      <c r="X143" s="48">
        <v>4.3</v>
      </c>
      <c r="Y143" s="48">
        <v>4.3</v>
      </c>
      <c r="Z143" s="48">
        <v>4.3</v>
      </c>
      <c r="AA143" s="48">
        <v>4.3</v>
      </c>
      <c r="AB143" s="48">
        <v>4.3</v>
      </c>
      <c r="AC143" s="48">
        <v>4.3</v>
      </c>
      <c r="AD143" s="48">
        <v>4.3</v>
      </c>
      <c r="AE143" s="48">
        <v>4.3</v>
      </c>
      <c r="AF143" s="48">
        <v>4.3</v>
      </c>
      <c r="AG143" s="48">
        <v>4.3</v>
      </c>
      <c r="AH143" s="48">
        <v>4.3</v>
      </c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</row>
    <row r="144" spans="1:82">
      <c r="A144" s="1"/>
      <c r="B144" s="64" t="s">
        <v>7</v>
      </c>
      <c r="C144" s="48">
        <v>34.799999999999997</v>
      </c>
      <c r="D144" s="48">
        <v>34.799999999999997</v>
      </c>
      <c r="E144" s="48">
        <v>34.799999999999997</v>
      </c>
      <c r="F144" s="48">
        <v>34.799999999999997</v>
      </c>
      <c r="G144" s="48">
        <v>34.799999999999997</v>
      </c>
      <c r="H144" s="48">
        <v>34.799999999999997</v>
      </c>
      <c r="I144" s="48">
        <v>34.799999999999997</v>
      </c>
      <c r="J144" s="48">
        <v>34.799999999999997</v>
      </c>
      <c r="K144" s="48">
        <v>34.799999999999997</v>
      </c>
      <c r="L144" s="48">
        <v>34.799999999999997</v>
      </c>
      <c r="M144" s="48">
        <v>34.799999999999997</v>
      </c>
      <c r="N144" s="48">
        <v>34.799999999999997</v>
      </c>
      <c r="O144" s="48">
        <v>34.799999999999997</v>
      </c>
      <c r="P144" s="48">
        <v>34.799999999999997</v>
      </c>
      <c r="Q144" s="48">
        <v>34.799999999999997</v>
      </c>
      <c r="R144" s="48">
        <v>34.799999999999997</v>
      </c>
      <c r="S144" s="48">
        <v>34.799999999999997</v>
      </c>
      <c r="T144" s="48">
        <v>34.799999999999997</v>
      </c>
      <c r="U144" s="48">
        <v>34.799999999999997</v>
      </c>
      <c r="V144" s="48">
        <v>34.799999999999997</v>
      </c>
      <c r="W144" s="48">
        <v>34.799999999999997</v>
      </c>
      <c r="X144" s="48">
        <v>34.799999999999997</v>
      </c>
      <c r="Y144" s="48">
        <v>34.799999999999997</v>
      </c>
      <c r="Z144" s="48">
        <v>34.799999999999997</v>
      </c>
      <c r="AA144" s="48">
        <v>34.799999999999997</v>
      </c>
      <c r="AB144" s="48">
        <v>34.799999999999997</v>
      </c>
      <c r="AC144" s="48">
        <v>34.799999999999997</v>
      </c>
      <c r="AD144" s="48">
        <v>34.799999999999997</v>
      </c>
      <c r="AE144" s="48">
        <v>34.799999999999997</v>
      </c>
      <c r="AF144" s="48">
        <v>34.799999999999997</v>
      </c>
      <c r="AG144" s="48">
        <v>34.799999999999997</v>
      </c>
      <c r="AH144" s="48">
        <v>34.799999999999997</v>
      </c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</row>
    <row r="145" spans="1:82">
      <c r="A145" s="1"/>
      <c r="B145" s="64" t="s">
        <v>103</v>
      </c>
      <c r="C145" s="48">
        <v>59.9</v>
      </c>
      <c r="D145" s="48">
        <v>59.9</v>
      </c>
      <c r="E145" s="48">
        <v>59.9</v>
      </c>
      <c r="F145" s="48">
        <v>59.9</v>
      </c>
      <c r="G145" s="48">
        <v>59.9</v>
      </c>
      <c r="H145" s="48">
        <v>59.9</v>
      </c>
      <c r="I145" s="48">
        <v>59.9</v>
      </c>
      <c r="J145" s="48">
        <v>59.9</v>
      </c>
      <c r="K145" s="48">
        <v>59.9</v>
      </c>
      <c r="L145" s="48">
        <v>59.9</v>
      </c>
      <c r="M145" s="48">
        <v>59.9</v>
      </c>
      <c r="N145" s="48">
        <v>59.9</v>
      </c>
      <c r="O145" s="48">
        <v>59.9</v>
      </c>
      <c r="P145" s="48">
        <v>59.9</v>
      </c>
      <c r="Q145" s="48">
        <v>59.9</v>
      </c>
      <c r="R145" s="48">
        <v>59.9</v>
      </c>
      <c r="S145" s="48">
        <v>59.9</v>
      </c>
      <c r="T145" s="48">
        <v>59.9</v>
      </c>
      <c r="U145" s="48">
        <v>59.9</v>
      </c>
      <c r="V145" s="48">
        <v>59.9</v>
      </c>
      <c r="W145" s="48">
        <v>59.9</v>
      </c>
      <c r="X145" s="48">
        <v>59.9</v>
      </c>
      <c r="Y145" s="48">
        <v>59.9</v>
      </c>
      <c r="Z145" s="48">
        <v>59.9</v>
      </c>
      <c r="AA145" s="48">
        <v>59.9</v>
      </c>
      <c r="AB145" s="48">
        <v>59.9</v>
      </c>
      <c r="AC145" s="48">
        <v>59.9</v>
      </c>
      <c r="AD145" s="48">
        <v>59.9</v>
      </c>
      <c r="AE145" s="48">
        <v>59.9</v>
      </c>
      <c r="AF145" s="48">
        <v>59.9</v>
      </c>
      <c r="AG145" s="48">
        <v>59.9</v>
      </c>
      <c r="AH145" s="48">
        <v>59.9</v>
      </c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</row>
    <row r="146" spans="1:8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</row>
    <row r="147" spans="1:82">
      <c r="A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</row>
    <row r="148" spans="1:82">
      <c r="A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</row>
    <row r="149" spans="1:82">
      <c r="A149" s="1"/>
      <c r="B149" s="118" t="s">
        <v>77</v>
      </c>
      <c r="C149" s="118">
        <v>2019</v>
      </c>
      <c r="D149" s="118">
        <v>2020</v>
      </c>
      <c r="E149" s="118">
        <v>2021</v>
      </c>
      <c r="F149" s="118">
        <v>2022</v>
      </c>
      <c r="G149" s="118">
        <v>2023</v>
      </c>
      <c r="H149" s="118">
        <v>2024</v>
      </c>
      <c r="I149" s="118">
        <v>2025</v>
      </c>
      <c r="J149" s="118">
        <v>2026</v>
      </c>
      <c r="K149" s="118">
        <v>2027</v>
      </c>
      <c r="L149" s="118">
        <v>2028</v>
      </c>
      <c r="M149" s="118">
        <v>2029</v>
      </c>
      <c r="N149" s="118">
        <v>2030</v>
      </c>
      <c r="O149" s="118">
        <v>2031</v>
      </c>
      <c r="P149" s="118">
        <v>2032</v>
      </c>
      <c r="Q149" s="118">
        <v>2033</v>
      </c>
      <c r="R149" s="118">
        <v>2034</v>
      </c>
      <c r="S149" s="118">
        <v>2035</v>
      </c>
      <c r="T149" s="118">
        <v>2036</v>
      </c>
      <c r="U149" s="118">
        <v>2037</v>
      </c>
      <c r="V149" s="118">
        <v>2038</v>
      </c>
      <c r="W149" s="118">
        <v>2039</v>
      </c>
      <c r="X149" s="118">
        <v>2040</v>
      </c>
      <c r="Y149" s="118">
        <v>2041</v>
      </c>
      <c r="Z149" s="118">
        <v>2042</v>
      </c>
      <c r="AA149" s="118">
        <v>2043</v>
      </c>
      <c r="AB149" s="118">
        <v>2044</v>
      </c>
      <c r="AC149" s="118">
        <v>2045</v>
      </c>
      <c r="AD149" s="118">
        <v>2046</v>
      </c>
      <c r="AE149" s="118">
        <v>2047</v>
      </c>
      <c r="AF149" s="118">
        <v>2048</v>
      </c>
      <c r="AG149" s="118">
        <v>2049</v>
      </c>
      <c r="AH149" s="118">
        <v>2050</v>
      </c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</row>
    <row r="150" spans="1:82">
      <c r="A150" s="1"/>
      <c r="B150" s="118" t="s">
        <v>81</v>
      </c>
      <c r="C150" s="17">
        <f t="shared" ref="C150:AH150" si="139">C112*$AL$112/10^(12)</f>
        <v>1086.8469095199998</v>
      </c>
      <c r="D150" s="17">
        <f t="shared" si="139"/>
        <v>1064.5649559999997</v>
      </c>
      <c r="E150" s="17">
        <f t="shared" si="139"/>
        <v>993.27435903999992</v>
      </c>
      <c r="F150" s="17">
        <f t="shared" si="139"/>
        <v>920.65656075999982</v>
      </c>
      <c r="G150" s="17">
        <f t="shared" si="139"/>
        <v>814.67102895999983</v>
      </c>
      <c r="H150" s="17">
        <f t="shared" si="139"/>
        <v>707.23311543999989</v>
      </c>
      <c r="I150" s="17">
        <f t="shared" si="139"/>
        <v>614.50424055999997</v>
      </c>
      <c r="J150" s="17">
        <f t="shared" si="139"/>
        <v>568.07186932000002</v>
      </c>
      <c r="K150" s="17">
        <f t="shared" si="139"/>
        <v>536.05742439999972</v>
      </c>
      <c r="L150" s="17">
        <f t="shared" si="139"/>
        <v>517.83319924000011</v>
      </c>
      <c r="M150" s="17">
        <f t="shared" si="139"/>
        <v>513.05026552000004</v>
      </c>
      <c r="N150" s="17">
        <f t="shared" si="139"/>
        <v>487.54111924</v>
      </c>
      <c r="O150" s="17">
        <f t="shared" si="139"/>
        <v>464.3796354399999</v>
      </c>
      <c r="P150" s="17">
        <f t="shared" si="139"/>
        <v>422.02491279999987</v>
      </c>
      <c r="Q150" s="17">
        <f t="shared" si="139"/>
        <v>422.02491279999987</v>
      </c>
      <c r="R150" s="17">
        <f t="shared" si="139"/>
        <v>396.61127679999987</v>
      </c>
      <c r="S150" s="17">
        <f t="shared" si="139"/>
        <v>396.61127679999987</v>
      </c>
      <c r="T150" s="17">
        <f t="shared" si="139"/>
        <v>396.61127679999987</v>
      </c>
      <c r="U150" s="17">
        <f t="shared" si="139"/>
        <v>386.41375203999968</v>
      </c>
      <c r="V150" s="17">
        <f t="shared" si="139"/>
        <v>386.41375203999968</v>
      </c>
      <c r="W150" s="17">
        <f t="shared" si="139"/>
        <v>386.41375203999968</v>
      </c>
      <c r="X150" s="17">
        <f t="shared" si="139"/>
        <v>386.41375203999968</v>
      </c>
      <c r="Y150" s="17">
        <f t="shared" si="139"/>
        <v>375.75287583999983</v>
      </c>
      <c r="Z150" s="17">
        <f t="shared" si="139"/>
        <v>375.75287583999983</v>
      </c>
      <c r="AA150" s="17">
        <f t="shared" si="139"/>
        <v>370.81220955999987</v>
      </c>
      <c r="AB150" s="17">
        <f t="shared" si="139"/>
        <v>370.81220955999987</v>
      </c>
      <c r="AC150" s="17">
        <f t="shared" si="139"/>
        <v>370.81220955999987</v>
      </c>
      <c r="AD150" s="17">
        <f t="shared" si="139"/>
        <v>370.81220955999987</v>
      </c>
      <c r="AE150" s="17">
        <f t="shared" si="139"/>
        <v>370.81220955999987</v>
      </c>
      <c r="AF150" s="17">
        <f t="shared" si="139"/>
        <v>370.81220955999987</v>
      </c>
      <c r="AG150" s="17">
        <f t="shared" si="139"/>
        <v>370.81220955999987</v>
      </c>
      <c r="AH150" s="17">
        <f t="shared" si="139"/>
        <v>370.81220955999987</v>
      </c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</row>
    <row r="151" spans="1:82">
      <c r="A151" s="1"/>
      <c r="B151" s="118" t="s">
        <v>96</v>
      </c>
      <c r="C151" s="17">
        <f t="shared" ref="C151:AH151" si="140">C113*$AL$113/10^(12)</f>
        <v>20.908327867605696</v>
      </c>
      <c r="D151" s="17">
        <f t="shared" si="140"/>
        <v>20.908327867605696</v>
      </c>
      <c r="E151" s="17">
        <f t="shared" si="140"/>
        <v>20.908327867605696</v>
      </c>
      <c r="F151" s="17">
        <f t="shared" si="140"/>
        <v>20.908327867605696</v>
      </c>
      <c r="G151" s="17">
        <f t="shared" si="140"/>
        <v>20.908327867605696</v>
      </c>
      <c r="H151" s="17">
        <f t="shared" si="140"/>
        <v>20.908327867605696</v>
      </c>
      <c r="I151" s="17">
        <f t="shared" si="140"/>
        <v>20.908327867605696</v>
      </c>
      <c r="J151" s="17">
        <f t="shared" si="140"/>
        <v>20.908327867605696</v>
      </c>
      <c r="K151" s="17">
        <f t="shared" si="140"/>
        <v>20.908327867605696</v>
      </c>
      <c r="L151" s="17">
        <f t="shared" si="140"/>
        <v>20.908327867605696</v>
      </c>
      <c r="M151" s="17">
        <f t="shared" si="140"/>
        <v>20.908327867605696</v>
      </c>
      <c r="N151" s="17">
        <f t="shared" si="140"/>
        <v>20.908327867605696</v>
      </c>
      <c r="O151" s="17">
        <f t="shared" si="140"/>
        <v>20.908327867605696</v>
      </c>
      <c r="P151" s="17">
        <f t="shared" si="140"/>
        <v>20.908327867605696</v>
      </c>
      <c r="Q151" s="17">
        <f t="shared" si="140"/>
        <v>20.908327867605696</v>
      </c>
      <c r="R151" s="17">
        <f t="shared" si="140"/>
        <v>20.908327867605696</v>
      </c>
      <c r="S151" s="17">
        <f t="shared" si="140"/>
        <v>20.908327867605696</v>
      </c>
      <c r="T151" s="17">
        <f t="shared" si="140"/>
        <v>20.908327867605696</v>
      </c>
      <c r="U151" s="17">
        <f t="shared" si="140"/>
        <v>20.908327867605696</v>
      </c>
      <c r="V151" s="17">
        <f t="shared" si="140"/>
        <v>20.908327867605696</v>
      </c>
      <c r="W151" s="17">
        <f t="shared" si="140"/>
        <v>20.908327867605696</v>
      </c>
      <c r="X151" s="17">
        <f t="shared" si="140"/>
        <v>20.908327867605696</v>
      </c>
      <c r="Y151" s="17">
        <f t="shared" si="140"/>
        <v>20.908327867605696</v>
      </c>
      <c r="Z151" s="17">
        <f t="shared" si="140"/>
        <v>20.908327867605696</v>
      </c>
      <c r="AA151" s="17">
        <f t="shared" si="140"/>
        <v>20.908327867605696</v>
      </c>
      <c r="AB151" s="17">
        <f t="shared" si="140"/>
        <v>20.908327867605696</v>
      </c>
      <c r="AC151" s="17">
        <f t="shared" si="140"/>
        <v>20.908327867605696</v>
      </c>
      <c r="AD151" s="17">
        <f t="shared" si="140"/>
        <v>20.908327867605696</v>
      </c>
      <c r="AE151" s="17">
        <f t="shared" si="140"/>
        <v>20.908327867605696</v>
      </c>
      <c r="AF151" s="17">
        <f t="shared" si="140"/>
        <v>20.908327867605696</v>
      </c>
      <c r="AG151" s="17">
        <f t="shared" si="140"/>
        <v>20.908327867605696</v>
      </c>
      <c r="AH151" s="17">
        <f t="shared" si="140"/>
        <v>20.908327867605696</v>
      </c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</row>
    <row r="152" spans="1:82">
      <c r="A152" s="1"/>
      <c r="B152" s="118" t="s">
        <v>89</v>
      </c>
      <c r="C152" s="17">
        <f t="shared" ref="C152:AH152" si="141">C114*$AL$114/10^(12)</f>
        <v>472.12309475199999</v>
      </c>
      <c r="D152" s="17">
        <f t="shared" si="141"/>
        <v>467.35940149599998</v>
      </c>
      <c r="E152" s="17">
        <f t="shared" si="141"/>
        <v>440.27708425624007</v>
      </c>
      <c r="F152" s="17">
        <f t="shared" si="141"/>
        <v>433.72511408824005</v>
      </c>
      <c r="G152" s="17">
        <f t="shared" si="141"/>
        <v>422.92405576048009</v>
      </c>
      <c r="H152" s="17">
        <f t="shared" si="141"/>
        <v>412.57020944871999</v>
      </c>
      <c r="I152" s="17">
        <f t="shared" si="141"/>
        <v>407.00776297648002</v>
      </c>
      <c r="J152" s="17">
        <f t="shared" si="141"/>
        <v>391.40618636751998</v>
      </c>
      <c r="K152" s="17">
        <f t="shared" si="141"/>
        <v>388.97878465600007</v>
      </c>
      <c r="L152" s="17">
        <f t="shared" si="141"/>
        <v>383.40862192024002</v>
      </c>
      <c r="M152" s="17">
        <f t="shared" si="141"/>
        <v>373.86381241648007</v>
      </c>
      <c r="N152" s="17">
        <f t="shared" si="141"/>
        <v>373.69932064048004</v>
      </c>
      <c r="O152" s="17">
        <f t="shared" si="141"/>
        <v>371.91503322520009</v>
      </c>
      <c r="P152" s="17">
        <f t="shared" si="141"/>
        <v>371.91503322520009</v>
      </c>
      <c r="Q152" s="17">
        <f t="shared" si="141"/>
        <v>371.24394104824006</v>
      </c>
      <c r="R152" s="17">
        <f t="shared" si="141"/>
        <v>371.01548595976004</v>
      </c>
      <c r="S152" s="17">
        <f t="shared" si="141"/>
        <v>370.73276857552008</v>
      </c>
      <c r="T152" s="17">
        <f t="shared" si="141"/>
        <v>369.48365058424008</v>
      </c>
      <c r="U152" s="17">
        <f t="shared" si="141"/>
        <v>369.48365058424008</v>
      </c>
      <c r="V152" s="17">
        <f t="shared" si="141"/>
        <v>367.16477060848007</v>
      </c>
      <c r="W152" s="17">
        <f t="shared" si="141"/>
        <v>367.16477060848007</v>
      </c>
      <c r="X152" s="17">
        <f t="shared" si="141"/>
        <v>366.57477059247998</v>
      </c>
      <c r="Y152" s="17">
        <f t="shared" si="141"/>
        <v>358.76140552096007</v>
      </c>
      <c r="Z152" s="17">
        <f t="shared" si="141"/>
        <v>357.44490872824002</v>
      </c>
      <c r="AA152" s="17">
        <f t="shared" si="141"/>
        <v>356.85090493672004</v>
      </c>
      <c r="AB152" s="17">
        <f t="shared" si="141"/>
        <v>356.85090493672004</v>
      </c>
      <c r="AC152" s="17">
        <f t="shared" si="141"/>
        <v>355.97532892072002</v>
      </c>
      <c r="AD152" s="17">
        <f t="shared" si="141"/>
        <v>355.32135988072008</v>
      </c>
      <c r="AE152" s="17">
        <f t="shared" si="141"/>
        <v>355.32135988072008</v>
      </c>
      <c r="AF152" s="17">
        <f t="shared" si="141"/>
        <v>355.32135988072008</v>
      </c>
      <c r="AG152" s="17">
        <f t="shared" si="141"/>
        <v>355.32135988072008</v>
      </c>
      <c r="AH152" s="17">
        <f t="shared" si="141"/>
        <v>355.32135988072008</v>
      </c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</row>
    <row r="153" spans="1:82">
      <c r="A153" s="1"/>
      <c r="B153" s="118" t="s">
        <v>88</v>
      </c>
      <c r="C153" s="17">
        <f t="shared" ref="C153:AH153" si="142">C115*$AL$115/10^(12)</f>
        <v>320.09158566000002</v>
      </c>
      <c r="D153" s="17">
        <f t="shared" si="142"/>
        <v>317.14998247800003</v>
      </c>
      <c r="E153" s="17">
        <f t="shared" si="142"/>
        <v>300.18800393442007</v>
      </c>
      <c r="F153" s="17">
        <f t="shared" si="142"/>
        <v>290.00877049242001</v>
      </c>
      <c r="G153" s="17">
        <f t="shared" si="142"/>
        <v>282.86834699591998</v>
      </c>
      <c r="H153" s="17">
        <f t="shared" si="142"/>
        <v>274.06162669662001</v>
      </c>
      <c r="I153" s="17">
        <f t="shared" si="142"/>
        <v>268.61264531136004</v>
      </c>
      <c r="J153" s="17">
        <f t="shared" si="142"/>
        <v>261.19113636167998</v>
      </c>
      <c r="K153" s="17">
        <f t="shared" si="142"/>
        <v>258.61439705219999</v>
      </c>
      <c r="L153" s="17">
        <f t="shared" si="142"/>
        <v>257.04962602578001</v>
      </c>
      <c r="M153" s="17">
        <f t="shared" si="142"/>
        <v>253.87545481704004</v>
      </c>
      <c r="N153" s="17">
        <f t="shared" si="142"/>
        <v>253.00238065703999</v>
      </c>
      <c r="O153" s="17">
        <f t="shared" si="142"/>
        <v>251.74414751346001</v>
      </c>
      <c r="P153" s="17">
        <f t="shared" si="142"/>
        <v>249.77393591346004</v>
      </c>
      <c r="Q153" s="17">
        <f t="shared" si="142"/>
        <v>249.30070653978001</v>
      </c>
      <c r="R153" s="17">
        <f t="shared" si="142"/>
        <v>247.72067796294007</v>
      </c>
      <c r="S153" s="17">
        <f t="shared" si="142"/>
        <v>242.62864869852004</v>
      </c>
      <c r="T153" s="17">
        <f t="shared" si="142"/>
        <v>241.28117655893999</v>
      </c>
      <c r="U153" s="17">
        <f t="shared" si="142"/>
        <v>241.28117655893999</v>
      </c>
      <c r="V153" s="17">
        <f t="shared" si="142"/>
        <v>236.48930710020002</v>
      </c>
      <c r="W153" s="17">
        <f t="shared" si="142"/>
        <v>235.53896974020003</v>
      </c>
      <c r="X153" s="17">
        <f t="shared" si="142"/>
        <v>235.53896974020003</v>
      </c>
      <c r="Y153" s="17">
        <f t="shared" si="142"/>
        <v>235.1101589802</v>
      </c>
      <c r="Z153" s="17">
        <f t="shared" si="142"/>
        <v>232.40401733178001</v>
      </c>
      <c r="AA153" s="17">
        <f t="shared" si="142"/>
        <v>225.72847685178004</v>
      </c>
      <c r="AB153" s="17">
        <f t="shared" si="142"/>
        <v>225.72847685178004</v>
      </c>
      <c r="AC153" s="17">
        <f t="shared" si="142"/>
        <v>224.26433534861999</v>
      </c>
      <c r="AD153" s="17">
        <f t="shared" si="142"/>
        <v>222.48341472546002</v>
      </c>
      <c r="AE153" s="17">
        <f t="shared" si="142"/>
        <v>219.83754030462003</v>
      </c>
      <c r="AF153" s="17">
        <f t="shared" si="142"/>
        <v>219.83754030462003</v>
      </c>
      <c r="AG153" s="17">
        <f t="shared" si="142"/>
        <v>219.83754030462003</v>
      </c>
      <c r="AH153" s="17">
        <f t="shared" si="142"/>
        <v>219.82517819262003</v>
      </c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</row>
    <row r="154" spans="1:82">
      <c r="A154" s="1"/>
      <c r="B154" s="118" t="s">
        <v>97</v>
      </c>
      <c r="C154" s="17">
        <f t="shared" ref="C154:AH154" si="143">C116*$AL$116/10^(12)</f>
        <v>20.868876315000001</v>
      </c>
      <c r="D154" s="17">
        <f t="shared" si="143"/>
        <v>20.868876315000001</v>
      </c>
      <c r="E154" s="17">
        <f t="shared" si="143"/>
        <v>31.290084841087797</v>
      </c>
      <c r="F154" s="17">
        <f t="shared" si="143"/>
        <v>33.435267044210683</v>
      </c>
      <c r="G154" s="17">
        <f t="shared" si="143"/>
        <v>34.956806290685982</v>
      </c>
      <c r="H154" s="17">
        <f t="shared" si="143"/>
        <v>34.956806290685982</v>
      </c>
      <c r="I154" s="17">
        <f t="shared" si="143"/>
        <v>46.334580262777841</v>
      </c>
      <c r="J154" s="17">
        <f t="shared" si="143"/>
        <v>53.215096918798068</v>
      </c>
      <c r="K154" s="17">
        <f t="shared" si="143"/>
        <v>54.563089777524674</v>
      </c>
      <c r="L154" s="17">
        <f t="shared" si="143"/>
        <v>54.723308332475149</v>
      </c>
      <c r="M154" s="17">
        <f t="shared" si="143"/>
        <v>54.723308332475149</v>
      </c>
      <c r="N154" s="17">
        <f t="shared" si="143"/>
        <v>54.723308332475149</v>
      </c>
      <c r="O154" s="17">
        <f t="shared" si="143"/>
        <v>54.723308332475149</v>
      </c>
      <c r="P154" s="17">
        <f t="shared" si="143"/>
        <v>57.441527399964947</v>
      </c>
      <c r="Q154" s="17">
        <f t="shared" si="143"/>
        <v>57.441527399964947</v>
      </c>
      <c r="R154" s="17">
        <f t="shared" si="143"/>
        <v>57.441527399964947</v>
      </c>
      <c r="S154" s="17">
        <f t="shared" si="143"/>
        <v>57.441527399964947</v>
      </c>
      <c r="T154" s="17">
        <f t="shared" si="143"/>
        <v>57.441527399964947</v>
      </c>
      <c r="U154" s="17">
        <f t="shared" si="143"/>
        <v>57.441527399964947</v>
      </c>
      <c r="V154" s="17">
        <f t="shared" si="143"/>
        <v>57.441527399964947</v>
      </c>
      <c r="W154" s="17">
        <f t="shared" si="143"/>
        <v>57.441527399964947</v>
      </c>
      <c r="X154" s="17">
        <f t="shared" si="143"/>
        <v>57.441527399964947</v>
      </c>
      <c r="Y154" s="17">
        <f t="shared" si="143"/>
        <v>57.441527399964947</v>
      </c>
      <c r="Z154" s="17">
        <f t="shared" si="143"/>
        <v>57.441527399964947</v>
      </c>
      <c r="AA154" s="17">
        <f t="shared" si="143"/>
        <v>57.441527399964947</v>
      </c>
      <c r="AB154" s="17">
        <f t="shared" si="143"/>
        <v>57.441527399964947</v>
      </c>
      <c r="AC154" s="17">
        <f t="shared" si="143"/>
        <v>57.441527399964947</v>
      </c>
      <c r="AD154" s="17">
        <f t="shared" si="143"/>
        <v>57.441527399964947</v>
      </c>
      <c r="AE154" s="17">
        <f t="shared" si="143"/>
        <v>57.441527399964947</v>
      </c>
      <c r="AF154" s="17">
        <f t="shared" si="143"/>
        <v>57.441527399964947</v>
      </c>
      <c r="AG154" s="17">
        <f t="shared" si="143"/>
        <v>57.441527399964947</v>
      </c>
      <c r="AH154" s="17">
        <f t="shared" si="143"/>
        <v>57.441527399964947</v>
      </c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</row>
    <row r="155" spans="1:82">
      <c r="A155" s="1"/>
      <c r="B155" s="118" t="s">
        <v>98</v>
      </c>
      <c r="C155" s="17">
        <f t="shared" ref="C155:AH155" si="144">C117*$AL$117/10^(12)</f>
        <v>3.4746384600000004</v>
      </c>
      <c r="D155" s="17">
        <f t="shared" si="144"/>
        <v>4.3275567600000002</v>
      </c>
      <c r="E155" s="17">
        <f t="shared" si="144"/>
        <v>5.3510850000000012</v>
      </c>
      <c r="F155" s="17">
        <f t="shared" si="144"/>
        <v>6.6804326100000004</v>
      </c>
      <c r="G155" s="17">
        <f t="shared" si="144"/>
        <v>8.5429226160000002</v>
      </c>
      <c r="H155" s="17">
        <f t="shared" si="144"/>
        <v>11.336247</v>
      </c>
      <c r="I155" s="17">
        <f t="shared" si="144"/>
        <v>11.336082750000003</v>
      </c>
      <c r="J155" s="17">
        <f t="shared" si="144"/>
        <v>11.33595135</v>
      </c>
      <c r="K155" s="17">
        <f t="shared" si="144"/>
        <v>11.33595135</v>
      </c>
      <c r="L155" s="17">
        <f t="shared" si="144"/>
        <v>11.33595135</v>
      </c>
      <c r="M155" s="17">
        <f t="shared" si="144"/>
        <v>11.331023849999999</v>
      </c>
      <c r="N155" s="17">
        <f t="shared" si="144"/>
        <v>11.331023849999999</v>
      </c>
      <c r="O155" s="17">
        <f t="shared" si="144"/>
        <v>11.331023849999999</v>
      </c>
      <c r="P155" s="17">
        <f t="shared" si="144"/>
        <v>11.331023849999999</v>
      </c>
      <c r="Q155" s="17">
        <f t="shared" si="144"/>
        <v>11.331023849999999</v>
      </c>
      <c r="R155" s="17">
        <f t="shared" si="144"/>
        <v>11.331023849999999</v>
      </c>
      <c r="S155" s="17">
        <f t="shared" si="144"/>
        <v>11.331023849999999</v>
      </c>
      <c r="T155" s="17">
        <f t="shared" si="144"/>
        <v>11.331023849999999</v>
      </c>
      <c r="U155" s="17">
        <f t="shared" si="144"/>
        <v>11.331023849999999</v>
      </c>
      <c r="V155" s="17">
        <f t="shared" si="144"/>
        <v>11.331023849999999</v>
      </c>
      <c r="W155" s="17">
        <f t="shared" si="144"/>
        <v>11.331023849999999</v>
      </c>
      <c r="X155" s="17">
        <f t="shared" si="144"/>
        <v>11.331023849999999</v>
      </c>
      <c r="Y155" s="17">
        <f t="shared" si="144"/>
        <v>11.331023849999999</v>
      </c>
      <c r="Z155" s="17">
        <f t="shared" si="144"/>
        <v>11.331023849999999</v>
      </c>
      <c r="AA155" s="17">
        <f t="shared" si="144"/>
        <v>11.331023849999999</v>
      </c>
      <c r="AB155" s="17">
        <f t="shared" si="144"/>
        <v>11.331023849999999</v>
      </c>
      <c r="AC155" s="17">
        <f t="shared" si="144"/>
        <v>11.331023849999999</v>
      </c>
      <c r="AD155" s="17">
        <f t="shared" si="144"/>
        <v>11.331023849999999</v>
      </c>
      <c r="AE155" s="17">
        <f t="shared" si="144"/>
        <v>11.32819875</v>
      </c>
      <c r="AF155" s="17">
        <f t="shared" si="144"/>
        <v>11.32819875</v>
      </c>
      <c r="AG155" s="17">
        <f t="shared" si="144"/>
        <v>11.32819875</v>
      </c>
      <c r="AH155" s="17">
        <f t="shared" si="144"/>
        <v>11.32819875</v>
      </c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</row>
    <row r="156" spans="1:82">
      <c r="A156" s="1"/>
      <c r="B156" s="118" t="s">
        <v>99</v>
      </c>
      <c r="C156" s="17">
        <f t="shared" ref="C156:AH156" si="145">C118*$AL$118/10^(12)</f>
        <v>8.3758135999999997E-2</v>
      </c>
      <c r="D156" s="17">
        <f t="shared" si="145"/>
        <v>8.3726016E-2</v>
      </c>
      <c r="E156" s="17">
        <f t="shared" si="145"/>
        <v>8.3700320000000009E-2</v>
      </c>
      <c r="F156" s="17">
        <f t="shared" si="145"/>
        <v>8.3061131999999996E-2</v>
      </c>
      <c r="G156" s="17">
        <f t="shared" si="145"/>
        <v>8.2852352000000004E-2</v>
      </c>
      <c r="H156" s="17">
        <f t="shared" si="145"/>
        <v>8.2338432000000003E-2</v>
      </c>
      <c r="I156" s="17">
        <f t="shared" si="145"/>
        <v>8.2258131999999998E-2</v>
      </c>
      <c r="J156" s="17">
        <f t="shared" si="145"/>
        <v>8.2193892000000005E-2</v>
      </c>
      <c r="K156" s="17">
        <f t="shared" si="145"/>
        <v>8.2193892000000005E-2</v>
      </c>
      <c r="L156" s="17">
        <f t="shared" si="145"/>
        <v>8.2193892000000005E-2</v>
      </c>
      <c r="M156" s="17">
        <f t="shared" si="145"/>
        <v>7.9784891999999996E-2</v>
      </c>
      <c r="N156" s="17">
        <f t="shared" si="145"/>
        <v>7.9784891999999996E-2</v>
      </c>
      <c r="O156" s="17">
        <f t="shared" si="145"/>
        <v>7.9784891999999996E-2</v>
      </c>
      <c r="P156" s="17">
        <f t="shared" si="145"/>
        <v>7.9784891999999996E-2</v>
      </c>
      <c r="Q156" s="17">
        <f t="shared" si="145"/>
        <v>7.9784891999999996E-2</v>
      </c>
      <c r="R156" s="17">
        <f t="shared" si="145"/>
        <v>7.9784891999999996E-2</v>
      </c>
      <c r="S156" s="17">
        <f t="shared" si="145"/>
        <v>7.9784891999999996E-2</v>
      </c>
      <c r="T156" s="17">
        <f t="shared" si="145"/>
        <v>7.9784891999999996E-2</v>
      </c>
      <c r="U156" s="17">
        <f t="shared" si="145"/>
        <v>7.9784891999999996E-2</v>
      </c>
      <c r="V156" s="17">
        <f t="shared" si="145"/>
        <v>7.9784891999999996E-2</v>
      </c>
      <c r="W156" s="17">
        <f t="shared" si="145"/>
        <v>7.9784891999999996E-2</v>
      </c>
      <c r="X156" s="17">
        <f t="shared" si="145"/>
        <v>7.9784891999999996E-2</v>
      </c>
      <c r="Y156" s="17">
        <f t="shared" si="145"/>
        <v>7.9784891999999996E-2</v>
      </c>
      <c r="Z156" s="17">
        <f t="shared" si="145"/>
        <v>7.9784891999999996E-2</v>
      </c>
      <c r="AA156" s="17">
        <f t="shared" si="145"/>
        <v>7.9784891999999996E-2</v>
      </c>
      <c r="AB156" s="17">
        <f t="shared" si="145"/>
        <v>7.9784891999999996E-2</v>
      </c>
      <c r="AC156" s="17">
        <f t="shared" si="145"/>
        <v>7.9784891999999996E-2</v>
      </c>
      <c r="AD156" s="17">
        <f t="shared" si="145"/>
        <v>7.9784891999999996E-2</v>
      </c>
      <c r="AE156" s="17">
        <f t="shared" si="145"/>
        <v>7.8403732000000004E-2</v>
      </c>
      <c r="AF156" s="17">
        <f t="shared" si="145"/>
        <v>7.8403732000000004E-2</v>
      </c>
      <c r="AG156" s="17">
        <f t="shared" si="145"/>
        <v>7.8403732000000004E-2</v>
      </c>
      <c r="AH156" s="17">
        <f t="shared" si="145"/>
        <v>7.8403732000000004E-2</v>
      </c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</row>
    <row r="157" spans="1:82">
      <c r="A157" s="1"/>
      <c r="B157" s="118" t="s">
        <v>100</v>
      </c>
      <c r="C157" s="17">
        <f>C119*$AL$119/10^(12)</f>
        <v>3.397968068</v>
      </c>
      <c r="D157" s="17">
        <f t="shared" ref="D157:AH157" si="146">D119*$AL$119/10^(12)</f>
        <v>3.8368674079999998</v>
      </c>
      <c r="E157" s="17">
        <f t="shared" si="146"/>
        <v>4.3635530400000002</v>
      </c>
      <c r="F157" s="17">
        <f t="shared" si="146"/>
        <v>5.0479414700000014</v>
      </c>
      <c r="G157" s="17">
        <f t="shared" si="146"/>
        <v>6.0064283136000007</v>
      </c>
      <c r="H157" s="17">
        <f t="shared" si="146"/>
        <v>7.1061713536000015</v>
      </c>
      <c r="I157" s="17">
        <f t="shared" si="146"/>
        <v>7.1061312036000004</v>
      </c>
      <c r="J157" s="17">
        <f t="shared" si="146"/>
        <v>7.1060990836000011</v>
      </c>
      <c r="K157" s="17">
        <f t="shared" si="146"/>
        <v>7.1060990836000011</v>
      </c>
      <c r="L157" s="17">
        <f t="shared" si="146"/>
        <v>7.1060990836000011</v>
      </c>
      <c r="M157" s="17">
        <f t="shared" si="146"/>
        <v>7.104894583600001</v>
      </c>
      <c r="N157" s="17">
        <f t="shared" si="146"/>
        <v>7.104894583600001</v>
      </c>
      <c r="O157" s="17">
        <f t="shared" si="146"/>
        <v>7.104894583600001</v>
      </c>
      <c r="P157" s="17">
        <f t="shared" si="146"/>
        <v>7.104894583600001</v>
      </c>
      <c r="Q157" s="17">
        <f t="shared" si="146"/>
        <v>7.104894583600001</v>
      </c>
      <c r="R157" s="17">
        <f t="shared" si="146"/>
        <v>7.104894583600001</v>
      </c>
      <c r="S157" s="17">
        <f t="shared" si="146"/>
        <v>7.104894583600001</v>
      </c>
      <c r="T157" s="17">
        <f t="shared" si="146"/>
        <v>7.104894583600001</v>
      </c>
      <c r="U157" s="17">
        <f t="shared" si="146"/>
        <v>7.104894583600001</v>
      </c>
      <c r="V157" s="17">
        <f t="shared" si="146"/>
        <v>7.104894583600001</v>
      </c>
      <c r="W157" s="17">
        <f t="shared" si="146"/>
        <v>7.104894583600001</v>
      </c>
      <c r="X157" s="17">
        <f t="shared" si="146"/>
        <v>7.104894583600001</v>
      </c>
      <c r="Y157" s="17">
        <f t="shared" si="146"/>
        <v>7.104894583600001</v>
      </c>
      <c r="Z157" s="17">
        <f t="shared" si="146"/>
        <v>7.104894583600001</v>
      </c>
      <c r="AA157" s="17">
        <f t="shared" si="146"/>
        <v>7.104894583600001</v>
      </c>
      <c r="AB157" s="17">
        <f t="shared" si="146"/>
        <v>7.104894583600001</v>
      </c>
      <c r="AC157" s="17">
        <f t="shared" si="146"/>
        <v>7.104894583600001</v>
      </c>
      <c r="AD157" s="17">
        <f t="shared" si="146"/>
        <v>7.104894583600001</v>
      </c>
      <c r="AE157" s="17">
        <f t="shared" si="146"/>
        <v>7.1042040036000014</v>
      </c>
      <c r="AF157" s="17">
        <f t="shared" si="146"/>
        <v>7.1042040036000014</v>
      </c>
      <c r="AG157" s="17">
        <f t="shared" si="146"/>
        <v>7.1042040036000014</v>
      </c>
      <c r="AH157" s="17">
        <f t="shared" si="146"/>
        <v>7.1042040036000014</v>
      </c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</row>
    <row r="158" spans="1:82">
      <c r="A158" s="1"/>
      <c r="B158" s="118" t="s">
        <v>101</v>
      </c>
      <c r="C158" s="17">
        <f>C120*$AL$120/10^(12)</f>
        <v>7.7000000000000001E-5</v>
      </c>
      <c r="D158" s="17">
        <f t="shared" ref="D158:AH158" si="147">D120*$AL$120/10^(12)</f>
        <v>7.7000000000000001E-5</v>
      </c>
      <c r="E158" s="17">
        <f t="shared" si="147"/>
        <v>1.7864000000000001E-4</v>
      </c>
      <c r="F158" s="17">
        <f t="shared" si="147"/>
        <v>3.1077200000000007E-4</v>
      </c>
      <c r="G158" s="17">
        <f t="shared" si="147"/>
        <v>4.9575680000000003E-4</v>
      </c>
      <c r="H158" s="17">
        <f t="shared" si="147"/>
        <v>4.9575680000000003E-4</v>
      </c>
      <c r="I158" s="17">
        <f t="shared" si="147"/>
        <v>4.9575680000000003E-4</v>
      </c>
      <c r="J158" s="17">
        <f t="shared" si="147"/>
        <v>4.9575680000000003E-4</v>
      </c>
      <c r="K158" s="17">
        <f t="shared" si="147"/>
        <v>4.9575680000000003E-4</v>
      </c>
      <c r="L158" s="17">
        <f t="shared" si="147"/>
        <v>4.9575680000000003E-4</v>
      </c>
      <c r="M158" s="17">
        <f t="shared" si="147"/>
        <v>4.9575680000000003E-4</v>
      </c>
      <c r="N158" s="17">
        <f t="shared" si="147"/>
        <v>4.9575680000000003E-4</v>
      </c>
      <c r="O158" s="17">
        <f t="shared" si="147"/>
        <v>4.9575680000000003E-4</v>
      </c>
      <c r="P158" s="17">
        <f t="shared" si="147"/>
        <v>4.9575680000000003E-4</v>
      </c>
      <c r="Q158" s="17">
        <f t="shared" si="147"/>
        <v>4.9575680000000003E-4</v>
      </c>
      <c r="R158" s="17">
        <f t="shared" si="147"/>
        <v>4.9575680000000003E-4</v>
      </c>
      <c r="S158" s="17">
        <f t="shared" si="147"/>
        <v>4.9575680000000003E-4</v>
      </c>
      <c r="T158" s="17">
        <f t="shared" si="147"/>
        <v>4.9575680000000003E-4</v>
      </c>
      <c r="U158" s="17">
        <f t="shared" si="147"/>
        <v>4.9575680000000003E-4</v>
      </c>
      <c r="V158" s="17">
        <f t="shared" si="147"/>
        <v>4.9575680000000003E-4</v>
      </c>
      <c r="W158" s="17">
        <f t="shared" si="147"/>
        <v>4.9575680000000003E-4</v>
      </c>
      <c r="X158" s="17">
        <f t="shared" si="147"/>
        <v>4.9575680000000003E-4</v>
      </c>
      <c r="Y158" s="17">
        <f t="shared" si="147"/>
        <v>4.9575680000000003E-4</v>
      </c>
      <c r="Z158" s="17">
        <f t="shared" si="147"/>
        <v>4.9575680000000003E-4</v>
      </c>
      <c r="AA158" s="17">
        <f t="shared" si="147"/>
        <v>4.9575680000000003E-4</v>
      </c>
      <c r="AB158" s="17">
        <f t="shared" si="147"/>
        <v>4.9575680000000003E-4</v>
      </c>
      <c r="AC158" s="17">
        <f t="shared" si="147"/>
        <v>4.9575680000000003E-4</v>
      </c>
      <c r="AD158" s="17">
        <f t="shared" si="147"/>
        <v>4.9575680000000003E-4</v>
      </c>
      <c r="AE158" s="17">
        <f t="shared" si="147"/>
        <v>4.9575680000000003E-4</v>
      </c>
      <c r="AF158" s="17">
        <f t="shared" si="147"/>
        <v>4.9575680000000003E-4</v>
      </c>
      <c r="AG158" s="17">
        <f t="shared" si="147"/>
        <v>4.9575680000000003E-4</v>
      </c>
      <c r="AH158" s="17">
        <f t="shared" si="147"/>
        <v>4.9575680000000003E-4</v>
      </c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</row>
    <row r="159" spans="1:82">
      <c r="A159" s="1"/>
      <c r="B159" s="118" t="s">
        <v>5</v>
      </c>
      <c r="C159" s="17">
        <f>C121*$AL$121/10^(12)</f>
        <v>56.18789799999999</v>
      </c>
      <c r="D159" s="17">
        <f t="shared" ref="D159:AH159" si="148">D121*$AL$121/10^(12)</f>
        <v>55.109226639999996</v>
      </c>
      <c r="E159" s="17">
        <f t="shared" si="148"/>
        <v>51.999904059999992</v>
      </c>
      <c r="F159" s="17">
        <f t="shared" si="148"/>
        <v>49.972383401199991</v>
      </c>
      <c r="G159" s="17">
        <f t="shared" si="148"/>
        <v>48.046389039999994</v>
      </c>
      <c r="H159" s="17">
        <f t="shared" si="148"/>
        <v>48.046389039999994</v>
      </c>
      <c r="I159" s="17">
        <f t="shared" si="148"/>
        <v>46.210983941199991</v>
      </c>
      <c r="J159" s="17">
        <f t="shared" si="148"/>
        <v>45.574394741199995</v>
      </c>
      <c r="K159" s="17">
        <f t="shared" si="148"/>
        <v>45.574394741199995</v>
      </c>
      <c r="L159" s="17">
        <f t="shared" si="148"/>
        <v>45.574394741199995</v>
      </c>
      <c r="M159" s="17">
        <f t="shared" si="148"/>
        <v>45.574394741199995</v>
      </c>
      <c r="N159" s="17">
        <f t="shared" si="148"/>
        <v>45.574394741199995</v>
      </c>
      <c r="O159" s="17">
        <f t="shared" si="148"/>
        <v>45.574394741199995</v>
      </c>
      <c r="P159" s="17">
        <f t="shared" si="148"/>
        <v>44.7584451106</v>
      </c>
      <c r="Q159" s="17">
        <f t="shared" si="148"/>
        <v>44.7584451106</v>
      </c>
      <c r="R159" s="17">
        <f t="shared" si="148"/>
        <v>44.7584451106</v>
      </c>
      <c r="S159" s="17">
        <f t="shared" si="148"/>
        <v>44.7584451106</v>
      </c>
      <c r="T159" s="17">
        <f t="shared" si="148"/>
        <v>44.7584451106</v>
      </c>
      <c r="U159" s="17">
        <f t="shared" si="148"/>
        <v>44.7584451106</v>
      </c>
      <c r="V159" s="17">
        <f t="shared" si="148"/>
        <v>44.7584451106</v>
      </c>
      <c r="W159" s="17">
        <f t="shared" si="148"/>
        <v>44.7584451106</v>
      </c>
      <c r="X159" s="17">
        <f t="shared" si="148"/>
        <v>44.7584451106</v>
      </c>
      <c r="Y159" s="17">
        <f t="shared" si="148"/>
        <v>44.7584451106</v>
      </c>
      <c r="Z159" s="17">
        <f t="shared" si="148"/>
        <v>44.7584451106</v>
      </c>
      <c r="AA159" s="17">
        <f t="shared" si="148"/>
        <v>44.7584451106</v>
      </c>
      <c r="AB159" s="17">
        <f t="shared" si="148"/>
        <v>44.7584451106</v>
      </c>
      <c r="AC159" s="17">
        <f t="shared" si="148"/>
        <v>44.7584451106</v>
      </c>
      <c r="AD159" s="17">
        <f t="shared" si="148"/>
        <v>44.7584451106</v>
      </c>
      <c r="AE159" s="17">
        <f t="shared" si="148"/>
        <v>44.7584451106</v>
      </c>
      <c r="AF159" s="17">
        <f t="shared" si="148"/>
        <v>44.7584451106</v>
      </c>
      <c r="AG159" s="17">
        <f t="shared" si="148"/>
        <v>44.7584451106</v>
      </c>
      <c r="AH159" s="17">
        <f t="shared" si="148"/>
        <v>44.7584451106</v>
      </c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</row>
    <row r="160" spans="1:82">
      <c r="A160" s="1"/>
      <c r="B160" s="118" t="s">
        <v>102</v>
      </c>
      <c r="C160" s="17">
        <f>C122*$AL$122/10^(12)</f>
        <v>0.95171183599999998</v>
      </c>
      <c r="D160" s="17">
        <f t="shared" ref="D160:AH160" si="149">D122*$AL$122/10^(12)</f>
        <v>0.9516432159999999</v>
      </c>
      <c r="E160" s="17">
        <f t="shared" si="149"/>
        <v>0.95158832000000004</v>
      </c>
      <c r="F160" s="17">
        <f t="shared" si="149"/>
        <v>0.95022278199999999</v>
      </c>
      <c r="G160" s="17">
        <f t="shared" si="149"/>
        <v>0.949776752</v>
      </c>
      <c r="H160" s="17">
        <f t="shared" si="149"/>
        <v>0.94867883200000003</v>
      </c>
      <c r="I160" s="17">
        <f t="shared" si="149"/>
        <v>0.94850728200000012</v>
      </c>
      <c r="J160" s="17">
        <f t="shared" si="149"/>
        <v>0.94837004199999997</v>
      </c>
      <c r="K160" s="17">
        <f t="shared" si="149"/>
        <v>0.94837004199999997</v>
      </c>
      <c r="L160" s="17">
        <f t="shared" si="149"/>
        <v>0.94837004199999997</v>
      </c>
      <c r="M160" s="17">
        <f t="shared" si="149"/>
        <v>0.94322354200000014</v>
      </c>
      <c r="N160" s="17">
        <f t="shared" si="149"/>
        <v>0.94322354200000014</v>
      </c>
      <c r="O160" s="17">
        <f t="shared" si="149"/>
        <v>0.94322354200000014</v>
      </c>
      <c r="P160" s="17">
        <f t="shared" si="149"/>
        <v>0.94322354200000014</v>
      </c>
      <c r="Q160" s="17">
        <f t="shared" si="149"/>
        <v>0.94322354200000014</v>
      </c>
      <c r="R160" s="17">
        <f t="shared" si="149"/>
        <v>0.94322354200000014</v>
      </c>
      <c r="S160" s="17">
        <f t="shared" si="149"/>
        <v>0.94322354200000014</v>
      </c>
      <c r="T160" s="17">
        <f t="shared" si="149"/>
        <v>0.94322354200000014</v>
      </c>
      <c r="U160" s="17">
        <f t="shared" si="149"/>
        <v>0.94322354200000014</v>
      </c>
      <c r="V160" s="17">
        <f t="shared" si="149"/>
        <v>0.94322354200000014</v>
      </c>
      <c r="W160" s="17">
        <f t="shared" si="149"/>
        <v>0.94322354200000014</v>
      </c>
      <c r="X160" s="17">
        <f t="shared" si="149"/>
        <v>0.94322354200000014</v>
      </c>
      <c r="Y160" s="17">
        <f t="shared" si="149"/>
        <v>0.94322354200000014</v>
      </c>
      <c r="Z160" s="17">
        <f t="shared" si="149"/>
        <v>0.94322354200000014</v>
      </c>
      <c r="AA160" s="17">
        <f t="shared" si="149"/>
        <v>0.94322354200000014</v>
      </c>
      <c r="AB160" s="17">
        <f t="shared" si="149"/>
        <v>0.94322354200000014</v>
      </c>
      <c r="AC160" s="17">
        <f t="shared" si="149"/>
        <v>0.94322354200000014</v>
      </c>
      <c r="AD160" s="17">
        <f t="shared" si="149"/>
        <v>0.94322354200000014</v>
      </c>
      <c r="AE160" s="17">
        <f t="shared" si="149"/>
        <v>0.94027288200000014</v>
      </c>
      <c r="AF160" s="17">
        <f t="shared" si="149"/>
        <v>0.94027288200000014</v>
      </c>
      <c r="AG160" s="17">
        <f t="shared" si="149"/>
        <v>0.94027288200000014</v>
      </c>
      <c r="AH160" s="17">
        <f t="shared" si="149"/>
        <v>0.94027288200000014</v>
      </c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</row>
    <row r="161" spans="1:82">
      <c r="A161" s="1"/>
      <c r="B161" s="118" t="s">
        <v>7</v>
      </c>
      <c r="C161" s="17">
        <f>C123*$AL$123/10^(12)</f>
        <v>18.008007708000001</v>
      </c>
      <c r="D161" s="17">
        <f t="shared" ref="D161:AH161" si="150">D123*$AL$123/10^(12)</f>
        <v>18.007582847999998</v>
      </c>
      <c r="E161" s="17">
        <f t="shared" si="150"/>
        <v>18.007242959999999</v>
      </c>
      <c r="F161" s="17">
        <f t="shared" si="150"/>
        <v>17.998788246</v>
      </c>
      <c r="G161" s="17">
        <f t="shared" si="150"/>
        <v>17.996026656000002</v>
      </c>
      <c r="H161" s="17">
        <f t="shared" si="150"/>
        <v>17.989228896</v>
      </c>
      <c r="I161" s="17">
        <f t="shared" si="150"/>
        <v>17.988166746000001</v>
      </c>
      <c r="J161" s="17">
        <f t="shared" si="150"/>
        <v>17.987317025999999</v>
      </c>
      <c r="K161" s="17">
        <f t="shared" si="150"/>
        <v>17.987317025999999</v>
      </c>
      <c r="L161" s="17">
        <f t="shared" si="150"/>
        <v>17.987317025999999</v>
      </c>
      <c r="M161" s="17">
        <f t="shared" si="150"/>
        <v>17.955452525999998</v>
      </c>
      <c r="N161" s="17">
        <f t="shared" si="150"/>
        <v>17.955452525999998</v>
      </c>
      <c r="O161" s="17">
        <f t="shared" si="150"/>
        <v>17.955452525999998</v>
      </c>
      <c r="P161" s="17">
        <f t="shared" si="150"/>
        <v>17.955452525999998</v>
      </c>
      <c r="Q161" s="17">
        <f t="shared" si="150"/>
        <v>17.955452525999998</v>
      </c>
      <c r="R161" s="17">
        <f t="shared" si="150"/>
        <v>17.955452525999998</v>
      </c>
      <c r="S161" s="17">
        <f t="shared" si="150"/>
        <v>17.955452525999998</v>
      </c>
      <c r="T161" s="17">
        <f t="shared" si="150"/>
        <v>17.955452525999998</v>
      </c>
      <c r="U161" s="17">
        <f t="shared" si="150"/>
        <v>17.955452525999998</v>
      </c>
      <c r="V161" s="17">
        <f t="shared" si="150"/>
        <v>17.955452525999998</v>
      </c>
      <c r="W161" s="17">
        <f t="shared" si="150"/>
        <v>17.955452525999998</v>
      </c>
      <c r="X161" s="17">
        <f t="shared" si="150"/>
        <v>17.955452525999998</v>
      </c>
      <c r="Y161" s="17">
        <f t="shared" si="150"/>
        <v>17.955452525999998</v>
      </c>
      <c r="Z161" s="17">
        <f t="shared" si="150"/>
        <v>17.955452525999998</v>
      </c>
      <c r="AA161" s="17">
        <f t="shared" si="150"/>
        <v>17.955452525999998</v>
      </c>
      <c r="AB161" s="17">
        <f t="shared" si="150"/>
        <v>17.955452525999998</v>
      </c>
      <c r="AC161" s="17">
        <f t="shared" si="150"/>
        <v>17.955452525999998</v>
      </c>
      <c r="AD161" s="17">
        <f t="shared" si="150"/>
        <v>17.955452525999998</v>
      </c>
      <c r="AE161" s="17">
        <f t="shared" si="150"/>
        <v>17.937183546</v>
      </c>
      <c r="AF161" s="17">
        <f t="shared" si="150"/>
        <v>17.937183546</v>
      </c>
      <c r="AG161" s="17">
        <f t="shared" si="150"/>
        <v>17.937183546</v>
      </c>
      <c r="AH161" s="17">
        <f t="shared" si="150"/>
        <v>17.937183546</v>
      </c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</row>
    <row r="162" spans="1:82">
      <c r="A162" s="1"/>
      <c r="B162" s="118" t="s">
        <v>103</v>
      </c>
      <c r="C162" s="17">
        <f>C124*$AL$124/10^(12)</f>
        <v>4.9336866319999997</v>
      </c>
      <c r="D162" s="17">
        <f t="shared" ref="D162:AH162" si="151">D124*$AL$124/10^(12)</f>
        <v>5.386671780000003</v>
      </c>
      <c r="E162" s="17">
        <f t="shared" si="151"/>
        <v>6.2252554280000032</v>
      </c>
      <c r="F162" s="17">
        <f t="shared" si="151"/>
        <v>7.0634486720000034</v>
      </c>
      <c r="G162" s="17">
        <f t="shared" si="151"/>
        <v>7.901915812000003</v>
      </c>
      <c r="H162" s="17">
        <f t="shared" si="151"/>
        <v>8.1247311320000097</v>
      </c>
      <c r="I162" s="17">
        <f t="shared" si="151"/>
        <v>8.963280032000009</v>
      </c>
      <c r="J162" s="17">
        <f t="shared" si="151"/>
        <v>9.8018391520000101</v>
      </c>
      <c r="K162" s="17">
        <f t="shared" si="151"/>
        <v>10.640439152000008</v>
      </c>
      <c r="L162" s="17">
        <f t="shared" si="151"/>
        <v>11.479039152000007</v>
      </c>
      <c r="M162" s="17">
        <f t="shared" si="151"/>
        <v>12.285261492000005</v>
      </c>
      <c r="N162" s="17">
        <f t="shared" si="151"/>
        <v>13.088717188400009</v>
      </c>
      <c r="O162" s="17">
        <f t="shared" si="151"/>
        <v>13.895785198960018</v>
      </c>
      <c r="P162" s="17">
        <f t="shared" si="151"/>
        <v>14.734385198960018</v>
      </c>
      <c r="Q162" s="17">
        <f t="shared" si="151"/>
        <v>15.148133966560012</v>
      </c>
      <c r="R162" s="17">
        <f t="shared" si="151"/>
        <v>15.933630388480006</v>
      </c>
      <c r="S162" s="17">
        <f t="shared" si="151"/>
        <v>16.466528628480013</v>
      </c>
      <c r="T162" s="17">
        <f t="shared" si="151"/>
        <v>16.89212559384001</v>
      </c>
      <c r="U162" s="17">
        <f t="shared" si="151"/>
        <v>17.381931848960011</v>
      </c>
      <c r="V162" s="17">
        <f t="shared" si="151"/>
        <v>17.922190206480014</v>
      </c>
      <c r="W162" s="17">
        <f t="shared" si="151"/>
        <v>18.282255401760011</v>
      </c>
      <c r="X162" s="17">
        <f t="shared" si="151"/>
        <v>18.616575731040015</v>
      </c>
      <c r="Y162" s="17">
        <f t="shared" si="151"/>
        <v>19.260871352800013</v>
      </c>
      <c r="Z162" s="17">
        <f t="shared" si="151"/>
        <v>19.680914551200015</v>
      </c>
      <c r="AA162" s="17">
        <f t="shared" si="151"/>
        <v>20.27305246064001</v>
      </c>
      <c r="AB162" s="17">
        <f t="shared" si="151"/>
        <v>20.563976296640003</v>
      </c>
      <c r="AC162" s="17">
        <f t="shared" si="151"/>
        <v>20.913040042160013</v>
      </c>
      <c r="AD162" s="17">
        <f t="shared" si="151"/>
        <v>21.260426984160009</v>
      </c>
      <c r="AE162" s="17">
        <f t="shared" si="151"/>
        <v>21.618858492000008</v>
      </c>
      <c r="AF162" s="17">
        <f t="shared" si="151"/>
        <v>21.882322364000007</v>
      </c>
      <c r="AG162" s="17">
        <f t="shared" si="151"/>
        <v>22.139380956000007</v>
      </c>
      <c r="AH162" s="17">
        <f t="shared" si="151"/>
        <v>22.390618614560012</v>
      </c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</row>
    <row r="163" spans="1:82">
      <c r="A163" s="1"/>
      <c r="B163" s="118" t="s">
        <v>178</v>
      </c>
      <c r="C163" s="17">
        <f>C125*$AL$125/10^(12)</f>
        <v>0</v>
      </c>
      <c r="D163" s="17">
        <f t="shared" ref="D163:AH163" si="152">D125*$AL$125/10^(12)</f>
        <v>0</v>
      </c>
      <c r="E163" s="17">
        <f t="shared" si="152"/>
        <v>0</v>
      </c>
      <c r="F163" s="17">
        <f t="shared" si="152"/>
        <v>0</v>
      </c>
      <c r="G163" s="17">
        <f t="shared" si="152"/>
        <v>0</v>
      </c>
      <c r="H163" s="17">
        <f t="shared" si="152"/>
        <v>0</v>
      </c>
      <c r="I163" s="17">
        <f t="shared" si="152"/>
        <v>0</v>
      </c>
      <c r="J163" s="17">
        <f t="shared" si="152"/>
        <v>0</v>
      </c>
      <c r="K163" s="17">
        <f t="shared" si="152"/>
        <v>0</v>
      </c>
      <c r="L163" s="17">
        <f t="shared" si="152"/>
        <v>0</v>
      </c>
      <c r="M163" s="17">
        <f t="shared" si="152"/>
        <v>0</v>
      </c>
      <c r="N163" s="17">
        <f t="shared" si="152"/>
        <v>0</v>
      </c>
      <c r="O163" s="17">
        <f t="shared" si="152"/>
        <v>0</v>
      </c>
      <c r="P163" s="17">
        <f t="shared" si="152"/>
        <v>0</v>
      </c>
      <c r="Q163" s="17">
        <f t="shared" si="152"/>
        <v>0</v>
      </c>
      <c r="R163" s="17">
        <f t="shared" si="152"/>
        <v>0</v>
      </c>
      <c r="S163" s="17">
        <f t="shared" si="152"/>
        <v>0</v>
      </c>
      <c r="T163" s="17">
        <f t="shared" si="152"/>
        <v>0</v>
      </c>
      <c r="U163" s="17">
        <f t="shared" si="152"/>
        <v>0</v>
      </c>
      <c r="V163" s="17">
        <f t="shared" si="152"/>
        <v>0</v>
      </c>
      <c r="W163" s="17">
        <f t="shared" si="152"/>
        <v>0</v>
      </c>
      <c r="X163" s="17">
        <f t="shared" si="152"/>
        <v>0</v>
      </c>
      <c r="Y163" s="17">
        <f t="shared" si="152"/>
        <v>0</v>
      </c>
      <c r="Z163" s="17">
        <f t="shared" si="152"/>
        <v>0</v>
      </c>
      <c r="AA163" s="17">
        <f t="shared" si="152"/>
        <v>0</v>
      </c>
      <c r="AB163" s="17">
        <f t="shared" si="152"/>
        <v>0</v>
      </c>
      <c r="AC163" s="17">
        <f t="shared" si="152"/>
        <v>0</v>
      </c>
      <c r="AD163" s="17">
        <f t="shared" si="152"/>
        <v>0</v>
      </c>
      <c r="AE163" s="17">
        <f t="shared" si="152"/>
        <v>0</v>
      </c>
      <c r="AF163" s="17">
        <f t="shared" si="152"/>
        <v>0</v>
      </c>
      <c r="AG163" s="17">
        <f t="shared" si="152"/>
        <v>0</v>
      </c>
      <c r="AH163" s="17">
        <f t="shared" si="152"/>
        <v>0</v>
      </c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</row>
    <row r="164" spans="1:82">
      <c r="A164" s="1"/>
      <c r="B164" s="118" t="s">
        <v>177</v>
      </c>
      <c r="C164" s="17">
        <f t="shared" ref="C164:AH164" si="153">SUM(C150:C163)</f>
        <v>2007.8765399546053</v>
      </c>
      <c r="D164" s="17">
        <f t="shared" si="153"/>
        <v>1978.5548958246056</v>
      </c>
      <c r="E164" s="17">
        <f t="shared" si="153"/>
        <v>1872.9203677073535</v>
      </c>
      <c r="F164" s="17">
        <f t="shared" si="153"/>
        <v>1786.5306293376764</v>
      </c>
      <c r="G164" s="17">
        <f t="shared" si="153"/>
        <v>1665.8553731730915</v>
      </c>
      <c r="H164" s="17">
        <f t="shared" si="153"/>
        <v>1543.3643661860317</v>
      </c>
      <c r="I164" s="17">
        <f t="shared" si="153"/>
        <v>1450.0034628218239</v>
      </c>
      <c r="J164" s="17">
        <f t="shared" si="153"/>
        <v>1387.629277879204</v>
      </c>
      <c r="K164" s="17">
        <f t="shared" si="153"/>
        <v>1352.7972847969304</v>
      </c>
      <c r="L164" s="17">
        <f t="shared" si="153"/>
        <v>1328.4369444297013</v>
      </c>
      <c r="M164" s="17">
        <f t="shared" si="153"/>
        <v>1311.6957003372013</v>
      </c>
      <c r="N164" s="17">
        <f t="shared" si="153"/>
        <v>1285.9524438176011</v>
      </c>
      <c r="O164" s="17">
        <f t="shared" si="153"/>
        <v>1260.5555074693011</v>
      </c>
      <c r="P164" s="17">
        <f t="shared" si="153"/>
        <v>1218.971442666191</v>
      </c>
      <c r="Q164" s="17">
        <f t="shared" si="153"/>
        <v>1218.2408698831507</v>
      </c>
      <c r="R164" s="17">
        <f t="shared" si="153"/>
        <v>1191.8042466397508</v>
      </c>
      <c r="S164" s="17">
        <f t="shared" si="153"/>
        <v>1186.9623982310909</v>
      </c>
      <c r="T164" s="17">
        <f t="shared" si="153"/>
        <v>1184.7914050655909</v>
      </c>
      <c r="U164" s="17">
        <f t="shared" si="153"/>
        <v>1175.0836865607105</v>
      </c>
      <c r="V164" s="17">
        <f t="shared" si="153"/>
        <v>1168.5131954837307</v>
      </c>
      <c r="W164" s="17">
        <f t="shared" si="153"/>
        <v>1167.9229233190106</v>
      </c>
      <c r="X164" s="17">
        <f t="shared" si="153"/>
        <v>1167.6672436322904</v>
      </c>
      <c r="Y164" s="17">
        <f t="shared" si="153"/>
        <v>1149.4084872225305</v>
      </c>
      <c r="Z164" s="17">
        <f t="shared" si="153"/>
        <v>1145.8058919797904</v>
      </c>
      <c r="AA164" s="17">
        <f t="shared" si="153"/>
        <v>1134.1878193377106</v>
      </c>
      <c r="AB164" s="17">
        <f t="shared" si="153"/>
        <v>1134.4787431737107</v>
      </c>
      <c r="AC164" s="17">
        <f t="shared" si="153"/>
        <v>1132.4880894000705</v>
      </c>
      <c r="AD164" s="17">
        <f t="shared" si="153"/>
        <v>1130.4005866789107</v>
      </c>
      <c r="AE164" s="17">
        <f t="shared" si="153"/>
        <v>1128.0870272859106</v>
      </c>
      <c r="AF164" s="17">
        <f t="shared" si="153"/>
        <v>1128.3504911579105</v>
      </c>
      <c r="AG164" s="17">
        <f t="shared" si="153"/>
        <v>1128.6075497499105</v>
      </c>
      <c r="AH164" s="17">
        <f t="shared" si="153"/>
        <v>1128.8464252964704</v>
      </c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</row>
    <row r="165" spans="1:8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</row>
    <row r="166" spans="1:8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</row>
    <row r="167" spans="1:8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</row>
    <row r="168" spans="1:8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</row>
    <row r="169" spans="1:8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</row>
    <row r="170" spans="1:8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</row>
    <row r="171" spans="1:8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</row>
    <row r="172" spans="1:8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</row>
    <row r="173" spans="1:8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</row>
    <row r="174" spans="1:8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</row>
    <row r="175" spans="1:8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</row>
    <row r="176" spans="1:8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</row>
    <row r="177" spans="1:8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</row>
    <row r="178" spans="1:8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</row>
    <row r="179" spans="1:8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</row>
    <row r="180" spans="1:8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</row>
    <row r="181" spans="1:8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</row>
    <row r="182" spans="1: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</row>
    <row r="183" spans="1:8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</row>
    <row r="184" spans="1:8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</row>
    <row r="185" spans="1:8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</row>
    <row r="186" spans="1:8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</row>
    <row r="187" spans="1:8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</row>
    <row r="188" spans="1:8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</row>
    <row r="189" spans="1:8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</row>
    <row r="190" spans="1:8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</row>
    <row r="191" spans="1:8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</row>
    <row r="192" spans="1:8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</row>
    <row r="193" spans="1:8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</row>
    <row r="194" spans="1:8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</row>
    <row r="195" spans="1:8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</row>
    <row r="196" spans="1:8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</row>
    <row r="197" spans="1:8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</row>
    <row r="198" spans="1:8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</row>
    <row r="199" spans="1:8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</row>
    <row r="200" spans="1:8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</row>
    <row r="201" spans="1:8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</row>
    <row r="202" spans="1:8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</row>
    <row r="203" spans="1:8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</row>
    <row r="204" spans="1:8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</row>
    <row r="205" spans="1:8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</row>
    <row r="206" spans="1:8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</row>
    <row r="207" spans="1:8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</row>
    <row r="208" spans="1:8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</row>
    <row r="209" spans="1:8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</row>
    <row r="210" spans="1:8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</row>
    <row r="211" spans="1:8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</row>
    <row r="212" spans="1:8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</row>
    <row r="213" spans="1:8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</row>
    <row r="214" spans="1:8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</row>
    <row r="215" spans="1:8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</row>
    <row r="216" spans="1:8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</row>
    <row r="217" spans="1:8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</row>
    <row r="218" spans="1:8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</row>
    <row r="219" spans="1:8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</row>
    <row r="220" spans="1:8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</row>
    <row r="221" spans="1:8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</row>
    <row r="222" spans="1:8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</row>
    <row r="223" spans="1:8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</row>
    <row r="224" spans="1:8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</row>
    <row r="225" spans="1:8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</row>
    <row r="226" spans="1:8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</row>
    <row r="227" spans="1:8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</row>
    <row r="228" spans="1:8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</row>
    <row r="229" spans="1:8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</row>
    <row r="230" spans="1:8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</row>
    <row r="231" spans="1:8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</row>
    <row r="232" spans="1:8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</row>
    <row r="233" spans="1:8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</row>
    <row r="234" spans="1:8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</row>
    <row r="235" spans="1:8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</row>
    <row r="236" spans="1:8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</row>
    <row r="237" spans="1:8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</row>
    <row r="238" spans="1:8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</row>
    <row r="239" spans="1:8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</row>
    <row r="240" spans="1:8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</row>
    <row r="241" spans="1:8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</row>
    <row r="242" spans="1:8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</row>
    <row r="243" spans="1:8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</row>
    <row r="244" spans="1:8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</row>
    <row r="245" spans="1:8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</row>
    <row r="246" spans="1:8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</row>
    <row r="247" spans="1:8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</row>
    <row r="248" spans="1:8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</row>
    <row r="249" spans="1:8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</row>
    <row r="250" spans="1:8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</row>
    <row r="251" spans="1:8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</row>
    <row r="252" spans="1:8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</row>
    <row r="253" spans="1:8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</row>
    <row r="254" spans="1:8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</row>
    <row r="255" spans="1:8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</row>
    <row r="256" spans="1:8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</row>
    <row r="257" spans="1:8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</row>
    <row r="258" spans="1:8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</row>
    <row r="259" spans="1:8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</row>
    <row r="260" spans="1:8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</row>
    <row r="261" spans="1:8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</row>
    <row r="262" spans="1:8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</row>
    <row r="263" spans="1:8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</row>
    <row r="264" spans="1:8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</row>
    <row r="265" spans="1:8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</row>
    <row r="266" spans="1:8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</row>
    <row r="267" spans="1:8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</row>
    <row r="268" spans="1:8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</row>
    <row r="269" spans="1:8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</row>
    <row r="270" spans="1:8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</row>
    <row r="271" spans="1:8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</row>
    <row r="272" spans="1:8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</row>
    <row r="273" spans="1:8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</row>
    <row r="274" spans="1:8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</row>
    <row r="275" spans="1:8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</row>
    <row r="276" spans="1:8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</row>
    <row r="277" spans="1:8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</row>
    <row r="278" spans="1:8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</row>
    <row r="279" spans="1:8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</row>
    <row r="280" spans="1:8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</row>
    <row r="281" spans="1:8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</row>
    <row r="282" spans="1: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</row>
    <row r="283" spans="1:8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</row>
    <row r="284" spans="1:8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</row>
    <row r="285" spans="1:8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</row>
    <row r="286" spans="1:8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</row>
    <row r="287" spans="1:8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</row>
    <row r="288" spans="1:8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</row>
    <row r="289" spans="1:8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</row>
    <row r="290" spans="1:8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</row>
    <row r="291" spans="1:8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</row>
    <row r="292" spans="1:8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</row>
    <row r="293" spans="1:8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</row>
    <row r="294" spans="1:8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</row>
    <row r="295" spans="1:8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</row>
    <row r="296" spans="1:8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</row>
    <row r="297" spans="1:8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</row>
    <row r="298" spans="1:8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</row>
    <row r="299" spans="1:8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</row>
    <row r="300" spans="1:8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</row>
    <row r="301" spans="1:8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</row>
    <row r="302" spans="1:8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</row>
    <row r="303" spans="1:8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</row>
    <row r="304" spans="1:8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</row>
    <row r="305" spans="1:8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</row>
    <row r="306" spans="1:8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</row>
    <row r="307" spans="1:8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</row>
    <row r="308" spans="1:8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</row>
    <row r="309" spans="1:8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</row>
    <row r="310" spans="1:8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</row>
    <row r="311" spans="1:8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</row>
    <row r="312" spans="1:8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</row>
    <row r="313" spans="1:8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</row>
    <row r="314" spans="1:8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</row>
    <row r="315" spans="1:8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</row>
    <row r="316" spans="1:8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</row>
    <row r="317" spans="1:8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</row>
    <row r="318" spans="1:8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</row>
    <row r="319" spans="1:8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</row>
    <row r="320" spans="1:8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</row>
    <row r="321" spans="1:8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</row>
    <row r="322" spans="1:8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</row>
    <row r="323" spans="1:8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</row>
    <row r="324" spans="1:8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</row>
    <row r="325" spans="1:8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</row>
    <row r="326" spans="1:8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</row>
    <row r="327" spans="1:8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</row>
    <row r="328" spans="1:8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</row>
    <row r="329" spans="1:8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</row>
    <row r="330" spans="1:8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</row>
    <row r="331" spans="1:8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</row>
    <row r="332" spans="1:8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</row>
    <row r="333" spans="1:8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</row>
    <row r="334" spans="1:8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</row>
    <row r="335" spans="1:8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</row>
    <row r="336" spans="1:8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</row>
    <row r="337" spans="1:8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</row>
    <row r="338" spans="1:8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</row>
    <row r="339" spans="1:8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</row>
    <row r="340" spans="1:8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</row>
    <row r="341" spans="1:8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</row>
    <row r="342" spans="1:8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</row>
    <row r="343" spans="1:8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</row>
    <row r="344" spans="1:8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</row>
    <row r="345" spans="1:8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</row>
    <row r="346" spans="1:8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</row>
    <row r="347" spans="1:8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</row>
    <row r="348" spans="1:8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</row>
    <row r="349" spans="1:8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</row>
    <row r="350" spans="1:8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</row>
    <row r="351" spans="1:8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</row>
    <row r="352" spans="1:8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</row>
    <row r="353" spans="1:8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</row>
    <row r="354" spans="1:8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</row>
    <row r="355" spans="1:8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</row>
    <row r="356" spans="1:8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</row>
    <row r="357" spans="1:8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</row>
    <row r="358" spans="1:8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</row>
    <row r="359" spans="1:8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</row>
    <row r="360" spans="1:8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</row>
    <row r="361" spans="1:8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</row>
    <row r="362" spans="1:8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</row>
    <row r="363" spans="1:8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</row>
    <row r="364" spans="1:8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</row>
    <row r="365" spans="1:8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</row>
    <row r="366" spans="1:8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</row>
    <row r="367" spans="1:8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</row>
    <row r="368" spans="1:8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</row>
    <row r="369" spans="1:8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</row>
    <row r="370" spans="1:8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</row>
    <row r="371" spans="1:8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</row>
    <row r="372" spans="1:8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</row>
    <row r="373" spans="1:8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</row>
    <row r="374" spans="1:8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</row>
    <row r="375" spans="1:8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</row>
    <row r="376" spans="1:8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</row>
    <row r="377" spans="1:8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</row>
    <row r="378" spans="1:8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</row>
    <row r="379" spans="1:8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</row>
    <row r="380" spans="1:8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</row>
    <row r="381" spans="1:8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</row>
    <row r="382" spans="1: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</row>
    <row r="383" spans="1:8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</row>
    <row r="384" spans="1:8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</row>
    <row r="385" spans="1: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</row>
    <row r="386" spans="1: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</row>
    <row r="387" spans="1: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</row>
    <row r="388" spans="1: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</row>
    <row r="389" spans="1: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</row>
    <row r="390" spans="1: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</row>
    <row r="391" spans="1: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</row>
    <row r="392" spans="1: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</row>
    <row r="393" spans="1: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</row>
    <row r="394" spans="1: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</row>
    <row r="395" spans="1: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</row>
    <row r="396" spans="1: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</row>
    <row r="397" spans="1: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</row>
    <row r="398" spans="1: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</row>
    <row r="399" spans="1: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</row>
    <row r="400" spans="1: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</row>
    <row r="401" spans="1: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</row>
    <row r="402" spans="1: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</row>
    <row r="403" spans="1: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</row>
    <row r="404" spans="1: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</row>
    <row r="405" spans="1: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</row>
    <row r="406" spans="1: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</row>
    <row r="407" spans="1: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</row>
    <row r="408" spans="1: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</row>
    <row r="409" spans="1: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</row>
    <row r="410" spans="1: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</row>
    <row r="411" spans="1: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</row>
    <row r="412" spans="1: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</row>
    <row r="413" spans="1: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</row>
    <row r="414" spans="1: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</row>
    <row r="415" spans="1: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</row>
    <row r="416" spans="1: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</row>
    <row r="417" spans="1: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</row>
    <row r="418" spans="1: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</row>
    <row r="419" spans="1: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</row>
    <row r="420" spans="1: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</row>
    <row r="421" spans="1: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</row>
    <row r="422" spans="1: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</row>
    <row r="423" spans="1: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</row>
    <row r="424" spans="1: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</row>
    <row r="425" spans="1: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</row>
    <row r="426" spans="1: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</row>
    <row r="427" spans="1: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</row>
    <row r="428" spans="1: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</row>
    <row r="429" spans="1: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</row>
    <row r="430" spans="1: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</row>
    <row r="431" spans="1: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</row>
    <row r="432" spans="1: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</row>
    <row r="433" spans="1: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</row>
    <row r="434" spans="1: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</row>
    <row r="435" spans="1: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</row>
    <row r="436" spans="1: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</row>
    <row r="437" spans="1: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</row>
    <row r="438" spans="1: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</row>
    <row r="439" spans="1: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</row>
    <row r="440" spans="1: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</row>
    <row r="441" spans="1: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</row>
    <row r="442" spans="1: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</row>
    <row r="443" spans="1: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</row>
    <row r="444" spans="1: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</row>
    <row r="445" spans="1: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</row>
    <row r="446" spans="1: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</row>
    <row r="447" spans="1: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</row>
    <row r="448" spans="1: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</row>
    <row r="449" spans="1: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</row>
    <row r="450" spans="1: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</row>
    <row r="451" spans="1: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</row>
    <row r="452" spans="1: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</row>
    <row r="453" spans="1: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</row>
    <row r="454" spans="1: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</row>
    <row r="455" spans="1: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</row>
    <row r="456" spans="1: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</row>
    <row r="457" spans="1: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</row>
    <row r="458" spans="1: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</row>
    <row r="459" spans="1: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</row>
    <row r="460" spans="1: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</row>
    <row r="461" spans="1: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</row>
    <row r="462" spans="1: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</row>
    <row r="463" spans="1: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</row>
    <row r="464" spans="1: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</row>
    <row r="465" spans="1: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</row>
    <row r="466" spans="1: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</row>
    <row r="467" spans="1: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</row>
    <row r="468" spans="1: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</row>
    <row r="469" spans="1: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</row>
    <row r="470" spans="1: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</row>
    <row r="471" spans="1: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</row>
    <row r="472" spans="1: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</row>
    <row r="473" spans="1: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FD096-74B9-4C38-91DF-06C033CE598B}">
  <dimension ref="A1:DV956"/>
  <sheetViews>
    <sheetView workbookViewId="0">
      <selection activeCell="B4" sqref="B4"/>
    </sheetView>
  </sheetViews>
  <sheetFormatPr defaultRowHeight="14.5"/>
  <sheetData>
    <row r="1" spans="1:126" ht="15" thickBo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</row>
    <row r="2" spans="1:126" ht="15" thickBot="1">
      <c r="A2" s="1"/>
      <c r="B2" s="273" t="s">
        <v>181</v>
      </c>
      <c r="C2" s="274"/>
      <c r="D2" s="274"/>
      <c r="E2" s="274"/>
      <c r="F2" s="274"/>
      <c r="G2" s="274"/>
      <c r="H2" s="274"/>
      <c r="I2" s="274"/>
      <c r="J2" s="275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</row>
    <row r="3" spans="1:1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</row>
    <row r="4" spans="1:1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</row>
    <row r="5" spans="1:1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</row>
    <row r="6" spans="1:12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</row>
    <row r="7" spans="1:1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</row>
    <row r="8" spans="1:126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</row>
    <row r="9" spans="1:126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</row>
    <row r="10" spans="1:126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</row>
    <row r="11" spans="1:1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</row>
    <row r="12" spans="1:12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</row>
    <row r="13" spans="1:1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</row>
    <row r="14" spans="1:12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</row>
    <row r="15" spans="1:12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</row>
    <row r="16" spans="1:12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</row>
    <row r="17" spans="1:12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</row>
    <row r="18" spans="1:12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</row>
    <row r="19" spans="1:1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</row>
    <row r="20" spans="1:1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</row>
    <row r="21" spans="1:12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</row>
    <row r="22" spans="1:1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</row>
    <row r="23" spans="1:12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</row>
    <row r="24" spans="1:12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</row>
    <row r="25" spans="1:12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</row>
    <row r="26" spans="1:1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</row>
    <row r="27" spans="1:12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</row>
    <row r="28" spans="1:12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</row>
    <row r="29" spans="1:12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</row>
    <row r="30" spans="1:12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</row>
    <row r="31" spans="1:12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</row>
    <row r="32" spans="1:12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</row>
    <row r="33" spans="1:12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</row>
    <row r="34" spans="1:12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</row>
    <row r="35" spans="1:1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</row>
    <row r="36" spans="1:12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</row>
    <row r="37" spans="1:1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</row>
    <row r="38" spans="1:1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</row>
    <row r="39" spans="1:12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</row>
    <row r="40" spans="1:12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</row>
    <row r="41" spans="1:12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</row>
    <row r="42" spans="1:12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</row>
    <row r="43" spans="1:12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</row>
    <row r="44" spans="1:12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</row>
    <row r="45" spans="1:12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</row>
    <row r="46" spans="1:12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</row>
    <row r="47" spans="1:12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</row>
    <row r="48" spans="1:12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</row>
    <row r="49" spans="1:1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</row>
    <row r="50" spans="1:1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</row>
    <row r="51" spans="1:1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</row>
    <row r="52" spans="1:1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</row>
    <row r="53" spans="1:1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</row>
    <row r="54" spans="1:1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</row>
    <row r="55" spans="1:1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</row>
    <row r="56" spans="1:1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</row>
    <row r="57" spans="1:1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</row>
    <row r="58" spans="1:1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</row>
    <row r="59" spans="1:1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</row>
    <row r="60" spans="1:1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</row>
    <row r="61" spans="1:1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</row>
    <row r="62" spans="1:12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</row>
    <row r="63" spans="1:12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</row>
    <row r="64" spans="1:1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</row>
    <row r="65" spans="1:1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</row>
    <row r="66" spans="1:1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</row>
    <row r="67" spans="1:1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</row>
    <row r="68" spans="1:1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</row>
    <row r="69" spans="1:1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</row>
    <row r="70" spans="1:1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</row>
    <row r="71" spans="1:12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</row>
    <row r="72" spans="1:1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</row>
    <row r="73" spans="1:1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</row>
    <row r="74" spans="1:1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</row>
    <row r="75" spans="1:1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</row>
    <row r="76" spans="1:1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</row>
    <row r="77" spans="1:1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</row>
    <row r="78" spans="1:1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</row>
    <row r="79" spans="1:1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</row>
    <row r="80" spans="1:12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</row>
    <row r="81" spans="1:1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</row>
    <row r="82" spans="1:1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</row>
    <row r="83" spans="1:1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</row>
    <row r="84" spans="1:1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</row>
    <row r="85" spans="1:1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</row>
    <row r="86" spans="1:1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</row>
    <row r="87" spans="1:1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</row>
    <row r="88" spans="1:1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</row>
    <row r="89" spans="1:1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</row>
    <row r="90" spans="1:1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</row>
    <row r="91" spans="1:1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</row>
    <row r="92" spans="1:1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</row>
    <row r="93" spans="1:1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</row>
    <row r="94" spans="1:1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</row>
    <row r="95" spans="1:1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</row>
    <row r="96" spans="1:1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</row>
    <row r="97" spans="1:1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</row>
    <row r="98" spans="1:1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</row>
    <row r="99" spans="1:1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</row>
    <row r="100" spans="1:1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</row>
    <row r="101" spans="1:1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</row>
    <row r="102" spans="1:1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</row>
    <row r="103" spans="1:1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</row>
    <row r="104" spans="1:1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</row>
    <row r="105" spans="1:1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</row>
    <row r="106" spans="1:1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</row>
    <row r="107" spans="1:1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</row>
    <row r="108" spans="1:1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</row>
    <row r="109" spans="1:1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</row>
    <row r="110" spans="1:1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</row>
    <row r="111" spans="1:1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</row>
    <row r="112" spans="1:1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</row>
    <row r="113" spans="1:1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</row>
    <row r="114" spans="1:1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</row>
    <row r="115" spans="1:1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</row>
    <row r="116" spans="1:1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</row>
    <row r="117" spans="1:1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</row>
    <row r="118" spans="1:1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</row>
    <row r="119" spans="1:1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</row>
    <row r="120" spans="1:1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</row>
    <row r="121" spans="1:1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</row>
    <row r="122" spans="1:1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</row>
    <row r="123" spans="1:1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</row>
    <row r="124" spans="1:1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</row>
    <row r="125" spans="1:1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</row>
    <row r="126" spans="1: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</row>
    <row r="127" spans="1:1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</row>
    <row r="128" spans="1:1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</row>
    <row r="129" spans="1:1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</row>
    <row r="130" spans="1:1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</row>
    <row r="131" spans="1:1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</row>
    <row r="132" spans="1:1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</row>
    <row r="133" spans="1:1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</row>
    <row r="134" spans="1:1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</row>
    <row r="135" spans="1:1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</row>
    <row r="136" spans="1:1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</row>
    <row r="137" spans="1:1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</row>
    <row r="138" spans="1:1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</row>
    <row r="139" spans="1:1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</row>
    <row r="140" spans="1:1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</row>
    <row r="141" spans="1:1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</row>
    <row r="142" spans="1:1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</row>
    <row r="143" spans="1:1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</row>
    <row r="144" spans="1:1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</row>
    <row r="145" spans="1:1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</row>
    <row r="146" spans="1:1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</row>
    <row r="147" spans="1:1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</row>
    <row r="148" spans="1:1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</row>
    <row r="149" spans="1:1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</row>
    <row r="150" spans="1:1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</row>
    <row r="151" spans="1:1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</row>
    <row r="152" spans="1:1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</row>
    <row r="153" spans="1:1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</row>
    <row r="154" spans="1:1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</row>
    <row r="155" spans="1:1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</row>
    <row r="156" spans="1:1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</row>
    <row r="157" spans="1:1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</row>
    <row r="158" spans="1:1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</row>
    <row r="159" spans="1:1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</row>
    <row r="160" spans="1:1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</row>
    <row r="161" spans="1:1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</row>
    <row r="162" spans="1:1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</row>
    <row r="163" spans="1:1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</row>
    <row r="164" spans="1:1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</row>
    <row r="165" spans="1:1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</row>
    <row r="166" spans="1:1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</row>
    <row r="167" spans="1:1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</row>
    <row r="168" spans="1:1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</row>
    <row r="169" spans="1:1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</row>
    <row r="170" spans="1:1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</row>
    <row r="171" spans="1:1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</row>
    <row r="172" spans="1:1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</row>
    <row r="173" spans="1:1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</row>
    <row r="174" spans="1:1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</row>
    <row r="175" spans="1:1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</row>
    <row r="176" spans="1:1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</row>
    <row r="177" spans="1:1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</row>
    <row r="178" spans="1:1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</row>
    <row r="179" spans="1:1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</row>
    <row r="180" spans="1:1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</row>
    <row r="181" spans="1:1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</row>
    <row r="182" spans="1:1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</row>
    <row r="183" spans="1:1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</row>
    <row r="184" spans="1:1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</row>
    <row r="185" spans="1:1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</row>
    <row r="186" spans="1:1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</row>
    <row r="187" spans="1:1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</row>
    <row r="188" spans="1:1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</row>
    <row r="189" spans="1:1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</row>
    <row r="190" spans="1:1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</row>
    <row r="191" spans="1:1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</row>
    <row r="192" spans="1:1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</row>
    <row r="193" spans="1:1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</row>
    <row r="194" spans="1:1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</row>
    <row r="195" spans="1:1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</row>
    <row r="196" spans="1:1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</row>
    <row r="197" spans="1:1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</row>
    <row r="198" spans="1:1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</row>
    <row r="199" spans="1:1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</row>
    <row r="200" spans="1:1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</row>
    <row r="201" spans="1:1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</row>
    <row r="202" spans="1:1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</row>
    <row r="203" spans="1:1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</row>
    <row r="204" spans="1:1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</row>
    <row r="205" spans="1:1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</row>
    <row r="206" spans="1:1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</row>
    <row r="207" spans="1:1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</row>
    <row r="208" spans="1:1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</row>
    <row r="209" spans="1:1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</row>
    <row r="210" spans="1:1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</row>
    <row r="211" spans="1:1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</row>
    <row r="212" spans="1:1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</row>
    <row r="213" spans="1:1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</row>
    <row r="214" spans="1:1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</row>
    <row r="215" spans="1:1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</row>
    <row r="216" spans="1:1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</row>
    <row r="217" spans="1:1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</row>
    <row r="218" spans="1:1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</row>
    <row r="219" spans="1:1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</row>
    <row r="220" spans="1:1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</row>
    <row r="221" spans="1:1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</row>
    <row r="222" spans="1:1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</row>
    <row r="223" spans="1:1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</row>
    <row r="224" spans="1:1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</row>
    <row r="225" spans="1:1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</row>
    <row r="226" spans="1:1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</row>
    <row r="227" spans="1:1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</row>
    <row r="228" spans="1:1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</row>
    <row r="229" spans="1:1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</row>
    <row r="230" spans="1:1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</row>
    <row r="231" spans="1:1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</row>
    <row r="232" spans="1:1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</row>
    <row r="233" spans="1:1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</row>
    <row r="234" spans="1:1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</row>
    <row r="235" spans="1:1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</row>
    <row r="236" spans="1:1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</row>
    <row r="237" spans="1:1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</row>
    <row r="238" spans="1:1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</row>
    <row r="239" spans="1:1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</row>
    <row r="240" spans="1:1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</row>
    <row r="241" spans="1:1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</row>
    <row r="242" spans="1:1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</row>
    <row r="243" spans="1:1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</row>
    <row r="244" spans="1:1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</row>
    <row r="245" spans="1:1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</row>
    <row r="246" spans="1:1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</row>
    <row r="247" spans="1:1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</row>
    <row r="248" spans="1:1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</row>
    <row r="249" spans="1:1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</row>
    <row r="250" spans="1:1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</row>
    <row r="251" spans="1:1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</row>
    <row r="252" spans="1:1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</row>
    <row r="253" spans="1:1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</row>
    <row r="254" spans="1:1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</row>
    <row r="255" spans="1:1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</row>
    <row r="256" spans="1:1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</row>
    <row r="257" spans="1:1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</row>
    <row r="258" spans="1:1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</row>
    <row r="259" spans="1:1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</row>
    <row r="260" spans="1:1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</row>
    <row r="261" spans="1:1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</row>
    <row r="262" spans="1:1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</row>
    <row r="263" spans="1:1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</row>
    <row r="264" spans="1:1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</row>
    <row r="265" spans="1:1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</row>
    <row r="266" spans="1:1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</row>
    <row r="267" spans="1:1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</row>
    <row r="268" spans="1:1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</row>
    <row r="269" spans="1:1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</row>
    <row r="270" spans="1:1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</row>
    <row r="271" spans="1:1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</row>
    <row r="272" spans="1:1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</row>
    <row r="273" spans="1:1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</row>
    <row r="274" spans="1:1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</row>
    <row r="275" spans="1:1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</row>
    <row r="276" spans="1:1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</row>
    <row r="277" spans="1:1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</row>
    <row r="278" spans="1:1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</row>
    <row r="279" spans="1:1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</row>
    <row r="280" spans="1:1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</row>
    <row r="281" spans="1:1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</row>
    <row r="282" spans="1:1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</row>
    <row r="283" spans="1:1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</row>
    <row r="284" spans="1:1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</row>
    <row r="285" spans="1:1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</row>
    <row r="286" spans="1:1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</row>
    <row r="287" spans="1:1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</row>
    <row r="288" spans="1:1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</row>
    <row r="289" spans="1:1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</row>
    <row r="290" spans="1:1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</row>
    <row r="291" spans="1:1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</row>
    <row r="292" spans="1:1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</row>
    <row r="293" spans="1:1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</row>
    <row r="294" spans="1:1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</row>
    <row r="295" spans="1:1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</row>
    <row r="296" spans="1:1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</row>
    <row r="297" spans="1:1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</row>
    <row r="298" spans="1:1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</row>
    <row r="299" spans="1:1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</row>
    <row r="300" spans="1:1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</row>
    <row r="301" spans="1:1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</row>
    <row r="302" spans="1:1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</row>
    <row r="303" spans="1:1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</row>
    <row r="304" spans="1:1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</row>
    <row r="305" spans="1:1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</row>
    <row r="306" spans="1:1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</row>
    <row r="307" spans="1:1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</row>
    <row r="308" spans="1:1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</row>
    <row r="309" spans="1:1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</row>
    <row r="310" spans="1:1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</row>
    <row r="311" spans="1:1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</row>
    <row r="312" spans="1:1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</row>
    <row r="313" spans="1:1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</row>
    <row r="314" spans="1:1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</row>
    <row r="315" spans="1:1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</row>
    <row r="316" spans="1:1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</row>
    <row r="317" spans="1:1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</row>
    <row r="318" spans="1:1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</row>
    <row r="319" spans="1:1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</row>
    <row r="320" spans="1:1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</row>
    <row r="321" spans="1:1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</row>
    <row r="322" spans="1:1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</row>
    <row r="323" spans="1:1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</row>
    <row r="324" spans="1:1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</row>
    <row r="325" spans="1:1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</row>
    <row r="326" spans="1:1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</row>
    <row r="327" spans="1:1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</row>
    <row r="328" spans="1:1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</row>
    <row r="329" spans="1:1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</row>
    <row r="330" spans="1:1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</row>
    <row r="331" spans="1:1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</row>
    <row r="332" spans="1:1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</row>
    <row r="333" spans="1:1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</row>
    <row r="334" spans="1:1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</row>
    <row r="335" spans="1:1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</row>
    <row r="336" spans="1:1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</row>
    <row r="337" spans="1:1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</row>
    <row r="338" spans="1:1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</row>
    <row r="339" spans="1:1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</row>
    <row r="340" spans="1:1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</row>
    <row r="341" spans="1:1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</row>
    <row r="342" spans="1:1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</row>
    <row r="343" spans="1:1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</row>
    <row r="344" spans="1:1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</row>
    <row r="345" spans="1:1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</row>
    <row r="346" spans="1:1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</row>
    <row r="347" spans="1:1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</row>
    <row r="348" spans="1:1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</row>
    <row r="349" spans="1:1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</row>
    <row r="350" spans="1:1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</row>
    <row r="351" spans="1:1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</row>
    <row r="352" spans="1:1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</row>
    <row r="353" spans="1:1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</row>
    <row r="354" spans="1:1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</row>
    <row r="355" spans="1:1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</row>
    <row r="356" spans="1:1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</row>
    <row r="357" spans="1:1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</row>
    <row r="358" spans="1:1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</row>
    <row r="359" spans="1:1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</row>
    <row r="360" spans="1:1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</row>
    <row r="361" spans="1:1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</row>
    <row r="362" spans="1:1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</row>
    <row r="363" spans="1:1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</row>
    <row r="364" spans="1:1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</row>
    <row r="365" spans="1:1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</row>
    <row r="366" spans="1:1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</row>
    <row r="367" spans="1:1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</row>
    <row r="368" spans="1:1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</row>
    <row r="369" spans="1:1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</row>
    <row r="370" spans="1:1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</row>
    <row r="371" spans="1:1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</row>
    <row r="372" spans="1:1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</row>
    <row r="373" spans="1:1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</row>
    <row r="374" spans="1:1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</row>
    <row r="375" spans="1:1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</row>
    <row r="376" spans="1:1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</row>
    <row r="377" spans="1:1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</row>
    <row r="378" spans="1:1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</row>
    <row r="379" spans="1:1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</row>
    <row r="380" spans="1:1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</row>
    <row r="381" spans="1:1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</row>
    <row r="382" spans="1:1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</row>
    <row r="383" spans="1:1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</row>
    <row r="384" spans="1:1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</row>
    <row r="385" spans="1:1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</row>
    <row r="386" spans="1:1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</row>
    <row r="387" spans="1:1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</row>
    <row r="388" spans="1:1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</row>
    <row r="389" spans="1:1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</row>
    <row r="390" spans="1:1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</row>
    <row r="391" spans="1:1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</row>
    <row r="392" spans="1:1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</row>
    <row r="393" spans="1:1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</row>
    <row r="394" spans="1:1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</row>
    <row r="395" spans="1:1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</row>
    <row r="396" spans="1:1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</row>
    <row r="397" spans="1:1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</row>
    <row r="398" spans="1:1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</row>
    <row r="399" spans="1:1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</row>
    <row r="400" spans="1:1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</row>
    <row r="401" spans="1:1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</row>
    <row r="402" spans="1:1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</row>
    <row r="403" spans="1:1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</row>
    <row r="404" spans="1:1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</row>
    <row r="405" spans="1:1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</row>
    <row r="406" spans="1:1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</row>
    <row r="407" spans="1:1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</row>
    <row r="408" spans="1:1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</row>
    <row r="409" spans="1:1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</row>
    <row r="410" spans="1:1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</row>
    <row r="411" spans="1:1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</row>
    <row r="412" spans="1:1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</row>
    <row r="413" spans="1:1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</row>
    <row r="414" spans="1:1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</row>
    <row r="415" spans="1:1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</row>
    <row r="416" spans="1:1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</row>
    <row r="417" spans="1:1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</row>
    <row r="418" spans="1:1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</row>
    <row r="419" spans="1:1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</row>
    <row r="420" spans="1:1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</row>
    <row r="421" spans="1:1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</row>
    <row r="422" spans="1:1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</row>
    <row r="423" spans="1:1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</row>
    <row r="424" spans="1:1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</row>
    <row r="425" spans="1:1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</row>
    <row r="426" spans="1:1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</row>
    <row r="427" spans="1:1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</row>
    <row r="428" spans="1:1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</row>
    <row r="429" spans="1:1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</row>
    <row r="430" spans="1:1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</row>
    <row r="431" spans="1:1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</row>
    <row r="432" spans="1:1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</row>
    <row r="433" spans="1:1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</row>
    <row r="434" spans="1:1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</row>
    <row r="435" spans="1:1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</row>
    <row r="436" spans="1:1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</row>
    <row r="437" spans="1:1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</row>
    <row r="438" spans="1:1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</row>
    <row r="439" spans="1:1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</row>
    <row r="440" spans="1:1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</row>
    <row r="441" spans="1:1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</row>
    <row r="442" spans="1:1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</row>
    <row r="443" spans="1:1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</row>
    <row r="444" spans="1:1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</row>
    <row r="445" spans="1:1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</row>
    <row r="446" spans="1:1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</row>
    <row r="447" spans="1:1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</row>
    <row r="448" spans="1:1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</row>
    <row r="449" spans="1:1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</row>
    <row r="450" spans="1:1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</row>
    <row r="451" spans="1:1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</row>
    <row r="452" spans="1:1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</row>
    <row r="453" spans="1:1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</row>
    <row r="454" spans="1:1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</row>
    <row r="455" spans="1:1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</row>
    <row r="456" spans="1:1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</row>
    <row r="457" spans="1:1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</row>
    <row r="458" spans="1:1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</row>
    <row r="459" spans="1:1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</row>
    <row r="460" spans="1:1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</row>
    <row r="461" spans="1:1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</row>
    <row r="462" spans="1:1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</row>
    <row r="463" spans="1:1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</row>
    <row r="464" spans="1:1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</row>
    <row r="465" spans="1:1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</row>
    <row r="466" spans="1:1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</row>
    <row r="467" spans="1:1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</row>
    <row r="468" spans="1:1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</row>
    <row r="469" spans="1:1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</row>
    <row r="470" spans="1:1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</row>
    <row r="471" spans="1:1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</row>
    <row r="472" spans="1:1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</row>
    <row r="473" spans="1:1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</row>
    <row r="474" spans="1:1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</row>
    <row r="475" spans="1:1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</row>
    <row r="476" spans="1:1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</row>
    <row r="477" spans="1:1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</row>
    <row r="478" spans="1:1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</row>
    <row r="479" spans="1:1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</row>
    <row r="480" spans="1:1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</row>
    <row r="481" spans="1:1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</row>
    <row r="482" spans="1:1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</row>
    <row r="483" spans="1:1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</row>
    <row r="484" spans="1:1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</row>
    <row r="485" spans="1:1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</row>
    <row r="486" spans="1:1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</row>
    <row r="487" spans="1:1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</row>
    <row r="488" spans="1:1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</row>
    <row r="489" spans="1:1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</row>
    <row r="490" spans="1:1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</row>
    <row r="491" spans="1:1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</row>
    <row r="492" spans="1:1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</row>
    <row r="493" spans="1:1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</row>
    <row r="494" spans="1:1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</row>
    <row r="495" spans="1:1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</row>
    <row r="496" spans="1:1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</row>
    <row r="497" spans="1:1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</row>
    <row r="498" spans="1:1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</row>
    <row r="499" spans="1:1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</row>
    <row r="500" spans="1:1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</row>
    <row r="501" spans="1:1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</row>
    <row r="502" spans="1:1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</row>
    <row r="503" spans="1:1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</row>
    <row r="504" spans="1:1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</row>
    <row r="505" spans="1:1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</row>
    <row r="506" spans="1:1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</row>
    <row r="507" spans="1:1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</row>
    <row r="508" spans="1:1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</row>
    <row r="509" spans="1:1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</row>
    <row r="510" spans="1:1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</row>
    <row r="511" spans="1:1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</row>
    <row r="512" spans="1:1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</row>
    <row r="513" spans="1:1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</row>
    <row r="514" spans="1:1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</row>
    <row r="515" spans="1:1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</row>
    <row r="516" spans="1:1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</row>
    <row r="517" spans="1:1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</row>
    <row r="518" spans="1:1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</row>
    <row r="519" spans="1:1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</row>
    <row r="520" spans="1:1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</row>
    <row r="521" spans="1:1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</row>
    <row r="522" spans="1:1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</row>
    <row r="523" spans="1:1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</row>
    <row r="524" spans="1:1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</row>
    <row r="525" spans="1:1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</row>
    <row r="526" spans="1:1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</row>
    <row r="527" spans="1:1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</row>
    <row r="528" spans="1:1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</row>
    <row r="529" spans="1:1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</row>
    <row r="530" spans="1:1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</row>
    <row r="531" spans="1:1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</row>
    <row r="532" spans="1:1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</row>
    <row r="533" spans="1:1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</row>
    <row r="534" spans="1:1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</row>
    <row r="535" spans="1:1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</row>
    <row r="536" spans="1:1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</row>
    <row r="537" spans="1:1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</row>
    <row r="538" spans="1:1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</row>
    <row r="539" spans="1:1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</row>
    <row r="540" spans="1:1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</row>
    <row r="541" spans="1:1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</row>
    <row r="542" spans="1:1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</row>
    <row r="543" spans="1:1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</row>
    <row r="544" spans="1:1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</row>
    <row r="545" spans="1:1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</row>
    <row r="546" spans="1:1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</row>
    <row r="547" spans="1:1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</row>
    <row r="548" spans="1:1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</row>
    <row r="549" spans="1:1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</row>
    <row r="550" spans="1:1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</row>
    <row r="551" spans="1:1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</row>
    <row r="552" spans="1:1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</row>
    <row r="553" spans="1:1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</row>
    <row r="554" spans="1:1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</row>
    <row r="555" spans="1:1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</row>
    <row r="556" spans="1:1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</row>
    <row r="557" spans="1:1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</row>
    <row r="558" spans="1:1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</row>
    <row r="559" spans="1:1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</row>
    <row r="560" spans="1:1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</row>
    <row r="561" spans="1:1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</row>
    <row r="562" spans="1:1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</row>
    <row r="563" spans="1:1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</row>
    <row r="564" spans="1:1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</row>
    <row r="565" spans="1:1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</row>
    <row r="566" spans="1:1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</row>
    <row r="567" spans="1:1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</row>
    <row r="568" spans="1:1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</row>
    <row r="569" spans="1:1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</row>
    <row r="570" spans="1:1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</row>
    <row r="571" spans="1:1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</row>
    <row r="572" spans="1:1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</row>
    <row r="573" spans="1:1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</row>
    <row r="574" spans="1:1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</row>
    <row r="575" spans="1:1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</row>
    <row r="576" spans="1:1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</row>
    <row r="577" spans="1:1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</row>
    <row r="578" spans="1:1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</row>
    <row r="579" spans="1:1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</row>
    <row r="580" spans="1:1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</row>
    <row r="581" spans="1:1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</row>
    <row r="582" spans="1:1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</row>
    <row r="583" spans="1:1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</row>
    <row r="584" spans="1:1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</row>
    <row r="585" spans="1:1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</row>
    <row r="586" spans="1:1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</row>
    <row r="587" spans="1:1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</row>
    <row r="588" spans="1:1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</row>
    <row r="589" spans="1:1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</row>
    <row r="590" spans="1:1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</row>
    <row r="591" spans="1:1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</row>
    <row r="592" spans="1:1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</row>
    <row r="593" spans="1:1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</row>
    <row r="594" spans="1:1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</row>
    <row r="595" spans="1:1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</row>
    <row r="596" spans="1:1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</row>
    <row r="597" spans="1:1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</row>
    <row r="598" spans="1:1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</row>
    <row r="599" spans="1:1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</row>
    <row r="600" spans="1:1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</row>
    <row r="601" spans="1:1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</row>
    <row r="602" spans="1:1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</row>
    <row r="603" spans="1:1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</row>
    <row r="604" spans="1:1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</row>
    <row r="605" spans="1:1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</row>
    <row r="606" spans="1:1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</row>
    <row r="607" spans="1:1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</row>
    <row r="608" spans="1:1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</row>
    <row r="609" spans="1:1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</row>
    <row r="610" spans="1:1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</row>
    <row r="611" spans="1:1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</row>
    <row r="612" spans="1:1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</row>
    <row r="613" spans="1:1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</row>
    <row r="614" spans="1:1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</row>
    <row r="615" spans="1:1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</row>
    <row r="616" spans="1:1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</row>
    <row r="617" spans="1:1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</row>
    <row r="618" spans="1:1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</row>
    <row r="619" spans="1:1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</row>
    <row r="620" spans="1:1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</row>
    <row r="621" spans="1:1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</row>
    <row r="622" spans="1:1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</row>
    <row r="623" spans="1:1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</row>
    <row r="624" spans="1:1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</row>
    <row r="625" spans="1:1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</row>
    <row r="626" spans="1:1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</row>
    <row r="627" spans="1:1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</row>
    <row r="628" spans="1:1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</row>
    <row r="629" spans="1:1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</row>
    <row r="630" spans="1:1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</row>
    <row r="631" spans="1:1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</row>
    <row r="632" spans="1:1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</row>
    <row r="633" spans="1:1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</row>
    <row r="634" spans="1:1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</row>
    <row r="635" spans="1:1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</row>
    <row r="636" spans="1:1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</row>
    <row r="637" spans="1:1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</row>
    <row r="638" spans="1:1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</row>
    <row r="639" spans="1:1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</row>
    <row r="640" spans="1:1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</row>
    <row r="641" spans="1:1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</row>
    <row r="642" spans="1:1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</row>
    <row r="643" spans="1:1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</row>
    <row r="644" spans="1:1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</row>
    <row r="645" spans="1:1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</row>
    <row r="646" spans="1:1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</row>
    <row r="647" spans="1:1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</row>
    <row r="648" spans="1:1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</row>
    <row r="649" spans="1:1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</row>
    <row r="650" spans="1:1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</row>
    <row r="651" spans="1:1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</row>
    <row r="652" spans="1:1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</row>
    <row r="653" spans="1:1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</row>
    <row r="654" spans="1:1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</row>
    <row r="655" spans="1:1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</row>
    <row r="656" spans="1:1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</row>
    <row r="657" spans="1:1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</row>
    <row r="658" spans="1:1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</row>
    <row r="659" spans="1:1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</row>
    <row r="660" spans="1:1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</row>
    <row r="661" spans="1:1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</row>
    <row r="662" spans="1:1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</row>
    <row r="663" spans="1:1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</row>
    <row r="664" spans="1:1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</row>
    <row r="665" spans="1:1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</row>
    <row r="666" spans="1:1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</row>
    <row r="667" spans="1:1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</row>
    <row r="668" spans="1:1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</row>
    <row r="669" spans="1:1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</row>
    <row r="670" spans="1:1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</row>
    <row r="671" spans="1:1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</row>
    <row r="672" spans="1:1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</row>
    <row r="673" spans="1:1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</row>
    <row r="674" spans="1:1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</row>
    <row r="675" spans="1:1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</row>
    <row r="676" spans="1:1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</row>
    <row r="677" spans="1:1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</row>
    <row r="678" spans="1:1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</row>
    <row r="679" spans="1:1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</row>
    <row r="680" spans="1:1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</row>
    <row r="681" spans="1:1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</row>
    <row r="682" spans="1:1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</row>
    <row r="683" spans="1:1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</row>
    <row r="684" spans="1:1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</row>
    <row r="685" spans="1:1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</row>
    <row r="686" spans="1:1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</row>
    <row r="687" spans="1:1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</row>
    <row r="688" spans="1:1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</row>
    <row r="689" spans="1:1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</row>
    <row r="690" spans="1:1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</row>
    <row r="691" spans="1:1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</row>
    <row r="692" spans="1:1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</row>
    <row r="693" spans="1:1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</row>
    <row r="694" spans="1:1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</row>
    <row r="695" spans="1:1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</row>
    <row r="696" spans="1:1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</row>
    <row r="697" spans="1:1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</row>
    <row r="698" spans="1:1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</row>
    <row r="699" spans="1:1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</row>
    <row r="700" spans="1:1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</row>
    <row r="701" spans="1:1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</row>
    <row r="702" spans="1:1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</row>
    <row r="703" spans="1:1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</row>
    <row r="704" spans="1:1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</row>
    <row r="705" spans="1:1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</row>
    <row r="706" spans="1:1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</row>
    <row r="707" spans="1:1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</row>
    <row r="708" spans="1:1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</row>
    <row r="709" spans="1:1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</row>
    <row r="710" spans="1:1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</row>
    <row r="711" spans="1:1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</row>
    <row r="712" spans="1:1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</row>
    <row r="713" spans="1:1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</row>
    <row r="714" spans="1:1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</row>
    <row r="715" spans="1:1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</row>
    <row r="716" spans="1:1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</row>
    <row r="717" spans="1:1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</row>
    <row r="718" spans="1:1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</row>
    <row r="719" spans="1:1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</row>
    <row r="720" spans="1:1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</row>
    <row r="721" spans="1:1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</row>
    <row r="722" spans="1:1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</row>
    <row r="723" spans="1:1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</row>
    <row r="724" spans="1:1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</row>
    <row r="725" spans="1:1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</row>
    <row r="726" spans="1:1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</row>
    <row r="727" spans="1:1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</row>
    <row r="728" spans="1:1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</row>
    <row r="729" spans="1:1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</row>
    <row r="730" spans="1:1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</row>
    <row r="731" spans="1:1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</row>
    <row r="732" spans="1:1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</row>
    <row r="733" spans="1:1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</row>
    <row r="734" spans="1:1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</row>
    <row r="735" spans="1:1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</row>
    <row r="736" spans="1:1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</row>
    <row r="737" spans="1:1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</row>
    <row r="738" spans="1:1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</row>
    <row r="739" spans="1:1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</row>
    <row r="740" spans="1:1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</row>
    <row r="741" spans="1:1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</row>
    <row r="742" spans="1:1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</row>
    <row r="743" spans="1:1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</row>
    <row r="744" spans="1:1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</row>
    <row r="745" spans="1:1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</row>
    <row r="746" spans="1:1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</row>
    <row r="747" spans="1:1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</row>
    <row r="748" spans="1:1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</row>
    <row r="749" spans="1:1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</row>
    <row r="750" spans="1:1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</row>
    <row r="751" spans="1:1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</row>
    <row r="752" spans="1:1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</row>
    <row r="753" spans="1:1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</row>
    <row r="754" spans="1:1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</row>
    <row r="755" spans="1:1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</row>
    <row r="756" spans="1:1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</row>
    <row r="757" spans="1:1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</row>
    <row r="758" spans="1:1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</row>
    <row r="759" spans="1:1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</row>
    <row r="760" spans="1:1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</row>
    <row r="761" spans="1:1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</row>
    <row r="762" spans="1:1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</row>
    <row r="763" spans="1:1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</row>
    <row r="764" spans="1:1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</row>
    <row r="765" spans="1:1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</row>
    <row r="766" spans="1:1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</row>
    <row r="767" spans="1:1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</row>
    <row r="768" spans="1:1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</row>
    <row r="769" spans="1:1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</row>
    <row r="770" spans="1:1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</row>
    <row r="771" spans="1:1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</row>
    <row r="772" spans="1:1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</row>
    <row r="773" spans="1:1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</row>
    <row r="774" spans="1:1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</row>
    <row r="775" spans="1:1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</row>
    <row r="776" spans="1:1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</row>
    <row r="777" spans="1:1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</row>
    <row r="778" spans="1:1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</row>
    <row r="779" spans="1:1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</row>
    <row r="780" spans="1:1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</row>
    <row r="781" spans="1:1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</row>
    <row r="782" spans="1:1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</row>
    <row r="783" spans="1:1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</row>
    <row r="784" spans="1:1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</row>
    <row r="785" spans="1:1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</row>
    <row r="786" spans="1:1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</row>
    <row r="787" spans="1:1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</row>
    <row r="788" spans="1:1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</row>
    <row r="789" spans="1:1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</row>
    <row r="790" spans="1:1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</row>
    <row r="791" spans="1:1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</row>
    <row r="792" spans="1:1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</row>
    <row r="793" spans="1:1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</row>
    <row r="794" spans="1:1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</row>
    <row r="795" spans="1:1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</row>
    <row r="796" spans="1:1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</row>
    <row r="797" spans="1:1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</row>
    <row r="798" spans="1:1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</row>
    <row r="799" spans="1:1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</row>
    <row r="800" spans="1:1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</row>
    <row r="801" spans="1:1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</row>
    <row r="802" spans="1:1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</row>
    <row r="803" spans="1:1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</row>
    <row r="804" spans="1:1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</row>
    <row r="805" spans="1:1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</row>
    <row r="806" spans="1:1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</row>
    <row r="807" spans="1:1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</row>
    <row r="808" spans="1:1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</row>
    <row r="809" spans="1:1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</row>
    <row r="810" spans="1:1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</row>
    <row r="811" spans="1:1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</row>
    <row r="812" spans="1:1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</row>
    <row r="813" spans="1:1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</row>
    <row r="814" spans="1:1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</row>
    <row r="815" spans="1:1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</row>
    <row r="816" spans="1:1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</row>
    <row r="817" spans="1:1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</row>
    <row r="818" spans="1:1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</row>
    <row r="819" spans="1:1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</row>
    <row r="820" spans="1:1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</row>
    <row r="821" spans="1:1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</row>
    <row r="822" spans="1:1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</row>
    <row r="823" spans="1:1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</row>
    <row r="824" spans="1:1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</row>
    <row r="825" spans="1:1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</row>
    <row r="826" spans="1:1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</row>
    <row r="827" spans="1:1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</row>
    <row r="828" spans="1:1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</row>
    <row r="829" spans="1:1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</row>
    <row r="830" spans="1:1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</row>
    <row r="831" spans="1:1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</row>
    <row r="832" spans="1:1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</row>
    <row r="833" spans="1:1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</row>
    <row r="834" spans="1:1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</row>
    <row r="835" spans="1:1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</row>
    <row r="836" spans="1:1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</row>
    <row r="837" spans="1:1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</row>
    <row r="838" spans="1:1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</row>
    <row r="839" spans="1:1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</row>
    <row r="840" spans="1:1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</row>
    <row r="841" spans="1:1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</row>
    <row r="842" spans="1:1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</row>
    <row r="843" spans="1:1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</row>
    <row r="844" spans="1:1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</row>
    <row r="845" spans="1:1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</row>
    <row r="846" spans="1:1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</row>
    <row r="847" spans="1:1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</row>
    <row r="848" spans="1:1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</row>
    <row r="849" spans="1:1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</row>
    <row r="850" spans="1:1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</row>
    <row r="851" spans="1:1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</row>
    <row r="852" spans="1:1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</row>
    <row r="853" spans="1:1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</row>
    <row r="854" spans="1:1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</row>
    <row r="855" spans="1:1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</row>
    <row r="856" spans="1:1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</row>
    <row r="857" spans="1:1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</row>
    <row r="858" spans="1:1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</row>
    <row r="859" spans="1:1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</row>
    <row r="860" spans="1:1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</row>
    <row r="861" spans="1:1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</row>
    <row r="862" spans="1:1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</row>
    <row r="863" spans="1:1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</row>
    <row r="864" spans="1:1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</row>
    <row r="865" spans="1:1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</row>
    <row r="866" spans="1:1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</row>
    <row r="867" spans="1:1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</row>
    <row r="868" spans="1:1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</row>
    <row r="869" spans="1:1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</row>
    <row r="870" spans="1:1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</row>
    <row r="871" spans="1:1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</row>
    <row r="872" spans="1:1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</row>
    <row r="873" spans="1:1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</row>
    <row r="874" spans="1:1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</row>
    <row r="875" spans="1:1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</row>
    <row r="876" spans="1:1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</row>
    <row r="877" spans="1:1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</row>
    <row r="878" spans="1:1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</row>
    <row r="879" spans="1:1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</row>
    <row r="880" spans="1:1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</row>
    <row r="881" spans="1:1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</row>
    <row r="882" spans="1:1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</row>
    <row r="883" spans="1:1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</row>
    <row r="884" spans="1:1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</row>
    <row r="885" spans="1:1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</row>
    <row r="886" spans="1:1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</row>
    <row r="887" spans="1:1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</row>
    <row r="888" spans="1:1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</row>
    <row r="889" spans="1:1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</row>
    <row r="890" spans="1:1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</row>
    <row r="891" spans="1:1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</row>
    <row r="892" spans="1:1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</row>
    <row r="893" spans="1:1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</row>
    <row r="894" spans="1:1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</row>
    <row r="895" spans="1:1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</row>
    <row r="896" spans="1:1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</row>
    <row r="897" spans="1:1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</row>
    <row r="898" spans="1:1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</row>
    <row r="899" spans="1:1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</row>
    <row r="900" spans="1:1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</row>
    <row r="901" spans="1:1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</row>
    <row r="902" spans="1:1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</row>
    <row r="903" spans="1:1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</row>
    <row r="904" spans="1:1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</row>
    <row r="905" spans="1:1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</row>
    <row r="906" spans="1:1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</row>
    <row r="907" spans="1:1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</row>
    <row r="908" spans="1:1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</row>
    <row r="909" spans="1:1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</row>
    <row r="910" spans="1:1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</row>
    <row r="911" spans="1:1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</row>
    <row r="912" spans="1:1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</row>
    <row r="913" spans="1:1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</row>
    <row r="914" spans="1:1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</row>
    <row r="915" spans="1:1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</row>
    <row r="916" spans="1:1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</row>
    <row r="917" spans="1:1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</row>
    <row r="918" spans="1:1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</row>
    <row r="919" spans="1:1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</row>
    <row r="920" spans="1:1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</row>
    <row r="921" spans="1:1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</row>
    <row r="922" spans="1:1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</row>
    <row r="923" spans="1:1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</row>
    <row r="924" spans="1:1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</row>
    <row r="925" spans="1:1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</row>
    <row r="926" spans="1:1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</row>
    <row r="927" spans="1:1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</row>
    <row r="928" spans="1:1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</row>
    <row r="929" spans="1:1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</row>
    <row r="930" spans="1:1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</row>
    <row r="931" spans="1:1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</row>
    <row r="932" spans="1:1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</row>
    <row r="933" spans="1:1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</row>
    <row r="934" spans="1:1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</row>
    <row r="935" spans="1:1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</row>
    <row r="936" spans="1:1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</row>
    <row r="937" spans="1:1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</row>
    <row r="938" spans="1:1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</row>
    <row r="939" spans="1:1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</row>
    <row r="940" spans="1:1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</row>
    <row r="941" spans="1:1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</row>
    <row r="942" spans="1:1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</row>
    <row r="943" spans="1:1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</row>
    <row r="944" spans="1:1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</row>
    <row r="945" spans="1:1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</row>
    <row r="946" spans="1:1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</row>
    <row r="947" spans="1:1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</row>
    <row r="948" spans="1:1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</row>
    <row r="949" spans="1:1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</row>
    <row r="950" spans="1:1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</row>
    <row r="951" spans="1:1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</row>
    <row r="952" spans="1:1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</row>
    <row r="953" spans="1:1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</row>
    <row r="954" spans="1:1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</row>
    <row r="955" spans="1:1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</row>
    <row r="956" spans="1:1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</row>
  </sheetData>
  <mergeCells count="1">
    <mergeCell ref="B2:J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C4612-538A-4A3A-9880-2B938D6B6E59}">
  <dimension ref="A1:DG907"/>
  <sheetViews>
    <sheetView workbookViewId="0">
      <selection activeCell="J24" sqref="J24"/>
    </sheetView>
  </sheetViews>
  <sheetFormatPr defaultRowHeight="14.5"/>
  <sheetData>
    <row r="1" spans="1:11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</row>
    <row r="2" spans="1:11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</row>
    <row r="3" spans="1:11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</row>
    <row r="4" spans="1:11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</row>
    <row r="5" spans="1:11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</row>
    <row r="6" spans="1:11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</row>
    <row r="7" spans="1:11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</row>
    <row r="8" spans="1:11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</row>
    <row r="9" spans="1:11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</row>
    <row r="10" spans="1:11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</row>
    <row r="11" spans="1:1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</row>
    <row r="12" spans="1:11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</row>
    <row r="13" spans="1:11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</row>
    <row r="14" spans="1:11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</row>
    <row r="15" spans="1:11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</row>
    <row r="16" spans="1:11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</row>
    <row r="17" spans="1:11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</row>
    <row r="18" spans="1:11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</row>
    <row r="19" spans="1:11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</row>
    <row r="20" spans="1:11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</row>
    <row r="21" spans="1:11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</row>
    <row r="22" spans="1:11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</row>
    <row r="23" spans="1:11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</row>
    <row r="24" spans="1:11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</row>
    <row r="25" spans="1:11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</row>
    <row r="26" spans="1:11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</row>
    <row r="27" spans="1:11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</row>
    <row r="28" spans="1:11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</row>
    <row r="29" spans="1:11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</row>
    <row r="30" spans="1:11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</row>
    <row r="31" spans="1:11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</row>
    <row r="32" spans="1:11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</row>
    <row r="33" spans="1:11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</row>
    <row r="34" spans="1:11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</row>
    <row r="35" spans="1:11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</row>
    <row r="36" spans="1:11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</row>
    <row r="37" spans="1:11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</row>
    <row r="38" spans="1:11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</row>
    <row r="39" spans="1:11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</row>
    <row r="40" spans="1:11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</row>
    <row r="41" spans="1:11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</row>
    <row r="42" spans="1:11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</row>
    <row r="43" spans="1:11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</row>
    <row r="44" spans="1:11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</row>
    <row r="45" spans="1:11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</row>
    <row r="46" spans="1:11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</row>
    <row r="47" spans="1:11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</row>
    <row r="48" spans="1:11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</row>
    <row r="49" spans="1:11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</row>
    <row r="50" spans="1:11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</row>
    <row r="51" spans="1:11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</row>
    <row r="52" spans="1:11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</row>
    <row r="53" spans="1:11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</row>
    <row r="54" spans="1:11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</row>
    <row r="55" spans="1:11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</row>
    <row r="56" spans="1:11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</row>
    <row r="57" spans="1:11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</row>
    <row r="58" spans="1:11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</row>
    <row r="59" spans="1:11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</row>
    <row r="60" spans="1:11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</row>
    <row r="61" spans="1:11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</row>
    <row r="62" spans="1:11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</row>
    <row r="63" spans="1:11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</row>
    <row r="64" spans="1:11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</row>
    <row r="65" spans="1:11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</row>
    <row r="66" spans="1:11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</row>
    <row r="67" spans="1:11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</row>
    <row r="68" spans="1:11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</row>
    <row r="69" spans="1:11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</row>
    <row r="70" spans="1:11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</row>
    <row r="71" spans="1:11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</row>
    <row r="72" spans="1:11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</row>
    <row r="73" spans="1:11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</row>
    <row r="74" spans="1:11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</row>
    <row r="75" spans="1:11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</row>
    <row r="76" spans="1:11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</row>
    <row r="77" spans="1:11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</row>
    <row r="78" spans="1:11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</row>
    <row r="79" spans="1:11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</row>
    <row r="80" spans="1:11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</row>
    <row r="81" spans="1:11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</row>
    <row r="82" spans="1:11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</row>
    <row r="83" spans="1:11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</row>
    <row r="84" spans="1:11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</row>
    <row r="85" spans="1:11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</row>
    <row r="86" spans="1:11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</row>
    <row r="87" spans="1:11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</row>
    <row r="88" spans="1:11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</row>
    <row r="89" spans="1:11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</row>
    <row r="90" spans="1:11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</row>
    <row r="91" spans="1:11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</row>
    <row r="92" spans="1:11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</row>
    <row r="93" spans="1:11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</row>
    <row r="94" spans="1:11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</row>
    <row r="95" spans="1:11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</row>
    <row r="96" spans="1:11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</row>
    <row r="97" spans="1:11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</row>
    <row r="98" spans="1:11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</row>
    <row r="99" spans="1:11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</row>
    <row r="100" spans="1:11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</row>
    <row r="101" spans="1:11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</row>
    <row r="102" spans="1:11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</row>
    <row r="103" spans="1:11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</row>
    <row r="104" spans="1:11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</row>
    <row r="105" spans="1:11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</row>
    <row r="106" spans="1:11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</row>
    <row r="107" spans="1:11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</row>
    <row r="108" spans="1:11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</row>
    <row r="109" spans="1:11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</row>
    <row r="110" spans="1:11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</row>
    <row r="111" spans="1: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</row>
    <row r="112" spans="1:11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</row>
    <row r="113" spans="1:11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</row>
    <row r="114" spans="1:11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</row>
    <row r="115" spans="1:11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</row>
    <row r="116" spans="1:11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</row>
    <row r="117" spans="1:11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</row>
    <row r="118" spans="1:11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</row>
    <row r="119" spans="1:11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</row>
    <row r="120" spans="1:11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</row>
    <row r="121" spans="1:11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</row>
    <row r="122" spans="1:11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</row>
    <row r="123" spans="1:11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</row>
    <row r="124" spans="1:11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</row>
    <row r="125" spans="1:11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</row>
    <row r="126" spans="1:11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</row>
    <row r="127" spans="1:11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</row>
    <row r="128" spans="1:11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</row>
    <row r="129" spans="1:11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</row>
    <row r="130" spans="1:11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</row>
    <row r="131" spans="1:11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</row>
    <row r="132" spans="1:11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</row>
    <row r="133" spans="1:11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</row>
    <row r="134" spans="1:11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</row>
    <row r="135" spans="1:11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</row>
    <row r="136" spans="1:11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</row>
    <row r="137" spans="1:11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</row>
    <row r="138" spans="1:11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</row>
    <row r="139" spans="1:11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</row>
    <row r="140" spans="1:11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</row>
    <row r="141" spans="1:11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</row>
    <row r="142" spans="1:11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</row>
    <row r="143" spans="1:11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</row>
    <row r="144" spans="1:11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</row>
    <row r="145" spans="1:11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</row>
    <row r="146" spans="1:11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</row>
    <row r="147" spans="1:11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</row>
    <row r="148" spans="1:11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</row>
    <row r="149" spans="1:11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</row>
    <row r="150" spans="1:11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</row>
    <row r="151" spans="1:11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</row>
    <row r="152" spans="1:11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</row>
    <row r="153" spans="1:11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</row>
    <row r="154" spans="1:11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</row>
    <row r="155" spans="1:11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</row>
    <row r="156" spans="1:11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</row>
    <row r="157" spans="1:11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</row>
    <row r="158" spans="1:11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</row>
    <row r="159" spans="1:11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</row>
    <row r="160" spans="1:11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</row>
    <row r="161" spans="1:11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</row>
    <row r="162" spans="1:11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</row>
    <row r="163" spans="1:11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</row>
    <row r="164" spans="1:11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</row>
    <row r="165" spans="1:11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</row>
    <row r="166" spans="1:11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</row>
    <row r="167" spans="1:11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</row>
    <row r="168" spans="1:11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</row>
    <row r="169" spans="1:11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</row>
    <row r="170" spans="1:11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</row>
    <row r="171" spans="1:11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</row>
    <row r="172" spans="1:11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</row>
    <row r="173" spans="1:11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</row>
    <row r="174" spans="1:11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</row>
    <row r="175" spans="1:11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</row>
    <row r="176" spans="1:11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</row>
    <row r="177" spans="1:11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</row>
    <row r="178" spans="1:11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</row>
    <row r="179" spans="1:11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</row>
    <row r="180" spans="1:11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</row>
    <row r="181" spans="1:11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</row>
    <row r="182" spans="1:11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</row>
    <row r="183" spans="1:11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</row>
    <row r="184" spans="1:11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</row>
    <row r="185" spans="1:11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</row>
    <row r="186" spans="1:11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</row>
    <row r="187" spans="1:11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</row>
    <row r="188" spans="1:11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</row>
    <row r="189" spans="1:11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</row>
    <row r="190" spans="1:11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</row>
    <row r="191" spans="1:11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</row>
    <row r="192" spans="1:11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</row>
    <row r="193" spans="1:11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</row>
    <row r="194" spans="1:11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</row>
    <row r="195" spans="1:11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</row>
    <row r="196" spans="1:11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</row>
    <row r="197" spans="1:11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</row>
    <row r="198" spans="1:11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</row>
    <row r="199" spans="1:11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</row>
    <row r="200" spans="1:11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</row>
    <row r="201" spans="1:11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</row>
    <row r="202" spans="1:11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</row>
    <row r="203" spans="1:11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</row>
    <row r="204" spans="1:11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</row>
    <row r="205" spans="1:11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</row>
    <row r="206" spans="1:11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</row>
    <row r="207" spans="1:11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</row>
    <row r="208" spans="1:11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</row>
    <row r="209" spans="1:11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</row>
    <row r="210" spans="1:11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</row>
    <row r="211" spans="1:1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</row>
    <row r="212" spans="1:11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</row>
    <row r="213" spans="1:11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</row>
    <row r="214" spans="1:11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</row>
    <row r="215" spans="1:11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</row>
    <row r="216" spans="1:11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</row>
    <row r="217" spans="1:11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</row>
    <row r="218" spans="1:11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</row>
    <row r="219" spans="1:11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</row>
    <row r="220" spans="1:11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</row>
    <row r="221" spans="1:11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</row>
    <row r="222" spans="1:11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</row>
    <row r="223" spans="1:11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</row>
    <row r="224" spans="1:11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</row>
    <row r="225" spans="1:11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</row>
    <row r="226" spans="1:11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</row>
    <row r="227" spans="1:11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</row>
    <row r="228" spans="1:11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</row>
    <row r="229" spans="1:11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</row>
    <row r="230" spans="1:11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</row>
    <row r="231" spans="1:11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</row>
    <row r="232" spans="1:11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</row>
    <row r="233" spans="1:11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</row>
    <row r="234" spans="1:11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</row>
    <row r="235" spans="1:11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</row>
    <row r="236" spans="1:11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</row>
    <row r="237" spans="1:11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</row>
    <row r="238" spans="1:11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</row>
    <row r="239" spans="1:11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</row>
    <row r="240" spans="1:11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</row>
    <row r="241" spans="1:11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</row>
    <row r="242" spans="1:11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</row>
    <row r="243" spans="1:11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</row>
    <row r="244" spans="1:11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</row>
    <row r="245" spans="1:11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</row>
    <row r="246" spans="1:11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</row>
    <row r="247" spans="1:11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</row>
    <row r="248" spans="1:11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</row>
    <row r="249" spans="1:11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</row>
    <row r="250" spans="1:11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</row>
    <row r="251" spans="1:11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</row>
    <row r="252" spans="1:11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</row>
    <row r="253" spans="1:11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</row>
    <row r="254" spans="1:11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</row>
    <row r="255" spans="1:11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</row>
    <row r="256" spans="1:11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</row>
    <row r="257" spans="1:11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</row>
    <row r="258" spans="1:11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</row>
    <row r="259" spans="1:11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</row>
    <row r="260" spans="1:11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</row>
    <row r="261" spans="1:11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</row>
    <row r="262" spans="1:11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</row>
    <row r="263" spans="1:11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</row>
    <row r="264" spans="1:11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</row>
    <row r="265" spans="1:11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</row>
    <row r="266" spans="1:11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</row>
    <row r="267" spans="1:11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</row>
    <row r="268" spans="1:11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</row>
    <row r="269" spans="1:11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</row>
    <row r="270" spans="1:11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</row>
    <row r="271" spans="1:11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</row>
    <row r="272" spans="1:11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</row>
    <row r="273" spans="1:11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</row>
    <row r="274" spans="1:11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</row>
    <row r="275" spans="1:11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</row>
    <row r="276" spans="1:11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</row>
    <row r="277" spans="1:11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</row>
    <row r="278" spans="1:11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</row>
    <row r="279" spans="1:11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</row>
    <row r="280" spans="1:11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</row>
    <row r="281" spans="1:11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</row>
    <row r="282" spans="1:11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</row>
    <row r="283" spans="1:11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</row>
    <row r="284" spans="1:11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</row>
    <row r="285" spans="1:11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</row>
    <row r="286" spans="1:11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</row>
    <row r="287" spans="1:11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</row>
    <row r="288" spans="1:11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</row>
    <row r="289" spans="1:11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</row>
    <row r="290" spans="1:11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</row>
    <row r="291" spans="1:11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</row>
    <row r="292" spans="1:11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</row>
    <row r="293" spans="1:11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</row>
    <row r="294" spans="1:11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</row>
    <row r="295" spans="1:11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</row>
    <row r="296" spans="1:11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</row>
    <row r="297" spans="1:11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</row>
    <row r="298" spans="1:11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</row>
    <row r="299" spans="1:11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</row>
    <row r="300" spans="1:11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</row>
    <row r="301" spans="1:11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</row>
    <row r="302" spans="1:11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</row>
    <row r="303" spans="1:11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</row>
    <row r="304" spans="1:11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</row>
    <row r="305" spans="1:11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</row>
    <row r="306" spans="1:11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</row>
    <row r="307" spans="1:11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</row>
    <row r="308" spans="1:11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</row>
    <row r="309" spans="1:11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</row>
    <row r="310" spans="1:11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</row>
    <row r="311" spans="1:1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</row>
    <row r="312" spans="1:11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</row>
    <row r="313" spans="1:11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</row>
    <row r="314" spans="1:11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</row>
    <row r="315" spans="1:11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</row>
    <row r="316" spans="1:11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</row>
    <row r="317" spans="1:11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</row>
    <row r="318" spans="1:11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</row>
    <row r="319" spans="1:11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</row>
    <row r="320" spans="1:11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</row>
    <row r="321" spans="1:11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</row>
    <row r="322" spans="1:11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</row>
    <row r="323" spans="1:11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</row>
    <row r="324" spans="1:11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</row>
    <row r="325" spans="1:11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</row>
    <row r="326" spans="1:11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</row>
    <row r="327" spans="1:11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</row>
    <row r="328" spans="1:11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</row>
    <row r="329" spans="1:11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</row>
    <row r="330" spans="1:11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</row>
    <row r="331" spans="1:11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</row>
    <row r="332" spans="1:11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</row>
    <row r="333" spans="1:11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</row>
    <row r="334" spans="1:11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</row>
    <row r="335" spans="1:11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</row>
    <row r="336" spans="1:11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</row>
    <row r="337" spans="1:11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</row>
    <row r="338" spans="1:11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</row>
    <row r="339" spans="1:11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</row>
    <row r="340" spans="1:11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</row>
    <row r="341" spans="1:11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</row>
    <row r="342" spans="1:11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</row>
    <row r="343" spans="1:11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</row>
    <row r="344" spans="1:11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</row>
    <row r="345" spans="1:11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</row>
    <row r="346" spans="1:11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</row>
    <row r="347" spans="1:11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</row>
    <row r="348" spans="1:11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</row>
    <row r="349" spans="1:11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</row>
    <row r="350" spans="1:11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</row>
    <row r="351" spans="1:11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</row>
    <row r="352" spans="1:11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</row>
    <row r="353" spans="1:11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</row>
    <row r="354" spans="1:11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</row>
    <row r="355" spans="1:11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</row>
    <row r="356" spans="1:11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</row>
    <row r="357" spans="1:11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</row>
    <row r="358" spans="1:11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</row>
    <row r="359" spans="1:11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</row>
    <row r="360" spans="1:11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</row>
    <row r="361" spans="1:11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</row>
    <row r="362" spans="1:11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</row>
    <row r="363" spans="1:11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</row>
    <row r="364" spans="1:11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</row>
    <row r="365" spans="1:11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</row>
    <row r="366" spans="1:11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</row>
    <row r="367" spans="1:11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</row>
    <row r="368" spans="1:11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</row>
    <row r="369" spans="1:11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</row>
    <row r="370" spans="1:11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</row>
    <row r="371" spans="1:11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</row>
    <row r="372" spans="1:11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</row>
    <row r="373" spans="1:11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</row>
    <row r="374" spans="1:11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</row>
    <row r="375" spans="1:11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</row>
    <row r="376" spans="1:11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</row>
    <row r="377" spans="1:11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</row>
    <row r="378" spans="1:11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</row>
    <row r="379" spans="1:11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</row>
    <row r="380" spans="1:11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</row>
    <row r="381" spans="1:11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</row>
    <row r="382" spans="1:11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</row>
    <row r="383" spans="1:11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</row>
    <row r="384" spans="1:11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</row>
    <row r="385" spans="1:11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</row>
    <row r="386" spans="1:11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</row>
    <row r="387" spans="1:11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</row>
    <row r="388" spans="1:11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</row>
    <row r="389" spans="1:11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</row>
    <row r="390" spans="1:11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</row>
    <row r="391" spans="1:11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</row>
    <row r="392" spans="1:11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</row>
    <row r="393" spans="1:11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</row>
    <row r="394" spans="1:11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</row>
    <row r="395" spans="1:11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</row>
    <row r="396" spans="1:11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</row>
    <row r="397" spans="1:11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</row>
    <row r="398" spans="1:11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</row>
    <row r="399" spans="1:11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</row>
    <row r="400" spans="1:11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</row>
    <row r="401" spans="1:11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</row>
    <row r="402" spans="1:11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</row>
    <row r="403" spans="1:11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</row>
    <row r="404" spans="1:11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</row>
    <row r="405" spans="1:11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</row>
    <row r="406" spans="1:11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</row>
    <row r="407" spans="1:11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</row>
    <row r="408" spans="1:11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</row>
    <row r="409" spans="1:11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</row>
    <row r="410" spans="1:11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</row>
    <row r="411" spans="1:1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</row>
    <row r="412" spans="1:11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</row>
    <row r="413" spans="1:11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</row>
    <row r="414" spans="1:11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</row>
    <row r="415" spans="1:11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</row>
    <row r="416" spans="1:11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</row>
    <row r="417" spans="1:11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</row>
    <row r="418" spans="1:11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</row>
    <row r="419" spans="1:11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</row>
    <row r="420" spans="1:11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</row>
    <row r="421" spans="1:11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</row>
    <row r="422" spans="1:11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</row>
    <row r="423" spans="1:11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</row>
    <row r="424" spans="1:11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</row>
    <row r="425" spans="1:11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</row>
    <row r="426" spans="1:11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</row>
    <row r="427" spans="1:11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</row>
    <row r="428" spans="1:11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</row>
    <row r="429" spans="1:11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</row>
    <row r="430" spans="1:11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</row>
    <row r="431" spans="1:11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</row>
    <row r="432" spans="1:11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</row>
    <row r="433" spans="1:11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</row>
    <row r="434" spans="1:11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</row>
    <row r="435" spans="1:11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</row>
    <row r="436" spans="1:11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</row>
    <row r="437" spans="1:11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</row>
    <row r="438" spans="1:11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</row>
    <row r="439" spans="1:11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</row>
    <row r="440" spans="1:11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</row>
    <row r="441" spans="1:11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</row>
    <row r="442" spans="1:11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</row>
    <row r="443" spans="1:11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</row>
    <row r="444" spans="1:11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</row>
    <row r="445" spans="1:11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</row>
    <row r="446" spans="1:11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</row>
    <row r="447" spans="1:11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</row>
    <row r="448" spans="1:11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</row>
    <row r="449" spans="1:11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</row>
    <row r="450" spans="1:11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</row>
    <row r="451" spans="1:11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</row>
    <row r="452" spans="1:11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</row>
    <row r="453" spans="1:11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</row>
    <row r="454" spans="1:11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</row>
    <row r="455" spans="1:11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</row>
    <row r="456" spans="1:11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</row>
    <row r="457" spans="1:11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</row>
    <row r="458" spans="1:11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</row>
    <row r="459" spans="1:11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</row>
    <row r="460" spans="1:11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</row>
    <row r="461" spans="1:11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</row>
    <row r="462" spans="1:11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</row>
    <row r="463" spans="1:11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</row>
    <row r="464" spans="1:11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</row>
    <row r="465" spans="1:11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</row>
    <row r="466" spans="1:11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</row>
    <row r="467" spans="1:11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</row>
    <row r="468" spans="1:11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</row>
    <row r="469" spans="1:11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</row>
    <row r="470" spans="1:11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</row>
    <row r="471" spans="1:11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</row>
    <row r="472" spans="1:11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</row>
    <row r="473" spans="1:11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</row>
    <row r="474" spans="1:11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</row>
    <row r="475" spans="1:11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</row>
    <row r="476" spans="1:11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</row>
    <row r="477" spans="1:11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</row>
    <row r="478" spans="1:11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</row>
    <row r="479" spans="1:11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</row>
    <row r="480" spans="1:11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</row>
    <row r="481" spans="1:11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</row>
    <row r="482" spans="1:11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</row>
    <row r="483" spans="1:11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</row>
    <row r="484" spans="1:11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</row>
    <row r="485" spans="1:11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</row>
    <row r="486" spans="1:11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</row>
    <row r="487" spans="1:11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</row>
    <row r="488" spans="1:11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</row>
    <row r="489" spans="1:11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</row>
    <row r="490" spans="1:11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</row>
    <row r="491" spans="1:11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</row>
    <row r="492" spans="1:11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</row>
    <row r="493" spans="1:11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</row>
    <row r="494" spans="1:11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</row>
    <row r="495" spans="1:11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</row>
    <row r="496" spans="1:11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</row>
    <row r="497" spans="1:11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</row>
    <row r="498" spans="1:11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</row>
    <row r="499" spans="1:11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</row>
    <row r="500" spans="1:11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</row>
    <row r="501" spans="1:11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</row>
    <row r="502" spans="1:11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</row>
    <row r="503" spans="1:11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</row>
    <row r="504" spans="1:11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</row>
    <row r="505" spans="1:11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</row>
    <row r="506" spans="1:11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</row>
    <row r="507" spans="1:11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</row>
    <row r="508" spans="1:11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</row>
    <row r="509" spans="1:11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</row>
    <row r="510" spans="1:11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</row>
    <row r="511" spans="1:1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</row>
    <row r="512" spans="1:11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</row>
    <row r="513" spans="1:11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</row>
    <row r="514" spans="1:11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</row>
    <row r="515" spans="1:11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</row>
    <row r="516" spans="1:11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</row>
    <row r="517" spans="1:11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</row>
    <row r="518" spans="1:11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</row>
    <row r="519" spans="1:11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</row>
    <row r="520" spans="1:11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</row>
    <row r="521" spans="1:11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</row>
    <row r="522" spans="1:11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</row>
    <row r="523" spans="1:11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</row>
    <row r="524" spans="1:11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</row>
    <row r="525" spans="1:11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</row>
    <row r="526" spans="1:11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</row>
    <row r="527" spans="1:11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</row>
    <row r="528" spans="1:11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</row>
    <row r="529" spans="1:11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</row>
    <row r="530" spans="1:11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</row>
    <row r="531" spans="1:11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</row>
    <row r="532" spans="1:11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</row>
    <row r="533" spans="1:11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</row>
    <row r="534" spans="1:11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</row>
    <row r="535" spans="1:11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</row>
    <row r="536" spans="1:11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</row>
    <row r="537" spans="1:11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</row>
    <row r="538" spans="1:11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</row>
    <row r="539" spans="1:11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</row>
    <row r="540" spans="1:11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</row>
    <row r="541" spans="1:11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</row>
    <row r="542" spans="1:11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</row>
    <row r="543" spans="1:11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</row>
    <row r="544" spans="1:11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</row>
    <row r="545" spans="1:11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</row>
    <row r="546" spans="1:11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</row>
    <row r="547" spans="1:11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</row>
    <row r="548" spans="1:11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</row>
    <row r="549" spans="1:11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</row>
    <row r="550" spans="1:11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</row>
    <row r="551" spans="1:11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</row>
    <row r="552" spans="1:11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</row>
    <row r="553" spans="1:11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</row>
    <row r="554" spans="1:11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</row>
    <row r="555" spans="1:11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</row>
    <row r="556" spans="1:11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</row>
    <row r="557" spans="1:11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</row>
    <row r="558" spans="1:11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</row>
    <row r="559" spans="1:11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</row>
    <row r="560" spans="1:11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</row>
    <row r="561" spans="1:11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</row>
    <row r="562" spans="1:11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</row>
    <row r="563" spans="1:11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</row>
    <row r="564" spans="1:11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</row>
    <row r="565" spans="1:11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</row>
    <row r="566" spans="1:11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</row>
    <row r="567" spans="1:11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</row>
    <row r="568" spans="1:11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</row>
    <row r="569" spans="1:11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</row>
    <row r="570" spans="1:11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</row>
    <row r="571" spans="1:11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</row>
    <row r="572" spans="1:11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</row>
    <row r="573" spans="1:11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</row>
    <row r="574" spans="1:11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</row>
    <row r="575" spans="1:11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</row>
    <row r="576" spans="1:11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</row>
    <row r="577" spans="1:11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</row>
    <row r="578" spans="1:11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</row>
    <row r="579" spans="1:11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</row>
    <row r="580" spans="1:11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</row>
    <row r="581" spans="1:11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</row>
    <row r="582" spans="1:11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</row>
    <row r="583" spans="1:11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</row>
    <row r="584" spans="1:11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</row>
    <row r="585" spans="1:11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</row>
    <row r="586" spans="1:11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</row>
    <row r="587" spans="1:11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</row>
    <row r="588" spans="1:11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</row>
    <row r="589" spans="1:11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</row>
    <row r="590" spans="1:11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</row>
    <row r="591" spans="1:11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</row>
    <row r="592" spans="1:11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</row>
    <row r="593" spans="1:11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</row>
    <row r="594" spans="1:11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</row>
    <row r="595" spans="1:11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</row>
    <row r="596" spans="1:11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</row>
    <row r="597" spans="1:11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</row>
    <row r="598" spans="1:11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</row>
    <row r="599" spans="1:11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</row>
    <row r="600" spans="1:11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</row>
    <row r="601" spans="1:11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</row>
    <row r="602" spans="1:11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</row>
    <row r="603" spans="1:11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</row>
    <row r="604" spans="1:11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</row>
    <row r="605" spans="1:11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</row>
    <row r="606" spans="1:11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</row>
    <row r="607" spans="1:11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</row>
    <row r="608" spans="1:11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</row>
    <row r="609" spans="1:11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</row>
    <row r="610" spans="1:11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</row>
    <row r="611" spans="1:1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</row>
    <row r="612" spans="1:11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</row>
    <row r="613" spans="1:11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</row>
    <row r="614" spans="1:11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</row>
    <row r="615" spans="1:11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</row>
    <row r="616" spans="1:11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</row>
    <row r="617" spans="1:11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</row>
    <row r="618" spans="1:11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</row>
    <row r="619" spans="1:11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</row>
    <row r="620" spans="1:11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</row>
    <row r="621" spans="1:11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</row>
    <row r="622" spans="1:11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</row>
    <row r="623" spans="1:11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</row>
    <row r="624" spans="1:11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</row>
    <row r="625" spans="1:11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</row>
    <row r="626" spans="1:11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</row>
    <row r="627" spans="1:11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</row>
    <row r="628" spans="1:11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</row>
    <row r="629" spans="1:11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</row>
    <row r="630" spans="1:11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</row>
    <row r="631" spans="1:11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</row>
    <row r="632" spans="1:11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</row>
    <row r="633" spans="1:11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</row>
    <row r="634" spans="1:11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</row>
    <row r="635" spans="1:11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</row>
    <row r="636" spans="1:11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</row>
    <row r="637" spans="1:11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</row>
    <row r="638" spans="1:11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</row>
    <row r="639" spans="1:11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</row>
    <row r="640" spans="1:11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</row>
    <row r="641" spans="1:11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</row>
    <row r="642" spans="1:11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</row>
    <row r="643" spans="1:11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</row>
    <row r="644" spans="1:11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</row>
    <row r="645" spans="1:11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</row>
    <row r="646" spans="1:11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</row>
    <row r="647" spans="1:11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</row>
    <row r="648" spans="1:11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</row>
    <row r="649" spans="1:11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</row>
    <row r="650" spans="1:11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</row>
    <row r="651" spans="1:11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</row>
    <row r="652" spans="1:11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</row>
    <row r="653" spans="1:11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</row>
    <row r="654" spans="1:11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</row>
    <row r="655" spans="1:11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</row>
    <row r="656" spans="1:11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</row>
    <row r="657" spans="1:11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</row>
    <row r="658" spans="1:11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</row>
    <row r="659" spans="1:11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</row>
    <row r="660" spans="1:11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</row>
    <row r="661" spans="1:11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</row>
    <row r="662" spans="1:11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</row>
    <row r="663" spans="1:11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</row>
    <row r="664" spans="1:11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</row>
    <row r="665" spans="1:11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</row>
    <row r="666" spans="1:11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</row>
    <row r="667" spans="1:11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</row>
    <row r="668" spans="1:11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</row>
    <row r="669" spans="1:11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</row>
    <row r="670" spans="1:11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</row>
    <row r="671" spans="1:11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</row>
    <row r="672" spans="1:11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</row>
    <row r="673" spans="1:11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</row>
    <row r="674" spans="1:11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</row>
    <row r="675" spans="1:11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</row>
    <row r="676" spans="1:11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</row>
    <row r="677" spans="1:11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</row>
    <row r="678" spans="1:11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</row>
    <row r="679" spans="1:11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</row>
    <row r="680" spans="1:11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</row>
    <row r="681" spans="1:11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</row>
    <row r="682" spans="1:11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</row>
    <row r="683" spans="1:11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</row>
    <row r="684" spans="1:11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</row>
    <row r="685" spans="1:11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</row>
    <row r="686" spans="1:11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</row>
    <row r="687" spans="1:11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</row>
    <row r="688" spans="1:11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</row>
    <row r="689" spans="1:11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</row>
    <row r="690" spans="1:11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</row>
    <row r="691" spans="1:11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</row>
    <row r="692" spans="1:11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</row>
    <row r="693" spans="1:11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</row>
    <row r="694" spans="1:11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</row>
    <row r="695" spans="1:11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</row>
    <row r="696" spans="1:11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</row>
    <row r="697" spans="1:11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</row>
    <row r="698" spans="1:11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</row>
    <row r="699" spans="1:11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</row>
    <row r="700" spans="1:11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</row>
    <row r="701" spans="1:11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</row>
    <row r="702" spans="1:11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</row>
    <row r="703" spans="1:11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</row>
    <row r="704" spans="1:11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</row>
    <row r="705" spans="1:11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</row>
    <row r="706" spans="1:11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</row>
    <row r="707" spans="1:11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</row>
    <row r="708" spans="1:11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</row>
    <row r="709" spans="1:11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</row>
    <row r="710" spans="1:11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</row>
    <row r="711" spans="1:1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</row>
    <row r="712" spans="1:11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</row>
    <row r="713" spans="1:11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</row>
    <row r="714" spans="1:11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</row>
    <row r="715" spans="1:11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</row>
    <row r="716" spans="1:11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</row>
    <row r="717" spans="1:11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</row>
    <row r="718" spans="1:11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</row>
    <row r="719" spans="1:11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</row>
    <row r="720" spans="1:11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</row>
    <row r="721" spans="1:11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</row>
    <row r="722" spans="1:11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</row>
    <row r="723" spans="1:11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</row>
    <row r="724" spans="1:11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</row>
    <row r="725" spans="1:11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</row>
    <row r="726" spans="1:11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</row>
    <row r="727" spans="1:11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</row>
    <row r="728" spans="1:11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</row>
    <row r="729" spans="1:11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</row>
    <row r="730" spans="1:11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</row>
    <row r="731" spans="1:11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</row>
    <row r="732" spans="1:11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</row>
    <row r="733" spans="1:11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</row>
    <row r="734" spans="1:11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</row>
    <row r="735" spans="1:11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</row>
    <row r="736" spans="1:11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</row>
    <row r="737" spans="1:11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</row>
    <row r="738" spans="1:11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</row>
    <row r="739" spans="1:11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</row>
    <row r="740" spans="1:11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</row>
    <row r="741" spans="1:11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</row>
    <row r="742" spans="1:11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</row>
    <row r="743" spans="1:11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</row>
    <row r="744" spans="1:11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</row>
    <row r="745" spans="1:11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</row>
    <row r="746" spans="1:11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</row>
    <row r="747" spans="1:11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</row>
    <row r="748" spans="1:11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</row>
    <row r="749" spans="1:11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</row>
    <row r="750" spans="1:11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</row>
    <row r="751" spans="1:11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</row>
    <row r="752" spans="1:11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</row>
    <row r="753" spans="1:11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</row>
    <row r="754" spans="1:11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</row>
    <row r="755" spans="1:11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</row>
    <row r="756" spans="1:11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</row>
    <row r="757" spans="1:11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</row>
    <row r="758" spans="1:11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</row>
    <row r="759" spans="1:11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</row>
    <row r="760" spans="1:11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</row>
    <row r="761" spans="1:11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</row>
    <row r="762" spans="1:11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</row>
    <row r="763" spans="1:11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</row>
    <row r="764" spans="1:11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</row>
    <row r="765" spans="1:11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</row>
    <row r="766" spans="1:11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</row>
    <row r="767" spans="1:11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</row>
    <row r="768" spans="1:11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</row>
    <row r="769" spans="1:11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</row>
    <row r="770" spans="1:11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</row>
    <row r="771" spans="1:11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</row>
    <row r="772" spans="1:11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</row>
    <row r="773" spans="1:11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</row>
    <row r="774" spans="1:11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</row>
    <row r="775" spans="1:11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</row>
    <row r="776" spans="1:11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</row>
    <row r="777" spans="1:11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</row>
    <row r="778" spans="1:11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</row>
    <row r="779" spans="1:11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</row>
    <row r="780" spans="1:11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</row>
    <row r="781" spans="1:11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</row>
    <row r="782" spans="1:11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</row>
    <row r="783" spans="1:11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</row>
    <row r="784" spans="1:11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</row>
    <row r="785" spans="1:11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</row>
    <row r="786" spans="1:11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</row>
    <row r="787" spans="1:11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</row>
    <row r="788" spans="1:11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</row>
    <row r="789" spans="1:11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</row>
    <row r="790" spans="1:11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</row>
    <row r="791" spans="1:11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</row>
    <row r="792" spans="1:11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</row>
    <row r="793" spans="1:11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</row>
    <row r="794" spans="1:11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</row>
    <row r="795" spans="1:11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</row>
    <row r="796" spans="1:11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</row>
    <row r="797" spans="1:11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</row>
    <row r="798" spans="1:11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</row>
    <row r="799" spans="1:11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</row>
    <row r="800" spans="1:11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</row>
    <row r="801" spans="1:11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</row>
    <row r="802" spans="1:11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</row>
    <row r="803" spans="1:11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</row>
    <row r="804" spans="1:11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</row>
    <row r="805" spans="1:11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</row>
    <row r="806" spans="1:11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</row>
    <row r="807" spans="1:11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</row>
    <row r="808" spans="1:11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</row>
    <row r="809" spans="1:11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</row>
    <row r="810" spans="1:11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</row>
    <row r="811" spans="1:1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</row>
    <row r="812" spans="1:11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</row>
    <row r="813" spans="1:11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</row>
    <row r="814" spans="1:11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</row>
    <row r="815" spans="1:11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</row>
    <row r="816" spans="1:11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</row>
    <row r="817" spans="1:11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</row>
    <row r="818" spans="1:11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</row>
    <row r="819" spans="1:11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</row>
    <row r="820" spans="1:11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</row>
    <row r="821" spans="1:11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</row>
    <row r="822" spans="1:11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</row>
    <row r="823" spans="1:11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</row>
    <row r="824" spans="1:11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</row>
    <row r="825" spans="1:11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</row>
    <row r="826" spans="1:11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</row>
    <row r="827" spans="1:11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</row>
    <row r="828" spans="1:11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</row>
    <row r="829" spans="1:11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</row>
    <row r="830" spans="1:11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</row>
    <row r="831" spans="1:11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</row>
    <row r="832" spans="1:11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</row>
    <row r="833" spans="1:11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</row>
    <row r="834" spans="1:11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</row>
    <row r="835" spans="1:11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</row>
    <row r="836" spans="1:11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</row>
    <row r="837" spans="1:11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</row>
    <row r="838" spans="1:11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</row>
    <row r="839" spans="1:11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</row>
    <row r="840" spans="1:11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</row>
    <row r="841" spans="1:11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</row>
    <row r="842" spans="1:11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</row>
    <row r="843" spans="1:11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</row>
    <row r="844" spans="1:11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</row>
    <row r="845" spans="1:11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</row>
    <row r="846" spans="1:11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</row>
    <row r="847" spans="1:11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</row>
    <row r="848" spans="1:11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</row>
    <row r="849" spans="1:11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</row>
    <row r="850" spans="1:11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</row>
    <row r="851" spans="1:11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</row>
    <row r="852" spans="1:11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</row>
    <row r="853" spans="1:11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</row>
    <row r="854" spans="1:11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</row>
    <row r="855" spans="1:11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</row>
    <row r="856" spans="1:11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</row>
    <row r="857" spans="1:11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</row>
    <row r="858" spans="1:11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</row>
    <row r="859" spans="1:11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</row>
    <row r="860" spans="1:11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</row>
    <row r="861" spans="1:11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</row>
    <row r="862" spans="1:11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</row>
    <row r="863" spans="1:11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</row>
    <row r="864" spans="1:11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</row>
    <row r="865" spans="1:11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</row>
    <row r="866" spans="1:11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</row>
    <row r="867" spans="1:11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</row>
    <row r="868" spans="1:11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</row>
    <row r="869" spans="1:11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</row>
    <row r="870" spans="1:11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</row>
    <row r="871" spans="1:11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</row>
    <row r="872" spans="1:11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</row>
    <row r="873" spans="1:11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</row>
    <row r="874" spans="1:11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</row>
    <row r="875" spans="1:11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</row>
    <row r="876" spans="1:11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</row>
    <row r="877" spans="1:11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</row>
    <row r="878" spans="1:11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</row>
    <row r="879" spans="1:11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</row>
    <row r="880" spans="1:11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</row>
    <row r="881" spans="1:11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</row>
    <row r="882" spans="1:11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</row>
    <row r="883" spans="1:11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</row>
    <row r="884" spans="1:11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</row>
    <row r="885" spans="1:11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</row>
    <row r="886" spans="1:11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</row>
    <row r="887" spans="1:11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</row>
    <row r="888" spans="1:11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</row>
    <row r="889" spans="1:11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</row>
    <row r="890" spans="1:11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</row>
    <row r="891" spans="1:11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</row>
    <row r="892" spans="1:11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</row>
    <row r="893" spans="1:11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</row>
    <row r="894" spans="1:11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</row>
    <row r="895" spans="1:11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</row>
    <row r="896" spans="1:11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</row>
    <row r="897" spans="1:11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</row>
    <row r="898" spans="1:11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</row>
    <row r="899" spans="1:11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</row>
    <row r="900" spans="1:11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</row>
    <row r="901" spans="1:11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</row>
    <row r="902" spans="1:11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</row>
    <row r="903" spans="1:11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</row>
    <row r="904" spans="1:11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</row>
    <row r="905" spans="1:11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</row>
    <row r="906" spans="1:11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</row>
    <row r="907" spans="1:11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7D4FE591C881469A25FF2C6ECCB5D5" ma:contentTypeVersion="6" ma:contentTypeDescription="Create a new document." ma:contentTypeScope="" ma:versionID="d55f146e28cd24c209c113353ad68280">
  <xsd:schema xmlns:xsd="http://www.w3.org/2001/XMLSchema" xmlns:xs="http://www.w3.org/2001/XMLSchema" xmlns:p="http://schemas.microsoft.com/office/2006/metadata/properties" xmlns:ns2="becb1c43-8b58-4237-a01f-2625c8facb0f" xmlns:ns3="555c8f49-c5f2-465e-9512-c0c2b8626a35" targetNamespace="http://schemas.microsoft.com/office/2006/metadata/properties" ma:root="true" ma:fieldsID="3f929f6b3eab7f7b0c240f1e6c4fddf5" ns2:_="" ns3:_="">
    <xsd:import namespace="becb1c43-8b58-4237-a01f-2625c8facb0f"/>
    <xsd:import namespace="555c8f49-c5f2-465e-9512-c0c2b8626a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b1c43-8b58-4237-a01f-2625c8facb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5c8f49-c5f2-465e-9512-c0c2b8626a3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8E33E7-DD71-4BF2-BBEB-B3EEC270AC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cb1c43-8b58-4237-a01f-2625c8facb0f"/>
    <ds:schemaRef ds:uri="555c8f49-c5f2-465e-9512-c0c2b8626a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0E1972-8C1A-4A14-A497-3B30FCCDC72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97C4BC7-3E08-4753-88CE-469A52E90D38}">
  <ds:schemaRefs>
    <ds:schemaRef ds:uri="http://purl.org/dc/elements/1.1/"/>
    <ds:schemaRef ds:uri="http://purl.org/dc/dcmitype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555c8f49-c5f2-465e-9512-c0c2b8626a35"/>
    <ds:schemaRef ds:uri="becb1c43-8b58-4237-a01f-2625c8facb0f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Technology</vt:lpstr>
      <vt:lpstr>Trend</vt:lpstr>
      <vt:lpstr>KPIs</vt:lpstr>
      <vt:lpstr>KPIs weighted (1)</vt:lpstr>
      <vt:lpstr>KPI Points</vt:lpstr>
      <vt:lpstr>Limitations</vt:lpstr>
      <vt:lpstr>KPIs weighted (2)</vt:lpstr>
      <vt:lpstr>Capital Employed Scaled</vt:lpstr>
      <vt:lpstr>LCOE &amp; CO2 Scaled</vt:lpstr>
      <vt:lpstr>Scenario 1</vt:lpstr>
      <vt:lpstr>Scenario 2</vt:lpstr>
      <vt:lpstr>Scenario 3</vt:lpstr>
      <vt:lpstr>Summary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Lim Jenny</dc:creator>
  <cp:keywords/>
  <dc:description/>
  <cp:lastModifiedBy>Thanat Wongwaisayawan</cp:lastModifiedBy>
  <cp:revision/>
  <dcterms:created xsi:type="dcterms:W3CDTF">2020-01-10T15:20:43Z</dcterms:created>
  <dcterms:modified xsi:type="dcterms:W3CDTF">2020-01-21T20:13:30Z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0x010100847D4FE591C881469A25FF2C6ECCB5D5</vt:lpwstr>
  </property>
</Properties>
</file>