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5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.sharepoint.com/sites/365-flowshittinggroup5/Shared Documents/Level 5/"/>
    </mc:Choice>
  </mc:AlternateContent>
  <xr:revisionPtr revIDLastSave="0" documentId="8_{49206520-2203-4E5E-97A3-919E3ACF253A}" xr6:coauthVersionLast="45" xr6:coauthVersionMax="45" xr10:uidLastSave="{00000000-0000-0000-0000-000000000000}"/>
  <bookViews>
    <workbookView xWindow="-108" yWindow="-108" windowWidth="23256" windowHeight="12576" firstSheet="4" activeTab="4" xr2:uid="{00000000-000D-0000-FFFF-FFFF00000000}"/>
  </bookViews>
  <sheets>
    <sheet name="HEAT and COOL 1" sheetId="5" r:id="rId1"/>
    <sheet name="HEAT and COOL 2" sheetId="6" r:id="rId2"/>
    <sheet name="EP5" sheetId="10" r:id="rId3"/>
    <sheet name="HEAT and COOL 3" sheetId="7" r:id="rId4"/>
    <sheet name="HEAT and COOL 4" sheetId="9" r:id="rId5"/>
    <sheet name="Second Law Analysis" sheetId="1" state="hidden" r:id="rId6"/>
    <sheet name="UPDATED NIK" sheetId="4" r:id="rId7"/>
    <sheet name="Nik - Data from Aspen" sheetId="2" state="hidden" r:id="rId8"/>
    <sheet name="DISTILLATION" sheetId="3" r:id="rId9"/>
    <sheet name="Cascade Diagram" sheetId="11" r:id="rId10"/>
    <sheet name="HEAT EXCHANGER INTEGRATED COST " sheetId="8" state="hidden" r:id="rId11"/>
  </sheets>
  <externalReferences>
    <externalReference r:id="rId12"/>
  </externalReferenc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6" i="10" l="1"/>
  <c r="P16" i="9" l="1"/>
  <c r="C14" i="5"/>
  <c r="F6" i="11"/>
  <c r="W29" i="9"/>
  <c r="F9" i="11" l="1"/>
  <c r="F12" i="11" s="1"/>
  <c r="F15" i="11" s="1"/>
  <c r="F18" i="11" s="1"/>
  <c r="F21" i="11" s="1"/>
  <c r="F24" i="11" s="1"/>
  <c r="F27" i="11" s="1"/>
  <c r="F30" i="11" s="1"/>
  <c r="F33" i="11" s="1"/>
  <c r="F36" i="11" s="1"/>
  <c r="F39" i="11" s="1"/>
  <c r="F42" i="11" s="1"/>
  <c r="F45" i="11" s="1"/>
  <c r="F48" i="11" s="1"/>
  <c r="F51" i="11" s="1"/>
  <c r="F54" i="11" s="1"/>
  <c r="F57" i="11" s="1"/>
  <c r="F60" i="11" s="1"/>
  <c r="H104" i="10"/>
  <c r="F105" i="10"/>
  <c r="C105" i="10"/>
  <c r="G103" i="10"/>
  <c r="H103" i="10" s="1"/>
  <c r="D103" i="10"/>
  <c r="D105" i="10" s="1"/>
  <c r="AM45" i="9"/>
  <c r="AM44" i="9"/>
  <c r="AM36" i="9"/>
  <c r="E96" i="10"/>
  <c r="E97" i="10"/>
  <c r="E98" i="10"/>
  <c r="E99" i="10"/>
  <c r="E100" i="10"/>
  <c r="E101" i="10"/>
  <c r="E102" i="10"/>
  <c r="E95" i="10"/>
  <c r="H96" i="10"/>
  <c r="H98" i="10"/>
  <c r="H99" i="10"/>
  <c r="H102" i="10"/>
  <c r="F63" i="11" l="1"/>
  <c r="J3" i="11" s="1"/>
  <c r="J6" i="11" s="1"/>
  <c r="J9" i="11" s="1"/>
  <c r="J12" i="11" s="1"/>
  <c r="J15" i="11" s="1"/>
  <c r="J18" i="11" s="1"/>
  <c r="J21" i="11" s="1"/>
  <c r="J24" i="11" s="1"/>
  <c r="J27" i="11" s="1"/>
  <c r="J30" i="11" s="1"/>
  <c r="J33" i="11" s="1"/>
  <c r="J36" i="11" s="1"/>
  <c r="J39" i="11" s="1"/>
  <c r="J42" i="11" s="1"/>
  <c r="J45" i="11" s="1"/>
  <c r="J48" i="11" s="1"/>
  <c r="J51" i="11" s="1"/>
  <c r="J54" i="11" s="1"/>
  <c r="J57" i="11" s="1"/>
  <c r="J60" i="11" s="1"/>
  <c r="E103" i="10"/>
  <c r="F52" i="10"/>
  <c r="C75" i="10"/>
  <c r="H75" i="10"/>
  <c r="M75" i="10"/>
  <c r="R75" i="10"/>
  <c r="C76" i="10"/>
  <c r="H76" i="10"/>
  <c r="M76" i="10"/>
  <c r="R76" i="10"/>
  <c r="C77" i="10"/>
  <c r="H77" i="10"/>
  <c r="M77" i="10"/>
  <c r="R77" i="10"/>
  <c r="C79" i="10"/>
  <c r="H79" i="10"/>
  <c r="M79" i="10"/>
  <c r="R79" i="10"/>
  <c r="C80" i="10"/>
  <c r="H80" i="10"/>
  <c r="M80" i="10"/>
  <c r="R80" i="10"/>
  <c r="R81" i="10" s="1"/>
  <c r="C89" i="10"/>
  <c r="H89" i="10"/>
  <c r="M89" i="10"/>
  <c r="R89" i="10"/>
  <c r="R8" i="8"/>
  <c r="R9" i="8"/>
  <c r="R10" i="8"/>
  <c r="R12" i="8"/>
  <c r="R13" i="8"/>
  <c r="R22" i="8"/>
  <c r="M8" i="8"/>
  <c r="M9" i="8"/>
  <c r="M10" i="8"/>
  <c r="M11" i="8" s="1"/>
  <c r="M12" i="8"/>
  <c r="M13" i="8"/>
  <c r="M22" i="8"/>
  <c r="H8" i="8"/>
  <c r="H9" i="8"/>
  <c r="H10" i="8"/>
  <c r="H12" i="8"/>
  <c r="H13" i="8"/>
  <c r="H22" i="8"/>
  <c r="C22" i="8"/>
  <c r="X69" i="9"/>
  <c r="Z69" i="9"/>
  <c r="Y69" i="9"/>
  <c r="C13" i="8"/>
  <c r="C12" i="8"/>
  <c r="C10" i="8"/>
  <c r="C9" i="8"/>
  <c r="C8" i="8"/>
  <c r="R26" i="10"/>
  <c r="R27" i="10" s="1"/>
  <c r="O26" i="10"/>
  <c r="L26" i="10"/>
  <c r="L27" i="10" s="1"/>
  <c r="H100" i="10" s="1"/>
  <c r="I26" i="10"/>
  <c r="I27" i="10" s="1"/>
  <c r="F26" i="10"/>
  <c r="F27" i="10" s="1"/>
  <c r="C26" i="10"/>
  <c r="C46" i="10"/>
  <c r="C37" i="10" s="1"/>
  <c r="O8" i="10"/>
  <c r="C8" i="10"/>
  <c r="AG35" i="9"/>
  <c r="F53" i="10"/>
  <c r="C44" i="10"/>
  <c r="C39" i="10"/>
  <c r="C42" i="10" s="1"/>
  <c r="I31" i="10"/>
  <c r="I34" i="10" s="1"/>
  <c r="I37" i="10" s="1"/>
  <c r="F35" i="10"/>
  <c r="C35" i="10"/>
  <c r="C14" i="10"/>
  <c r="F14" i="10"/>
  <c r="I14" i="10"/>
  <c r="L14" i="10"/>
  <c r="O14" i="10"/>
  <c r="R14" i="10"/>
  <c r="C15" i="10"/>
  <c r="C16" i="10" s="1"/>
  <c r="C17" i="10" s="1"/>
  <c r="C19" i="10" s="1"/>
  <c r="F15" i="10"/>
  <c r="I15" i="10"/>
  <c r="L15" i="10"/>
  <c r="O15" i="10"/>
  <c r="O16" i="10" s="1"/>
  <c r="R15" i="10"/>
  <c r="C7" i="10"/>
  <c r="F7" i="10"/>
  <c r="I7" i="10"/>
  <c r="L7" i="10"/>
  <c r="O7" i="10"/>
  <c r="R7" i="10"/>
  <c r="AI41" i="7"/>
  <c r="AI38" i="7"/>
  <c r="AI36" i="7"/>
  <c r="AI35" i="7"/>
  <c r="AI31" i="7"/>
  <c r="AI30" i="7"/>
  <c r="AI29" i="7"/>
  <c r="AI28" i="7"/>
  <c r="AH38" i="7"/>
  <c r="AH37" i="7"/>
  <c r="AH36" i="7"/>
  <c r="AH34" i="7"/>
  <c r="AH33" i="7"/>
  <c r="AH32" i="7"/>
  <c r="AH31" i="7"/>
  <c r="AH26" i="7"/>
  <c r="AI40" i="7"/>
  <c r="Q45" i="7"/>
  <c r="R44" i="7" s="1"/>
  <c r="Q44" i="7"/>
  <c r="X68" i="9"/>
  <c r="X70" i="9" s="1"/>
  <c r="Z68" i="9" s="1"/>
  <c r="Z39" i="9"/>
  <c r="AG39" i="9" s="1"/>
  <c r="X63" i="9"/>
  <c r="AF52" i="9"/>
  <c r="AH52" i="9" s="1"/>
  <c r="AG51" i="9"/>
  <c r="AH51" i="9" s="1"/>
  <c r="AG50" i="9"/>
  <c r="AG49" i="9"/>
  <c r="AG48" i="9"/>
  <c r="AF43" i="9"/>
  <c r="AH43" i="9" s="1"/>
  <c r="AF42" i="9"/>
  <c r="AH42" i="9" s="1"/>
  <c r="AF46" i="9"/>
  <c r="AF47" i="9"/>
  <c r="AG47" i="9"/>
  <c r="AG45" i="9"/>
  <c r="AG44" i="9"/>
  <c r="AF41" i="9"/>
  <c r="AH41" i="9" s="1"/>
  <c r="AF39" i="9"/>
  <c r="AG37" i="9"/>
  <c r="AH37" i="9" s="1"/>
  <c r="AG36" i="9"/>
  <c r="AH36" i="9" s="1"/>
  <c r="AF33" i="9"/>
  <c r="R64" i="9"/>
  <c r="Q64" i="9"/>
  <c r="Q63" i="9"/>
  <c r="Q58" i="9"/>
  <c r="Q59" i="9"/>
  <c r="X59" i="9"/>
  <c r="X58" i="9"/>
  <c r="X108" i="9"/>
  <c r="X112" i="9" s="1"/>
  <c r="X113" i="9" s="1"/>
  <c r="X115" i="9" s="1"/>
  <c r="X117" i="9" s="1"/>
  <c r="X118" i="9" s="1"/>
  <c r="U25" i="9"/>
  <c r="T25" i="9"/>
  <c r="U26" i="9"/>
  <c r="U27" i="9"/>
  <c r="T23" i="9"/>
  <c r="T20" i="9"/>
  <c r="U15" i="9"/>
  <c r="U7" i="9"/>
  <c r="T7" i="9"/>
  <c r="T21" i="9"/>
  <c r="U21" i="9"/>
  <c r="T16" i="9"/>
  <c r="U16" i="9"/>
  <c r="U8" i="9"/>
  <c r="T8" i="9"/>
  <c r="U6" i="9"/>
  <c r="T6" i="9"/>
  <c r="J21" i="9"/>
  <c r="K21" i="9" s="1"/>
  <c r="L21" i="9" s="1"/>
  <c r="J20" i="9"/>
  <c r="K20" i="9" s="1"/>
  <c r="L20" i="9" s="1"/>
  <c r="M21" i="9"/>
  <c r="T26" i="9" s="1"/>
  <c r="M20" i="9"/>
  <c r="T15" i="9" s="1"/>
  <c r="M7" i="9"/>
  <c r="U20" i="9" s="1"/>
  <c r="L7" i="9"/>
  <c r="K7" i="9"/>
  <c r="L6" i="9"/>
  <c r="K6" i="9"/>
  <c r="E2" i="9"/>
  <c r="T2" i="9"/>
  <c r="U2" i="9"/>
  <c r="E3" i="9"/>
  <c r="T3" i="9"/>
  <c r="U3" i="9"/>
  <c r="E4" i="9"/>
  <c r="T4" i="9"/>
  <c r="U4" i="9"/>
  <c r="E5" i="9"/>
  <c r="T5" i="9"/>
  <c r="U5" i="9"/>
  <c r="E8" i="9"/>
  <c r="K8" i="9"/>
  <c r="L8" i="9"/>
  <c r="E9" i="9"/>
  <c r="K9" i="9"/>
  <c r="L9" i="9"/>
  <c r="T9" i="9"/>
  <c r="U9" i="9"/>
  <c r="E10" i="9"/>
  <c r="K10" i="9"/>
  <c r="L10" i="9"/>
  <c r="T10" i="9"/>
  <c r="U10" i="9"/>
  <c r="E11" i="9"/>
  <c r="K11" i="9"/>
  <c r="L11" i="9"/>
  <c r="T11" i="9"/>
  <c r="U11" i="9"/>
  <c r="E12" i="9"/>
  <c r="K12" i="9"/>
  <c r="L12" i="9"/>
  <c r="T12" i="9"/>
  <c r="U12" i="9"/>
  <c r="E13" i="9"/>
  <c r="K13" i="9"/>
  <c r="L13" i="9"/>
  <c r="T13" i="9"/>
  <c r="U13" i="9"/>
  <c r="E14" i="9"/>
  <c r="K14" i="9"/>
  <c r="L14" i="9"/>
  <c r="T14" i="9"/>
  <c r="U14" i="9"/>
  <c r="E15" i="9"/>
  <c r="K15" i="9"/>
  <c r="L15" i="9"/>
  <c r="T17" i="9"/>
  <c r="U17" i="9"/>
  <c r="E16" i="9"/>
  <c r="K16" i="9"/>
  <c r="L16" i="9"/>
  <c r="T18" i="9"/>
  <c r="U18" i="9"/>
  <c r="E17" i="9"/>
  <c r="K17" i="9"/>
  <c r="L17" i="9"/>
  <c r="T19" i="9"/>
  <c r="U19" i="9"/>
  <c r="E18" i="9"/>
  <c r="K18" i="9"/>
  <c r="L18" i="9"/>
  <c r="T22" i="9"/>
  <c r="U22" i="9"/>
  <c r="E19" i="9"/>
  <c r="K19" i="9"/>
  <c r="L19" i="9"/>
  <c r="U23" i="9"/>
  <c r="T24" i="9"/>
  <c r="U24" i="9"/>
  <c r="T28" i="9"/>
  <c r="U28" i="9"/>
  <c r="AA96" i="9"/>
  <c r="AA105" i="9"/>
  <c r="AA118" i="9"/>
  <c r="C20" i="10" l="1"/>
  <c r="C21" i="10" s="1"/>
  <c r="C11" i="8"/>
  <c r="C15" i="8" s="1"/>
  <c r="C17" i="8" s="1"/>
  <c r="C23" i="8" s="1"/>
  <c r="R11" i="8"/>
  <c r="H78" i="10"/>
  <c r="Q65" i="9"/>
  <c r="C14" i="8"/>
  <c r="C81" i="10"/>
  <c r="R14" i="8"/>
  <c r="AA106" i="9"/>
  <c r="AA120" i="9" s="1"/>
  <c r="AA122" i="9" s="1"/>
  <c r="V26" i="9"/>
  <c r="D99" i="9" s="1"/>
  <c r="AH47" i="9"/>
  <c r="H14" i="8"/>
  <c r="H11" i="8"/>
  <c r="H15" i="8" s="1"/>
  <c r="H17" i="8" s="1"/>
  <c r="H23" i="8" s="1"/>
  <c r="M14" i="8"/>
  <c r="M15" i="8" s="1"/>
  <c r="H81" i="10"/>
  <c r="R15" i="8"/>
  <c r="R17" i="8" s="1"/>
  <c r="R23" i="8" s="1"/>
  <c r="M81" i="10"/>
  <c r="M82" i="10" s="1"/>
  <c r="M84" i="10" s="1"/>
  <c r="M90" i="10" s="1"/>
  <c r="M91" i="10" s="1"/>
  <c r="M78" i="10"/>
  <c r="O17" i="10"/>
  <c r="O19" i="10" s="1"/>
  <c r="O20" i="10" s="1"/>
  <c r="O21" i="10" s="1"/>
  <c r="C49" i="10"/>
  <c r="C50" i="10" s="1"/>
  <c r="L16" i="10"/>
  <c r="L17" i="10" s="1"/>
  <c r="L19" i="10" s="1"/>
  <c r="L20" i="10" s="1"/>
  <c r="L21" i="10" s="1"/>
  <c r="C78" i="10"/>
  <c r="C82" i="10" s="1"/>
  <c r="C84" i="10" s="1"/>
  <c r="C90" i="10" s="1"/>
  <c r="C91" i="10" s="1"/>
  <c r="I16" i="10"/>
  <c r="I17" i="10" s="1"/>
  <c r="I19" i="10" s="1"/>
  <c r="I20" i="10" s="1"/>
  <c r="I21" i="10" s="1"/>
  <c r="C27" i="10"/>
  <c r="G97" i="10" s="1"/>
  <c r="H97" i="10" s="1"/>
  <c r="R78" i="10"/>
  <c r="R82" i="10" s="1"/>
  <c r="R84" i="10" s="1"/>
  <c r="R90" i="10" s="1"/>
  <c r="F54" i="10"/>
  <c r="F55" i="10" s="1"/>
  <c r="R16" i="10"/>
  <c r="R17" i="10" s="1"/>
  <c r="R19" i="10" s="1"/>
  <c r="R20" i="10" s="1"/>
  <c r="R21" i="10" s="1"/>
  <c r="F16" i="10"/>
  <c r="F17" i="10" s="1"/>
  <c r="F19" i="10" s="1"/>
  <c r="F20" i="10" s="1"/>
  <c r="F21" i="10" s="1"/>
  <c r="H82" i="10"/>
  <c r="H84" i="10" s="1"/>
  <c r="H90" i="10" s="1"/>
  <c r="H91" i="10" s="1"/>
  <c r="O27" i="10"/>
  <c r="G101" i="10" s="1"/>
  <c r="H101" i="10" s="1"/>
  <c r="V15" i="9"/>
  <c r="D66" i="9" s="1"/>
  <c r="V2" i="9"/>
  <c r="D27" i="9" s="1"/>
  <c r="E29" i="9" s="1"/>
  <c r="V14" i="9"/>
  <c r="D63" i="9" s="1"/>
  <c r="V10" i="9"/>
  <c r="D51" i="9" s="1"/>
  <c r="V4" i="9"/>
  <c r="D33" i="9" s="1"/>
  <c r="AH42" i="7"/>
  <c r="V17" i="9"/>
  <c r="D72" i="9" s="1"/>
  <c r="V11" i="9"/>
  <c r="D54" i="9" s="1"/>
  <c r="V8" i="9"/>
  <c r="D45" i="9" s="1"/>
  <c r="C48" i="10"/>
  <c r="G95" i="10" s="1"/>
  <c r="C43" i="10"/>
  <c r="V22" i="9"/>
  <c r="D87" i="9" s="1"/>
  <c r="V24" i="9"/>
  <c r="D93" i="9" s="1"/>
  <c r="V28" i="9"/>
  <c r="D105" i="9" s="1"/>
  <c r="V25" i="9"/>
  <c r="D96" i="9" s="1"/>
  <c r="V18" i="9"/>
  <c r="D75" i="9" s="1"/>
  <c r="V12" i="9"/>
  <c r="D57" i="9" s="1"/>
  <c r="V5" i="9"/>
  <c r="D36" i="9" s="1"/>
  <c r="V21" i="9"/>
  <c r="D84" i="9" s="1"/>
  <c r="AH48" i="9"/>
  <c r="V20" i="9"/>
  <c r="D81" i="9" s="1"/>
  <c r="X60" i="9"/>
  <c r="Z58" i="9" s="1"/>
  <c r="AA39" i="9" s="1"/>
  <c r="X64" i="9" s="1"/>
  <c r="X65" i="9" s="1"/>
  <c r="Z63" i="9" s="1"/>
  <c r="Y34" i="9" s="1"/>
  <c r="AG34" i="9" s="1"/>
  <c r="AH33" i="9" s="1"/>
  <c r="V3" i="9"/>
  <c r="D30" i="9" s="1"/>
  <c r="V6" i="9"/>
  <c r="D39" i="9" s="1"/>
  <c r="V16" i="9"/>
  <c r="D69" i="9" s="1"/>
  <c r="V7" i="9"/>
  <c r="D42" i="9" s="1"/>
  <c r="V19" i="9"/>
  <c r="D78" i="9" s="1"/>
  <c r="V9" i="9"/>
  <c r="D48" i="9" s="1"/>
  <c r="Q60" i="9"/>
  <c r="S58" i="9" s="1"/>
  <c r="S45" i="9" s="1"/>
  <c r="AF45" i="9" s="1"/>
  <c r="AH44" i="9" s="1"/>
  <c r="V13" i="9"/>
  <c r="D60" i="9" s="1"/>
  <c r="V23" i="9"/>
  <c r="D90" i="9" s="1"/>
  <c r="M17" i="8"/>
  <c r="M23" i="8" s="1"/>
  <c r="X89" i="9"/>
  <c r="X91" i="9" s="1"/>
  <c r="X93" i="9" s="1"/>
  <c r="X95" i="9" s="1"/>
  <c r="X96" i="9" s="1"/>
  <c r="S64" i="9"/>
  <c r="R40" i="9" s="1"/>
  <c r="AF40" i="9" s="1"/>
  <c r="T27" i="9"/>
  <c r="V27" i="9" s="1"/>
  <c r="D102" i="9" s="1"/>
  <c r="AA105" i="7"/>
  <c r="AA92" i="7"/>
  <c r="AA83" i="7"/>
  <c r="Q55" i="7"/>
  <c r="S36" i="7"/>
  <c r="Z59" i="7"/>
  <c r="X59" i="7"/>
  <c r="X55" i="7"/>
  <c r="X45" i="7"/>
  <c r="X44" i="7"/>
  <c r="S15" i="3"/>
  <c r="S7" i="3"/>
  <c r="V3" i="3"/>
  <c r="AA3" i="3" s="1"/>
  <c r="V9" i="3"/>
  <c r="AA9" i="3" s="1"/>
  <c r="V10" i="3"/>
  <c r="AA10" i="3" s="1"/>
  <c r="V11" i="3"/>
  <c r="AA11" i="3" s="1"/>
  <c r="V12" i="3"/>
  <c r="AA12" i="3" s="1"/>
  <c r="V13" i="3"/>
  <c r="AA13" i="3" s="1"/>
  <c r="V4" i="3"/>
  <c r="AA4" i="3" s="1"/>
  <c r="V5" i="3"/>
  <c r="AA5" i="3" s="1"/>
  <c r="V6" i="3"/>
  <c r="AA6" i="3" s="1"/>
  <c r="V14" i="3"/>
  <c r="AA14" i="3" s="1"/>
  <c r="Q3" i="3"/>
  <c r="Z3" i="3" s="1"/>
  <c r="Q9" i="3"/>
  <c r="Z9" i="3" s="1"/>
  <c r="Q10" i="3"/>
  <c r="Z10" i="3" s="1"/>
  <c r="Q11" i="3"/>
  <c r="Z11" i="3" s="1"/>
  <c r="Q12" i="3"/>
  <c r="Z12" i="3" s="1"/>
  <c r="Q13" i="3"/>
  <c r="Z13" i="3" s="1"/>
  <c r="Q4" i="3"/>
  <c r="Z4" i="3" s="1"/>
  <c r="Q5" i="3"/>
  <c r="Z5" i="3" s="1"/>
  <c r="Q6" i="3"/>
  <c r="Z6" i="3" s="1"/>
  <c r="Q14" i="3"/>
  <c r="Z14" i="3" s="1"/>
  <c r="P24" i="5"/>
  <c r="Y54" i="7"/>
  <c r="X50" i="7"/>
  <c r="Y45" i="7"/>
  <c r="Q54" i="7"/>
  <c r="Q53" i="7"/>
  <c r="Q51" i="7"/>
  <c r="Q50" i="7"/>
  <c r="Q49" i="7"/>
  <c r="Q48" i="7"/>
  <c r="E29" i="7"/>
  <c r="S20" i="7"/>
  <c r="S19" i="7"/>
  <c r="S18" i="7"/>
  <c r="S17" i="7"/>
  <c r="T18" i="7"/>
  <c r="T19" i="7"/>
  <c r="T20" i="7"/>
  <c r="T17" i="7"/>
  <c r="T16" i="7"/>
  <c r="S16" i="7"/>
  <c r="T15" i="7"/>
  <c r="S15" i="7"/>
  <c r="T14" i="7"/>
  <c r="S14" i="7"/>
  <c r="S13" i="7"/>
  <c r="T13" i="7"/>
  <c r="T12" i="7"/>
  <c r="S12" i="7"/>
  <c r="T11" i="7"/>
  <c r="S11" i="7"/>
  <c r="T10" i="7"/>
  <c r="S10" i="7"/>
  <c r="T9" i="7"/>
  <c r="S9" i="7"/>
  <c r="T8" i="7"/>
  <c r="S8" i="7"/>
  <c r="T7" i="7"/>
  <c r="S7" i="7"/>
  <c r="T6" i="7"/>
  <c r="S6" i="7"/>
  <c r="T5" i="7"/>
  <c r="S5" i="7"/>
  <c r="T4" i="7"/>
  <c r="T3" i="7"/>
  <c r="T2" i="7"/>
  <c r="S4" i="7"/>
  <c r="S3" i="7"/>
  <c r="S2" i="7"/>
  <c r="B14" i="6"/>
  <c r="B13" i="6"/>
  <c r="K7" i="7"/>
  <c r="K8" i="7"/>
  <c r="K9" i="7"/>
  <c r="K10" i="7"/>
  <c r="K11" i="7"/>
  <c r="K12" i="7"/>
  <c r="K13" i="7"/>
  <c r="K14" i="7"/>
  <c r="K15" i="7"/>
  <c r="K16" i="7"/>
  <c r="K17" i="7"/>
  <c r="K6" i="7"/>
  <c r="J7" i="7"/>
  <c r="J8" i="7"/>
  <c r="J9" i="7"/>
  <c r="J10" i="7"/>
  <c r="J11" i="7"/>
  <c r="J12" i="7"/>
  <c r="J13" i="7"/>
  <c r="J14" i="7"/>
  <c r="J15" i="7"/>
  <c r="J16" i="7"/>
  <c r="J17" i="7"/>
  <c r="J6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O72" i="6"/>
  <c r="O70" i="6"/>
  <c r="O69" i="6"/>
  <c r="O68" i="6"/>
  <c r="O67" i="6"/>
  <c r="N64" i="6"/>
  <c r="N63" i="6"/>
  <c r="G80" i="6"/>
  <c r="G76" i="6"/>
  <c r="H71" i="6"/>
  <c r="G71" i="6"/>
  <c r="G66" i="6"/>
  <c r="H65" i="6" s="1"/>
  <c r="J45" i="6" s="1"/>
  <c r="H70" i="6" s="1"/>
  <c r="K45" i="6" s="1"/>
  <c r="G75" i="6" s="1"/>
  <c r="G65" i="6"/>
  <c r="E36" i="6"/>
  <c r="E39" i="6" s="1"/>
  <c r="E42" i="6" s="1"/>
  <c r="E45" i="6" s="1"/>
  <c r="E48" i="6" s="1"/>
  <c r="E51" i="6" s="1"/>
  <c r="E54" i="6" s="1"/>
  <c r="E57" i="6" s="1"/>
  <c r="E60" i="6" s="1"/>
  <c r="E63" i="6" s="1"/>
  <c r="E66" i="6" s="1"/>
  <c r="E69" i="6" s="1"/>
  <c r="C36" i="6"/>
  <c r="C39" i="6" s="1"/>
  <c r="C42" i="6" s="1"/>
  <c r="C45" i="6" s="1"/>
  <c r="C48" i="6" s="1"/>
  <c r="C51" i="6" s="1"/>
  <c r="C54" i="6" s="1"/>
  <c r="C57" i="6" s="1"/>
  <c r="C60" i="6" s="1"/>
  <c r="C63" i="6" s="1"/>
  <c r="C66" i="6" s="1"/>
  <c r="C69" i="6" s="1"/>
  <c r="C29" i="6"/>
  <c r="E29" i="6" s="1"/>
  <c r="C28" i="6"/>
  <c r="E28" i="6" s="1"/>
  <c r="C27" i="6"/>
  <c r="E27" i="6" s="1"/>
  <c r="D26" i="6"/>
  <c r="C26" i="6"/>
  <c r="D25" i="6"/>
  <c r="C25" i="6"/>
  <c r="C24" i="6"/>
  <c r="D24" i="6"/>
  <c r="D23" i="6"/>
  <c r="C23" i="6"/>
  <c r="D22" i="6"/>
  <c r="C22" i="6"/>
  <c r="D21" i="6"/>
  <c r="C21" i="6"/>
  <c r="D20" i="6"/>
  <c r="C20" i="6"/>
  <c r="D19" i="6"/>
  <c r="C19" i="6"/>
  <c r="D18" i="6"/>
  <c r="E18" i="6" s="1"/>
  <c r="Q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N18" i="6"/>
  <c r="E2" i="6"/>
  <c r="E3" i="6"/>
  <c r="E4" i="6"/>
  <c r="E5" i="6"/>
  <c r="E6" i="6"/>
  <c r="E7" i="6"/>
  <c r="E8" i="6"/>
  <c r="E9" i="6"/>
  <c r="E10" i="6"/>
  <c r="P25" i="5"/>
  <c r="P26" i="5"/>
  <c r="P27" i="5"/>
  <c r="P28" i="5"/>
  <c r="P29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G37" i="5" s="1"/>
  <c r="F38" i="5" s="1"/>
  <c r="E30" i="5"/>
  <c r="E29" i="5"/>
  <c r="E28" i="5"/>
  <c r="E26" i="5"/>
  <c r="G26" i="5" s="1"/>
  <c r="E27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2" i="5"/>
  <c r="O18" i="5"/>
  <c r="V2" i="7" l="1"/>
  <c r="AG53" i="9"/>
  <c r="AH53" i="9" s="1"/>
  <c r="E32" i="9"/>
  <c r="E35" i="9" s="1"/>
  <c r="E38" i="9" s="1"/>
  <c r="E41" i="9" s="1"/>
  <c r="E44" i="9" s="1"/>
  <c r="E47" i="9" s="1"/>
  <c r="E50" i="9" s="1"/>
  <c r="E53" i="9" s="1"/>
  <c r="E56" i="9" s="1"/>
  <c r="E59" i="9" s="1"/>
  <c r="E62" i="9" s="1"/>
  <c r="E65" i="9" s="1"/>
  <c r="E68" i="9" s="1"/>
  <c r="E71" i="9" s="1"/>
  <c r="E74" i="9" s="1"/>
  <c r="E77" i="9" s="1"/>
  <c r="E80" i="9" s="1"/>
  <c r="E83" i="9" s="1"/>
  <c r="E86" i="9" s="1"/>
  <c r="E89" i="9" s="1"/>
  <c r="E92" i="9" s="1"/>
  <c r="E95" i="9" s="1"/>
  <c r="E98" i="9" s="1"/>
  <c r="E101" i="9" s="1"/>
  <c r="E104" i="9" s="1"/>
  <c r="E107" i="9" s="1"/>
  <c r="V3" i="7"/>
  <c r="U15" i="7"/>
  <c r="U16" i="7"/>
  <c r="V20" i="7"/>
  <c r="AA93" i="7"/>
  <c r="U23" i="8"/>
  <c r="F56" i="10"/>
  <c r="F58" i="10"/>
  <c r="F57" i="10"/>
  <c r="F39" i="10" s="1"/>
  <c r="F42" i="10" s="1"/>
  <c r="F59" i="10"/>
  <c r="H95" i="10"/>
  <c r="H105" i="10" s="1"/>
  <c r="G105" i="10"/>
  <c r="U90" i="10"/>
  <c r="R91" i="10"/>
  <c r="U91" i="10" s="1"/>
  <c r="AA107" i="7"/>
  <c r="AA109" i="7" s="1"/>
  <c r="V4" i="7"/>
  <c r="V5" i="7"/>
  <c r="V7" i="7"/>
  <c r="V9" i="7"/>
  <c r="V11" i="7"/>
  <c r="V15" i="7"/>
  <c r="V17" i="7"/>
  <c r="U13" i="7"/>
  <c r="V13" i="7"/>
  <c r="V18" i="7"/>
  <c r="V6" i="7"/>
  <c r="V8" i="7"/>
  <c r="V10" i="7"/>
  <c r="V12" i="7"/>
  <c r="V14" i="7"/>
  <c r="V16" i="7"/>
  <c r="V19" i="7"/>
  <c r="X84" i="9"/>
  <c r="Z84" i="9" s="1"/>
  <c r="AF53" i="9"/>
  <c r="X98" i="9"/>
  <c r="X100" i="9" s="1"/>
  <c r="X102" i="9" s="1"/>
  <c r="X104" i="9" s="1"/>
  <c r="X105" i="9" s="1"/>
  <c r="X106" i="9" s="1"/>
  <c r="X120" i="9" s="1"/>
  <c r="E23" i="6"/>
  <c r="AI39" i="7"/>
  <c r="U8" i="7"/>
  <c r="G67" i="6"/>
  <c r="AH38" i="9"/>
  <c r="U18" i="7"/>
  <c r="V29" i="9"/>
  <c r="C73" i="6"/>
  <c r="Q52" i="7"/>
  <c r="X76" i="7" s="1"/>
  <c r="X78" i="7" s="1"/>
  <c r="X80" i="7" s="1"/>
  <c r="X82" i="7" s="1"/>
  <c r="X83" i="7" s="1"/>
  <c r="U19" i="7"/>
  <c r="E32" i="7"/>
  <c r="E35" i="7" s="1"/>
  <c r="E38" i="7" s="1"/>
  <c r="E41" i="7" s="1"/>
  <c r="E44" i="7" s="1"/>
  <c r="E47" i="7" s="1"/>
  <c r="E50" i="7" s="1"/>
  <c r="E53" i="7" s="1"/>
  <c r="E56" i="7" s="1"/>
  <c r="E59" i="7" s="1"/>
  <c r="E62" i="7" s="1"/>
  <c r="E65" i="7" s="1"/>
  <c r="E68" i="7" s="1"/>
  <c r="E71" i="7" s="1"/>
  <c r="E74" i="7" s="1"/>
  <c r="E77" i="7" s="1"/>
  <c r="E80" i="7" s="1"/>
  <c r="E83" i="7" s="1"/>
  <c r="X85" i="7"/>
  <c r="X87" i="7" s="1"/>
  <c r="X89" i="7" s="1"/>
  <c r="X91" i="7" s="1"/>
  <c r="X92" i="7" s="1"/>
  <c r="H75" i="6"/>
  <c r="L45" i="6" s="1"/>
  <c r="G79" i="6" s="1"/>
  <c r="N79" i="6" s="1"/>
  <c r="U2" i="7"/>
  <c r="U20" i="7"/>
  <c r="G38" i="5"/>
  <c r="F39" i="5" s="1"/>
  <c r="G39" i="5" s="1"/>
  <c r="F40" i="5" s="1"/>
  <c r="G40" i="5" s="1"/>
  <c r="F41" i="5" s="1"/>
  <c r="G41" i="5" s="1"/>
  <c r="F42" i="5" s="1"/>
  <c r="G42" i="5" s="1"/>
  <c r="F43" i="5" s="1"/>
  <c r="G43" i="5" s="1"/>
  <c r="F44" i="5" s="1"/>
  <c r="G44" i="5" s="1"/>
  <c r="F45" i="5" s="1"/>
  <c r="G45" i="5" s="1"/>
  <c r="F46" i="5" s="1"/>
  <c r="G46" i="5" s="1"/>
  <c r="F47" i="5" s="1"/>
  <c r="G47" i="5" s="1"/>
  <c r="F48" i="5" s="1"/>
  <c r="G48" i="5" s="1"/>
  <c r="F49" i="5" s="1"/>
  <c r="G49" i="5" s="1"/>
  <c r="U17" i="7"/>
  <c r="W65" i="7"/>
  <c r="Y65" i="7" s="1"/>
  <c r="Q46" i="7"/>
  <c r="X46" i="7"/>
  <c r="Y44" i="7" s="1"/>
  <c r="V26" i="7" s="1"/>
  <c r="U14" i="7"/>
  <c r="U12" i="7"/>
  <c r="U11" i="7"/>
  <c r="U10" i="7"/>
  <c r="U9" i="7"/>
  <c r="U7" i="7"/>
  <c r="U6" i="7"/>
  <c r="U5" i="7"/>
  <c r="U4" i="7"/>
  <c r="U3" i="7"/>
  <c r="B15" i="6"/>
  <c r="N19" i="6" s="1"/>
  <c r="N65" i="6"/>
  <c r="O64" i="6" s="1"/>
  <c r="P51" i="6" s="1"/>
  <c r="O71" i="6" s="1"/>
  <c r="O73" i="6" s="1"/>
  <c r="N80" i="6" s="1"/>
  <c r="G77" i="6"/>
  <c r="G70" i="6"/>
  <c r="G72" i="6" s="1"/>
  <c r="E26" i="6"/>
  <c r="E25" i="6"/>
  <c r="E24" i="6"/>
  <c r="E22" i="6"/>
  <c r="E21" i="6"/>
  <c r="E20" i="6"/>
  <c r="E19" i="6"/>
  <c r="F27" i="5"/>
  <c r="G27" i="5" s="1"/>
  <c r="F28" i="5" s="1"/>
  <c r="G28" i="5" s="1"/>
  <c r="F29" i="5" s="1"/>
  <c r="G29" i="5" s="1"/>
  <c r="F30" i="5" s="1"/>
  <c r="G30" i="5" s="1"/>
  <c r="G81" i="6" l="1"/>
  <c r="X93" i="7"/>
  <c r="E104" i="10"/>
  <c r="E105" i="10" s="1"/>
  <c r="D104" i="10"/>
  <c r="F43" i="10"/>
  <c r="F44" i="10" s="1"/>
  <c r="F45" i="10" s="1"/>
  <c r="F47" i="10" s="1"/>
  <c r="F48" i="10" s="1"/>
  <c r="F49" i="10" s="1"/>
  <c r="F60" i="10"/>
  <c r="F61" i="10" s="1"/>
  <c r="V21" i="7"/>
  <c r="E30" i="6"/>
  <c r="Q56" i="7"/>
  <c r="E85" i="7"/>
  <c r="G26" i="7" s="1"/>
  <c r="L44" i="7" s="1"/>
  <c r="E109" i="9"/>
  <c r="U21" i="7"/>
  <c r="X49" i="7"/>
  <c r="X51" i="7" s="1"/>
  <c r="Y49" i="7"/>
  <c r="Z49" i="7"/>
  <c r="Y26" i="7" s="1"/>
  <c r="F2" i="5"/>
  <c r="F3" i="5"/>
  <c r="F4" i="5"/>
  <c r="F5" i="5"/>
  <c r="F6" i="5"/>
  <c r="F7" i="5"/>
  <c r="F8" i="5"/>
  <c r="F9" i="5"/>
  <c r="F10" i="5"/>
  <c r="C15" i="5"/>
  <c r="J2" i="3"/>
  <c r="J1" i="3"/>
  <c r="V23" i="1"/>
  <c r="V24" i="1"/>
  <c r="V25" i="1"/>
  <c r="V26" i="1"/>
  <c r="V27" i="1"/>
  <c r="V28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6" i="1"/>
  <c r="X48" i="1"/>
  <c r="Z48" i="1" s="1"/>
  <c r="AB48" i="1" s="1"/>
  <c r="X51" i="1"/>
  <c r="Z51" i="1" s="1"/>
  <c r="AB51" i="1" s="1"/>
  <c r="Z37" i="1"/>
  <c r="AB37" i="1" s="1"/>
  <c r="Z38" i="1"/>
  <c r="AB38" i="1" s="1"/>
  <c r="Z55" i="1"/>
  <c r="AB55" i="1" s="1"/>
  <c r="Z44" i="1"/>
  <c r="AB44" i="1" s="1"/>
  <c r="Z43" i="1"/>
  <c r="AB43" i="1" s="1"/>
  <c r="Z42" i="1"/>
  <c r="AB42" i="1" s="1"/>
  <c r="Z41" i="1"/>
  <c r="AB41" i="1" s="1"/>
  <c r="Z40" i="1"/>
  <c r="AB40" i="1" s="1"/>
  <c r="X46" i="1"/>
  <c r="Z46" i="1" s="1"/>
  <c r="AB46" i="1" s="1"/>
  <c r="X45" i="1"/>
  <c r="Z45" i="1" s="1"/>
  <c r="AB45" i="1" s="1"/>
  <c r="X49" i="1"/>
  <c r="Z49" i="1" s="1"/>
  <c r="AB49" i="1" s="1"/>
  <c r="X39" i="1"/>
  <c r="Z39" i="1" s="1"/>
  <c r="AB39" i="1" s="1"/>
  <c r="Y5" i="1" s="1"/>
  <c r="X54" i="1"/>
  <c r="Z54" i="1" s="1"/>
  <c r="AB54" i="1" s="1"/>
  <c r="X52" i="1"/>
  <c r="Z52" i="1" s="1"/>
  <c r="AB52" i="1" s="1"/>
  <c r="X53" i="1"/>
  <c r="Z53" i="1" s="1"/>
  <c r="AB53" i="1" s="1"/>
  <c r="X50" i="1"/>
  <c r="Z50" i="1" s="1"/>
  <c r="AB50" i="1" s="1"/>
  <c r="Z47" i="1"/>
  <c r="AB47" i="1" s="1"/>
  <c r="F38" i="1"/>
  <c r="H38" i="1" s="1"/>
  <c r="F45" i="1"/>
  <c r="H45" i="1" s="1"/>
  <c r="D39" i="1"/>
  <c r="F39" i="1" s="1"/>
  <c r="H39" i="1" s="1"/>
  <c r="D43" i="1"/>
  <c r="F43" i="1" s="1"/>
  <c r="H43" i="1" s="1"/>
  <c r="D48" i="1"/>
  <c r="F48" i="1" s="1"/>
  <c r="H48" i="1" s="1"/>
  <c r="D42" i="1"/>
  <c r="F42" i="1" s="1"/>
  <c r="H42" i="1" s="1"/>
  <c r="D49" i="1"/>
  <c r="F49" i="1" s="1"/>
  <c r="H49" i="1" s="1"/>
  <c r="D44" i="1"/>
  <c r="F44" i="1" s="1"/>
  <c r="H44" i="1" s="1"/>
  <c r="D47" i="1"/>
  <c r="F47" i="1" s="1"/>
  <c r="H47" i="1" s="1"/>
  <c r="D41" i="1"/>
  <c r="F41" i="1" s="1"/>
  <c r="H41" i="1" s="1"/>
  <c r="D46" i="1"/>
  <c r="F46" i="1" s="1"/>
  <c r="H46" i="1" s="1"/>
  <c r="D40" i="1"/>
  <c r="F40" i="1" s="1"/>
  <c r="H40" i="1" s="1"/>
  <c r="F37" i="1"/>
  <c r="H37" i="1" s="1"/>
  <c r="E13" i="3"/>
  <c r="G13" i="3" s="1"/>
  <c r="E14" i="3"/>
  <c r="G14" i="3" s="1"/>
  <c r="E2" i="3"/>
  <c r="G2" i="3" s="1"/>
  <c r="E29" i="3"/>
  <c r="G29" i="3" s="1"/>
  <c r="E30" i="3"/>
  <c r="G30" i="3" s="1"/>
  <c r="E31" i="3"/>
  <c r="G31" i="3" s="1"/>
  <c r="E32" i="3"/>
  <c r="G32" i="3" s="1"/>
  <c r="E33" i="3"/>
  <c r="G33" i="3" s="1"/>
  <c r="E34" i="3"/>
  <c r="G34" i="3" s="1"/>
  <c r="E35" i="3"/>
  <c r="G35" i="3" s="1"/>
  <c r="E36" i="3"/>
  <c r="G36" i="3" s="1"/>
  <c r="E18" i="3"/>
  <c r="G18" i="3" s="1"/>
  <c r="C19" i="3"/>
  <c r="E19" i="3" s="1"/>
  <c r="G19" i="3" s="1"/>
  <c r="F6" i="4"/>
  <c r="G6" i="4"/>
  <c r="E15" i="5" l="1"/>
  <c r="C16" i="5"/>
  <c r="G29" i="7"/>
  <c r="G32" i="7" s="1"/>
  <c r="E111" i="9"/>
  <c r="G26" i="9"/>
  <c r="X54" i="7"/>
  <c r="X56" i="7" s="1"/>
  <c r="Z54" i="7"/>
  <c r="F9" i="4"/>
  <c r="F12" i="4" s="1"/>
  <c r="O19" i="5"/>
  <c r="J3" i="3"/>
  <c r="Y9" i="1"/>
  <c r="Y8" i="1"/>
  <c r="Y7" i="1"/>
  <c r="E18" i="1"/>
  <c r="E7" i="1"/>
  <c r="E13" i="1"/>
  <c r="E20" i="1"/>
  <c r="E8" i="1"/>
  <c r="E14" i="1"/>
  <c r="E21" i="1"/>
  <c r="E9" i="1"/>
  <c r="E15" i="1"/>
  <c r="E22" i="1"/>
  <c r="E10" i="1"/>
  <c r="E23" i="1"/>
  <c r="E17" i="1"/>
  <c r="E27" i="1"/>
  <c r="E5" i="1"/>
  <c r="E6" i="1" s="1"/>
  <c r="E19" i="1"/>
  <c r="E26" i="1"/>
  <c r="E16" i="1"/>
  <c r="E11" i="1"/>
  <c r="E24" i="1"/>
  <c r="E25" i="1"/>
  <c r="E12" i="1"/>
  <c r="C20" i="3"/>
  <c r="E20" i="3" s="1"/>
  <c r="G20" i="3" s="1"/>
  <c r="C21" i="3"/>
  <c r="E21" i="3" s="1"/>
  <c r="G21" i="3" s="1"/>
  <c r="C22" i="3"/>
  <c r="E22" i="3" s="1"/>
  <c r="G22" i="3" s="1"/>
  <c r="C23" i="3"/>
  <c r="E23" i="3" s="1"/>
  <c r="G23" i="3" s="1"/>
  <c r="C24" i="3"/>
  <c r="E24" i="3" s="1"/>
  <c r="G24" i="3" s="1"/>
  <c r="C25" i="3"/>
  <c r="E25" i="3" s="1"/>
  <c r="G25" i="3" s="1"/>
  <c r="C26" i="3"/>
  <c r="E26" i="3" s="1"/>
  <c r="G26" i="3" s="1"/>
  <c r="C27" i="3"/>
  <c r="E27" i="3" s="1"/>
  <c r="G27" i="3" s="1"/>
  <c r="C28" i="3"/>
  <c r="E28" i="3" s="1"/>
  <c r="G28" i="3" s="1"/>
  <c r="C3" i="3"/>
  <c r="E3" i="3" s="1"/>
  <c r="G3" i="3" s="1"/>
  <c r="C4" i="3"/>
  <c r="E4" i="3" s="1"/>
  <c r="G4" i="3" s="1"/>
  <c r="C5" i="3"/>
  <c r="E5" i="3" s="1"/>
  <c r="G5" i="3" s="1"/>
  <c r="C6" i="3"/>
  <c r="E6" i="3" s="1"/>
  <c r="G6" i="3" s="1"/>
  <c r="C7" i="3"/>
  <c r="E7" i="3" s="1"/>
  <c r="G7" i="3" s="1"/>
  <c r="C8" i="3"/>
  <c r="E8" i="3" s="1"/>
  <c r="G8" i="3" s="1"/>
  <c r="C9" i="3"/>
  <c r="E9" i="3" s="1"/>
  <c r="G9" i="3" s="1"/>
  <c r="C10" i="3"/>
  <c r="E10" i="3" s="1"/>
  <c r="G10" i="3" s="1"/>
  <c r="C11" i="3"/>
  <c r="E11" i="3" s="1"/>
  <c r="G11" i="3" s="1"/>
  <c r="C12" i="3"/>
  <c r="E12" i="3" s="1"/>
  <c r="G12" i="3" s="1"/>
  <c r="L45" i="7" l="1"/>
  <c r="G29" i="9"/>
  <c r="N56" i="9"/>
  <c r="G35" i="7"/>
  <c r="L46" i="7"/>
  <c r="Y55" i="7"/>
  <c r="AA30" i="7" s="1"/>
  <c r="X60" i="7" s="1"/>
  <c r="C19" i="2"/>
  <c r="D19" i="2"/>
  <c r="D17" i="2"/>
  <c r="C17" i="2"/>
  <c r="G32" i="9" l="1"/>
  <c r="N57" i="9"/>
  <c r="G38" i="7"/>
  <c r="L47" i="7"/>
  <c r="X61" i="7"/>
  <c r="Y59" i="7" s="1"/>
  <c r="Z60" i="7"/>
  <c r="F5" i="2"/>
  <c r="N58" i="9" l="1"/>
  <c r="G35" i="9"/>
  <c r="L48" i="7"/>
  <c r="G41" i="7"/>
  <c r="X27" i="7"/>
  <c r="F39" i="2"/>
  <c r="F41" i="2"/>
  <c r="F43" i="2"/>
  <c r="F45" i="2"/>
  <c r="F47" i="2"/>
  <c r="F49" i="2"/>
  <c r="F51" i="2"/>
  <c r="F53" i="2"/>
  <c r="F55" i="2"/>
  <c r="F57" i="2"/>
  <c r="F59" i="2"/>
  <c r="F61" i="2"/>
  <c r="F63" i="2"/>
  <c r="F7" i="2"/>
  <c r="F9" i="2"/>
  <c r="F11" i="2"/>
  <c r="F13" i="2"/>
  <c r="F15" i="2"/>
  <c r="F17" i="2"/>
  <c r="F19" i="2"/>
  <c r="F21" i="2"/>
  <c r="F23" i="2"/>
  <c r="F25" i="2"/>
  <c r="F27" i="2"/>
  <c r="F29" i="2"/>
  <c r="F31" i="2"/>
  <c r="F33" i="2"/>
  <c r="F35" i="2"/>
  <c r="F37" i="2"/>
  <c r="AI27" i="7" l="1"/>
  <c r="AI42" i="7" s="1"/>
  <c r="AJ42" i="7" s="1"/>
  <c r="AJ44" i="7" s="1"/>
  <c r="N59" i="9"/>
  <c r="G38" i="9"/>
  <c r="L49" i="7"/>
  <c r="G44" i="7"/>
  <c r="X95" i="7"/>
  <c r="X99" i="7" s="1"/>
  <c r="X100" i="7" s="1"/>
  <c r="X102" i="7" s="1"/>
  <c r="X104" i="7" s="1"/>
  <c r="X105" i="7" s="1"/>
  <c r="X107" i="7" s="1"/>
  <c r="G5" i="1"/>
  <c r="AA5" i="1"/>
  <c r="Z6" i="1" s="1"/>
  <c r="AA6" i="1" s="1"/>
  <c r="Z7" i="1" s="1"/>
  <c r="AA7" i="1" s="1"/>
  <c r="N60" i="9" l="1"/>
  <c r="G41" i="9"/>
  <c r="G47" i="7"/>
  <c r="L50" i="7"/>
  <c r="Z8" i="1"/>
  <c r="AA8" i="1" s="1"/>
  <c r="F6" i="1"/>
  <c r="G44" i="9" l="1"/>
  <c r="N61" i="9"/>
  <c r="G50" i="7"/>
  <c r="L51" i="7"/>
  <c r="G6" i="1"/>
  <c r="F7" i="1" s="1"/>
  <c r="G7" i="1" s="1"/>
  <c r="F8" i="1" s="1"/>
  <c r="G8" i="1" s="1"/>
  <c r="F9" i="1" s="1"/>
  <c r="G9" i="1" s="1"/>
  <c r="F10" i="1" s="1"/>
  <c r="G10" i="1" s="1"/>
  <c r="F11" i="1" s="1"/>
  <c r="G11" i="1" s="1"/>
  <c r="F12" i="1" s="1"/>
  <c r="G12" i="1" s="1"/>
  <c r="F13" i="1" s="1"/>
  <c r="G13" i="1" s="1"/>
  <c r="F14" i="1" s="1"/>
  <c r="G14" i="1" s="1"/>
  <c r="F15" i="1" s="1"/>
  <c r="G15" i="1" s="1"/>
  <c r="F16" i="1" s="1"/>
  <c r="G16" i="1" s="1"/>
  <c r="F17" i="1" s="1"/>
  <c r="G17" i="1" s="1"/>
  <c r="F18" i="1" s="1"/>
  <c r="G18" i="1" s="1"/>
  <c r="F19" i="1" s="1"/>
  <c r="G19" i="1" s="1"/>
  <c r="F20" i="1" s="1"/>
  <c r="G20" i="1" s="1"/>
  <c r="F21" i="1" s="1"/>
  <c r="G21" i="1" s="1"/>
  <c r="F22" i="1" s="1"/>
  <c r="G22" i="1" s="1"/>
  <c r="F23" i="1" s="1"/>
  <c r="G23" i="1" s="1"/>
  <c r="F24" i="1" s="1"/>
  <c r="G24" i="1" s="1"/>
  <c r="F25" i="1" s="1"/>
  <c r="G25" i="1" s="1"/>
  <c r="F26" i="1" s="1"/>
  <c r="G26" i="1" s="1"/>
  <c r="F27" i="1" s="1"/>
  <c r="G27" i="1" s="1"/>
  <c r="Z9" i="1"/>
  <c r="AA9" i="1" s="1"/>
  <c r="Z10" i="1" s="1"/>
  <c r="G47" i="9" l="1"/>
  <c r="N62" i="9"/>
  <c r="L52" i="7"/>
  <c r="G53" i="7"/>
  <c r="AA10" i="1"/>
  <c r="Z11" i="1" s="1"/>
  <c r="N63" i="9" l="1"/>
  <c r="G50" i="9"/>
  <c r="L53" i="7"/>
  <c r="G56" i="7"/>
  <c r="AA11" i="1"/>
  <c r="Z12" i="1" s="1"/>
  <c r="G53" i="9" l="1"/>
  <c r="N64" i="9"/>
  <c r="G59" i="7"/>
  <c r="L54" i="7"/>
  <c r="AA12" i="1"/>
  <c r="Z13" i="1" s="1"/>
  <c r="G56" i="9" l="1"/>
  <c r="N65" i="9"/>
  <c r="G62" i="7"/>
  <c r="L55" i="7"/>
  <c r="AA13" i="1"/>
  <c r="Z14" i="1" s="1"/>
  <c r="N66" i="9" l="1"/>
  <c r="G59" i="9"/>
  <c r="L56" i="7"/>
  <c r="G65" i="7"/>
  <c r="AA14" i="1"/>
  <c r="Z15" i="1" s="1"/>
  <c r="AA15" i="1" s="1"/>
  <c r="Z16" i="1" s="1"/>
  <c r="AA16" i="1" s="1"/>
  <c r="Z17" i="1" s="1"/>
  <c r="AA17" i="1" s="1"/>
  <c r="Z18" i="1" s="1"/>
  <c r="AA18" i="1" s="1"/>
  <c r="Z19" i="1" s="1"/>
  <c r="AA19" i="1" s="1"/>
  <c r="Z20" i="1" s="1"/>
  <c r="AA20" i="1" s="1"/>
  <c r="Z21" i="1" s="1"/>
  <c r="AA21" i="1" s="1"/>
  <c r="Z22" i="1" s="1"/>
  <c r="AA22" i="1" s="1"/>
  <c r="Z23" i="1" s="1"/>
  <c r="AA23" i="1" s="1"/>
  <c r="Z24" i="1" s="1"/>
  <c r="AA24" i="1" s="1"/>
  <c r="Z25" i="1" s="1"/>
  <c r="AA25" i="1" s="1"/>
  <c r="Z26" i="1" s="1"/>
  <c r="AA26" i="1" s="1"/>
  <c r="Z27" i="1" s="1"/>
  <c r="AA27" i="1" s="1"/>
  <c r="Z28" i="1" s="1"/>
  <c r="AA28" i="1" s="1"/>
  <c r="N67" i="9" l="1"/>
  <c r="G62" i="9"/>
  <c r="L57" i="7"/>
  <c r="G68" i="7"/>
  <c r="G65" i="9" l="1"/>
  <c r="N68" i="9"/>
  <c r="G71" i="7"/>
  <c r="L58" i="7"/>
  <c r="G68" i="9" l="1"/>
  <c r="N69" i="9"/>
  <c r="G74" i="7"/>
  <c r="L59" i="7"/>
  <c r="N70" i="9" l="1"/>
  <c r="G71" i="9"/>
  <c r="L60" i="7"/>
  <c r="G77" i="7"/>
  <c r="N71" i="9" l="1"/>
  <c r="G74" i="9"/>
  <c r="L61" i="7"/>
  <c r="G80" i="7"/>
  <c r="N72" i="9" l="1"/>
  <c r="G77" i="9"/>
  <c r="G83" i="7"/>
  <c r="L63" i="7" s="1"/>
  <c r="L62" i="7"/>
  <c r="G80" i="9" l="1"/>
  <c r="N73" i="9"/>
  <c r="N74" i="9" l="1"/>
  <c r="G83" i="9"/>
  <c r="G86" i="9" l="1"/>
  <c r="N75" i="9"/>
  <c r="N76" i="9" l="1"/>
  <c r="G89" i="9"/>
  <c r="N77" i="9" l="1"/>
  <c r="G92" i="9"/>
  <c r="N78" i="9" l="1"/>
  <c r="G95" i="9"/>
  <c r="N79" i="9" l="1"/>
  <c r="G98" i="9"/>
  <c r="N80" i="9" l="1"/>
  <c r="G101" i="9"/>
  <c r="N81" i="9" l="1"/>
  <c r="G104" i="9"/>
  <c r="G107" i="9" l="1"/>
  <c r="N82" i="9"/>
  <c r="N83" i="9" l="1"/>
  <c r="G109" i="9"/>
  <c r="X122" i="9" l="1"/>
  <c r="X109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tc={7B35FC06-6948-466B-AD70-7DA62CD33DDC}</author>
    <author>tc={F73E32E6-A69B-48CD-BD55-28043473DC23}</author>
    <author>tc={1D757605-FD46-42B4-98CB-943ECAB1216E}</author>
    <author>tc={E812901E-2B77-4C28-AFCA-E0EEB4AEDEEC}</author>
    <author>tc={963145D3-AB9E-4B8B-9685-894F2356C729}</author>
  </authors>
  <commentList>
    <comment ref="B2" authorId="0" shapeId="0" xr:uid="{7B35FC06-6948-466B-AD70-7DA62CD33DDC}">
      <text>
        <t>[Threaded comment]
Your version of Excel allows you to read this threaded comment; however, any edits to it will get removed if the file is opened in a newer version of Excel. Learn more: https://go.microsoft.com/fwlink/?linkid=870924
Comment:
    feed</t>
      </text>
    </comment>
    <comment ref="B3" authorId="1" shapeId="0" xr:uid="{F73E32E6-A69B-48CD-BD55-28043473DC2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Before 2nd reactor
</t>
      </text>
    </comment>
    <comment ref="B4" authorId="2" shapeId="0" xr:uid="{1D757605-FD46-42B4-98CB-943ECAB1216E}">
      <text>
        <t>[Threaded comment]
Your version of Excel allows you to read this threaded comment; however, any edits to it will get removed if the file is opened in a newer version of Excel. Learn more: https://go.microsoft.com/fwlink/?linkid=870924
Comment:
    cooler after reactor</t>
      </text>
    </comment>
    <comment ref="L5" authorId="3" shapeId="0" xr:uid="{E812901E-2B77-4C28-AFCA-E0EEB4AEDEEC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inlet temp is at saturated vapour temp</t>
      </text>
    </comment>
    <comment ref="N5" authorId="4" shapeId="0" xr:uid="{963145D3-AB9E-4B8B-9685-894F2356C72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Before 2nd reactor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tc={A2C6D172-4869-42D9-9E50-1F71E3B8ACA7}</author>
    <author>tc={3171EB12-B52F-4C5C-B280-B4C9B6D71AF7}</author>
    <author>tc={20491403-EC3E-4415-8402-C40E83B3790C}</author>
    <author>tc={CB275D1E-6E74-482F-8379-602238C5C0F9}</author>
  </authors>
  <commentList>
    <comment ref="A2" authorId="0" shapeId="0" xr:uid="{A2C6D172-4869-42D9-9E50-1F71E3B8ACA7}">
      <text>
        <t>[Threaded comment]
Your version of Excel allows you to read this threaded comment; however, any edits to it will get removed if the file is opened in a newer version of Excel. Learn more: https://go.microsoft.com/fwlink/?linkid=870924
Comment:
    feed</t>
      </text>
    </comment>
    <comment ref="A3" authorId="1" shapeId="0" xr:uid="{3171EB12-B52F-4C5C-B280-B4C9B6D71AF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Before 2nd reactor
</t>
      </text>
    </comment>
    <comment ref="A4" authorId="2" shapeId="0" xr:uid="{20491403-EC3E-4415-8402-C40E83B3790C}">
      <text>
        <t>[Threaded comment]
Your version of Excel allows you to read this threaded comment; however, any edits to it will get removed if the file is opened in a newer version of Excel. Learn more: https://go.microsoft.com/fwlink/?linkid=870924
Comment:
    cooler after reactor</t>
      </text>
    </comment>
    <comment ref="M5" authorId="3" shapeId="0" xr:uid="{CB275D1E-6E74-482F-8379-602238C5C0F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Before 2nd reactor
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tc={B62C33D8-6C6B-4ACD-B9B5-741E941E9014}</author>
    <author>tc={85338CBD-098F-46FF-9997-E2C3DB878B5F}</author>
    <author>tc={F645B4EB-B1EE-4B63-B2F4-BA8DA2FDA247}</author>
    <author>tc={CE210F1C-670F-4A9F-B278-CA6AF28249DF}</author>
    <author>tc={BDDAFC87-75A3-4E8A-8320-739F093F51E6}</author>
    <author>tc={1300F299-03AD-40ED-A63D-3CE6850248CD}</author>
  </authors>
  <commentList>
    <comment ref="A5" authorId="0" shapeId="0" xr:uid="{B62C33D8-6C6B-4ACD-B9B5-741E941E901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Before 2nd reactor
</t>
      </text>
    </comment>
    <comment ref="P43" authorId="1" shapeId="0" xr:uid="{85338CBD-098F-46FF-9997-E2C3DB878B5F}">
      <text>
        <t>[Threaded comment]
Your version of Excel allows you to read this threaded comment; however, any edits to it will get removed if the file is opened in a newer version of Excel. Learn more: https://go.microsoft.com/fwlink/?linkid=870924
Comment:
    Cannot be used as the temp difference is less than 20 K</t>
      </text>
    </comment>
    <comment ref="X76" authorId="2" shapeId="0" xr:uid="{F645B4EB-B1EE-4B63-B2F4-BA8DA2FDA247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steam 120</t>
      </text>
    </comment>
    <comment ref="AA76" authorId="3" shapeId="0" xr:uid="{CE210F1C-670F-4A9F-B278-CA6AF28249DF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steam 120</t>
      </text>
    </comment>
    <comment ref="X85" authorId="4" shapeId="0" xr:uid="{BDDAFC87-75A3-4E8A-8320-739F093F51E6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steam 120</t>
      </text>
    </comment>
    <comment ref="AA85" authorId="5" shapeId="0" xr:uid="{1300F299-03AD-40ED-A63D-3CE6850248CD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steam 120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tc={E11E10EE-E5EB-43F7-9D81-AE759A6E7B02}</author>
    <author>tc={3A2D2C07-100F-436F-A1FC-372F044077CB}</author>
    <author>tc={CDF0E965-A6CB-4217-9DCA-FCB3754E30D4}</author>
    <author>tc={1AF89355-3B7C-47DE-830B-B99A0284F608}</author>
    <author>tc={D7561055-FA13-4E0F-B010-492B800FD6AC}</author>
  </authors>
  <commentList>
    <comment ref="A5" authorId="0" shapeId="0" xr:uid="{E11E10EE-E5EB-43F7-9D81-AE759A6E7B0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Before 2nd reactor
</t>
      </text>
    </comment>
    <comment ref="X89" authorId="1" shapeId="0" xr:uid="{3A2D2C07-100F-436F-A1FC-372F044077CB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steam 120</t>
      </text>
    </comment>
    <comment ref="AA89" authorId="2" shapeId="0" xr:uid="{CDF0E965-A6CB-4217-9DCA-FCB3754E30D4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steam 120</t>
      </text>
    </comment>
    <comment ref="X98" authorId="3" shapeId="0" xr:uid="{1AF89355-3B7C-47DE-830B-B99A0284F608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steam 120</t>
      </text>
    </comment>
    <comment ref="AA98" authorId="4" shapeId="0" xr:uid="{D7561055-FA13-4E0F-B010-492B800FD6AC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steam 120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tc={CA8A7F71-4C12-4032-8FC8-EA26BA0CE575}</author>
    <author>tc={95E3DC79-095D-46EA-BF6D-DD4BE0B0CD06}</author>
    <author>tc={4BB25AE6-0594-4BE6-8373-AF52BC627C69}</author>
    <author>tc={CE20312A-8AFC-49E4-A5E8-CE5C15ADF748}</author>
    <author>tc={4D1EAE47-08B2-4F61-9FC8-A40129C46639}</author>
    <author>tc={3DA26A8F-D563-4E92-92E3-8620FDE3AD33}</author>
    <author>tc={917C5803-05F9-4C4D-A843-49E6EEAA2182}</author>
    <author>tc={99E00C0A-8A14-47C7-A482-3C294A953E76}</author>
    <author>tc={2FEB22E3-9BB0-4575-AD97-9CD3D1A225D9}</author>
    <author>tc={3924C5FD-FA9E-4777-98FD-8F60653D213F}</author>
    <author>tc={C043D68B-ACB1-46AB-89F7-C6BF39848185}</author>
    <author>tc={8A3164FC-BE19-41DF-B7BB-1566619489B4}</author>
    <author>tc={1CA9D5ED-594E-4AC7-8128-752972FF89BB}</author>
    <author>tc={F81439FD-1DBF-43E7-9963-625FB28E56AA}</author>
    <author>tc={D4D6890D-13F3-4AAC-A265-D48B887D1CA8}</author>
    <author>tc={BDB5FB0C-1B0C-4F38-BE97-56847D906863}</author>
    <author>tc={5C9B6941-C6DC-4A1F-96AA-D1DE070A99BC}</author>
    <author>tc={04B0BE86-5D90-4AA6-93E5-924A692CFDE6}</author>
    <author>tc={998BF4F1-A357-495C-B79B-518162CC0CB1}</author>
    <author>tc={52208141-C9B5-4862-948C-C645DBFB65A4}</author>
    <author>tc={5C4A6669-70A1-4950-8AC0-BB5FB00571E3}</author>
    <author>tc={4EFAA14B-1C77-4F13-9B73-81D24055FEF0}</author>
    <author>tc={3795F09E-0B16-499F-AD54-BE9C98F4A621}</author>
    <author>tc={8EBED1EF-5549-4147-BEF6-7B8B59A12577}</author>
    <author>tc={261EDA03-0137-4149-BF02-617B16321FDC}</author>
    <author>tc={2A4CDC9D-740C-4D19-AD76-A38E16B4966B}</author>
    <author>tc={6C00C06C-CDDC-422B-A67F-7D4EFC658E9A}</author>
  </authors>
  <commentList>
    <comment ref="C37" authorId="0" shapeId="0" xr:uid="{CA8A7F71-4C12-4032-8FC8-EA26BA0CE575}">
      <text>
        <t>[Threaded comment]
Your version of Excel allows you to read this threaded comment; however, any edits to it will get removed if the file is opened in a newer version of Excel. Learn more: https://go.microsoft.com/fwlink/?linkid=870924
Comment:
    HEATER</t>
      </text>
    </comment>
    <comment ref="K37" authorId="1" shapeId="0" xr:uid="{95E3DC79-095D-46EA-BF6D-DD4BE0B0CD06}">
      <text>
        <t>[Threaded comment]
Your version of Excel allows you to read this threaded comment; however, any edits to it will get removed if the file is opened in a newer version of Excel. Learn more: https://go.microsoft.com/fwlink/?linkid=870924
Comment:
    HEATER</t>
      </text>
    </comment>
    <comment ref="AE39" authorId="2" shapeId="0" xr:uid="{4BB25AE6-0594-4BE6-8373-AF52BC627C69}">
      <text>
        <t>[Threaded comment]
Your version of Excel allows you to read this threaded comment; however, any edits to it will get removed if the file is opened in a newer version of Excel. Learn more: https://go.microsoft.com/fwlink/?linkid=870924
Comment:
    B3</t>
      </text>
    </comment>
    <comment ref="W40" authorId="3" shapeId="0" xr:uid="{CE20312A-8AFC-49E4-A5E8-CE5C15ADF748}">
      <text>
        <t>[Threaded comment]
Your version of Excel allows you to read this threaded comment; however, any edits to it will get removed if the file is opened in a newer version of Excel. Learn more: https://go.microsoft.com/fwlink/?linkid=870924
Comment:
    B3</t>
      </text>
    </comment>
    <comment ref="AE40" authorId="4" shapeId="0" xr:uid="{4D1EAE47-08B2-4F61-9FC8-A40129C46639}">
      <text>
        <t>[Threaded comment]
Your version of Excel allows you to read this threaded comment; however, any edits to it will get removed if the file is opened in a newer version of Excel. Learn more: https://go.microsoft.com/fwlink/?linkid=870924
Comment:
    B6</t>
      </text>
    </comment>
    <comment ref="W41" authorId="5" shapeId="0" xr:uid="{3DA26A8F-D563-4E92-92E3-8620FDE3AD33}">
      <text>
        <t>[Threaded comment]
Your version of Excel allows you to read this threaded comment; however, any edits to it will get removed if the file is opened in a newer version of Excel. Learn more: https://go.microsoft.com/fwlink/?linkid=870924
Comment:
    B6</t>
      </text>
    </comment>
    <comment ref="AE41" authorId="6" shapeId="0" xr:uid="{917C5803-05F9-4C4D-A843-49E6EEAA2182}">
      <text>
        <t>[Threaded comment]
Your version of Excel allows you to read this threaded comment; however, any edits to it will get removed if the file is opened in a newer version of Excel. Learn more: https://go.microsoft.com/fwlink/?linkid=870924
Comment:
    B7</t>
      </text>
    </comment>
    <comment ref="W42" authorId="7" shapeId="0" xr:uid="{99E00C0A-8A14-47C7-A482-3C294A953E76}">
      <text>
        <t>[Threaded comment]
Your version of Excel allows you to read this threaded comment; however, any edits to it will get removed if the file is opened in a newer version of Excel. Learn more: https://go.microsoft.com/fwlink/?linkid=870924
Comment:
    B7</t>
      </text>
    </comment>
    <comment ref="AE42" authorId="8" shapeId="0" xr:uid="{2FEB22E3-9BB0-4575-AD97-9CD3D1A225D9}">
      <text>
        <t>[Threaded comment]
Your version of Excel allows you to read this threaded comment; however, any edits to it will get removed if the file is opened in a newer version of Excel. Learn more: https://go.microsoft.com/fwlink/?linkid=870924
Comment:
    B8</t>
      </text>
    </comment>
    <comment ref="W43" authorId="9" shapeId="0" xr:uid="{3924C5FD-FA9E-4777-98FD-8F60653D213F}">
      <text>
        <t>[Threaded comment]
Your version of Excel allows you to read this threaded comment; however, any edits to it will get removed if the file is opened in a newer version of Excel. Learn more: https://go.microsoft.com/fwlink/?linkid=870924
Comment:
    B8</t>
      </text>
    </comment>
    <comment ref="AE43" authorId="10" shapeId="0" xr:uid="{C043D68B-ACB1-46AB-89F7-C6BF39848185}">
      <text>
        <t>[Threaded comment]
Your version of Excel allows you to read this threaded comment; however, any edits to it will get removed if the file is opened in a newer version of Excel. Learn more: https://go.microsoft.com/fwlink/?linkid=870924
Comment:
    B4</t>
      </text>
    </comment>
    <comment ref="W44" authorId="11" shapeId="0" xr:uid="{8A3164FC-BE19-41DF-B7BB-1566619489B4}">
      <text>
        <t>[Threaded comment]
Your version of Excel allows you to read this threaded comment; however, any edits to it will get removed if the file is opened in a newer version of Excel. Learn more: https://go.microsoft.com/fwlink/?linkid=870924
Comment:
    B4</t>
      </text>
    </comment>
    <comment ref="C45" authorId="12" shapeId="0" xr:uid="{1CA9D5ED-594E-4AC7-8128-752972FF89BB}">
      <text>
        <t>[Threaded comment]
Your version of Excel allows you to read this threaded comment; however, any edits to it will get removed if the file is opened in a newer version of Excel. Learn more: https://go.microsoft.com/fwlink/?linkid=870924
Comment:
    B32</t>
      </text>
    </comment>
    <comment ref="W47" authorId="13" shapeId="0" xr:uid="{F81439FD-1DBF-43E7-9963-625FB28E56AA}">
      <text>
        <t>[Threaded comment]
Your version of Excel allows you to read this threaded comment; however, any edits to it will get removed if the file is opened in a newer version of Excel. Learn more: https://go.microsoft.com/fwlink/?linkid=870924
Comment:
    COOLER</t>
      </text>
    </comment>
    <comment ref="AE48" authorId="14" shapeId="0" xr:uid="{D4D6890D-13F3-4AAC-A265-D48B887D1CA8}">
      <text>
        <t>[Threaded comment]
Your version of Excel allows you to read this threaded comment; however, any edits to it will get removed if the file is opened in a newer version of Excel. Learn more: https://go.microsoft.com/fwlink/?linkid=870924
Comment:
    B3</t>
      </text>
    </comment>
    <comment ref="AE49" authorId="15" shapeId="0" xr:uid="{BDB5FB0C-1B0C-4F38-BE97-56847D906863}">
      <text>
        <t>[Threaded comment]
Your version of Excel allows you to read this threaded comment; however, any edits to it will get removed if the file is opened in a newer version of Excel. Learn more: https://go.microsoft.com/fwlink/?linkid=870924
Comment:
    COOLER</t>
      </text>
    </comment>
    <comment ref="K50" authorId="16" shapeId="0" xr:uid="{5C9B6941-C6DC-4A1F-96AA-D1DE070A99BC}">
      <text>
        <t>[Threaded comment]
Your version of Excel allows you to read this threaded comment; however, any edits to it will get removed if the file is opened in a newer version of Excel. Learn more: https://go.microsoft.com/fwlink/?linkid=870924
Comment:
    B32</t>
      </text>
    </comment>
    <comment ref="AE50" authorId="17" shapeId="0" xr:uid="{04B0BE86-5D90-4AA6-93E5-924A692CFDE6}">
      <text>
        <t>[Threaded comment]
Your version of Excel allows you to read this threaded comment; however, any edits to it will get removed if the file is opened in a newer version of Excel. Learn more: https://go.microsoft.com/fwlink/?linkid=870924
Comment:
    B6</t>
      </text>
    </comment>
    <comment ref="W55" authorId="18" shapeId="0" xr:uid="{998BF4F1-A357-495C-B79B-518162CC0CB1}">
      <text>
        <t>[Threaded comment]
Your version of Excel allows you to read this threaded comment; however, any edits to it will get removed if the file is opened in a newer version of Excel. Learn more: https://go.microsoft.com/fwlink/?linkid=870924
Comment:
    B22</t>
      </text>
    </comment>
    <comment ref="AE55" authorId="19" shapeId="0" xr:uid="{52208141-C9B5-4862-948C-C645DBFB65A4}">
      <text>
        <t>[Threaded comment]
Your version of Excel allows you to read this threaded comment; however, any edits to it will get removed if the file is opened in a newer version of Excel. Learn more: https://go.microsoft.com/fwlink/?linkid=870924
Comment:
    B7</t>
      </text>
    </comment>
    <comment ref="AE58" authorId="20" shapeId="0" xr:uid="{5C4A6669-70A1-4950-8AC0-BB5FB00571E3}">
      <text>
        <t>[Threaded comment]
Your version of Excel allows you to read this threaded comment; however, any edits to it will get removed if the file is opened in a newer version of Excel. Learn more: https://go.microsoft.com/fwlink/?linkid=870924
Comment:
    B8</t>
      </text>
    </comment>
    <comment ref="K59" authorId="21" shapeId="0" xr:uid="{4EFAA14B-1C77-4F13-9B73-81D24055FEF0}">
      <text>
        <t>[Threaded comment]
Your version of Excel allows you to read this threaded comment; however, any edits to it will get removed if the file is opened in a newer version of Excel. Learn more: https://go.microsoft.com/fwlink/?linkid=870924
Comment:
    B32</t>
      </text>
    </comment>
    <comment ref="K60" authorId="22" shapeId="0" xr:uid="{3795F09E-0B16-499F-AD54-BE9C98F4A621}">
      <text>
        <t>[Threaded comment]
Your version of Excel allows you to read this threaded comment; however, any edits to it will get removed if the file is opened in a newer version of Excel. Learn more: https://go.microsoft.com/fwlink/?linkid=870924
Comment:
    HEATER</t>
      </text>
    </comment>
    <comment ref="AE66" authorId="23" shapeId="0" xr:uid="{8EBED1EF-5549-4147-BEF6-7B8B59A12577}">
      <text>
        <t>[Threaded comment]
Your version of Excel allows you to read this threaded comment; however, any edits to it will get removed if the file is opened in a newer version of Excel. Learn more: https://go.microsoft.com/fwlink/?linkid=870924
Comment:
    B4</t>
      </text>
    </comment>
    <comment ref="AE68" authorId="24" shapeId="0" xr:uid="{261EDA03-0137-4149-BF02-617B16321FDC}">
      <text>
        <t>[Threaded comment]
Your version of Excel allows you to read this threaded comment; however, any edits to it will get removed if the file is opened in a newer version of Excel. Learn more: https://go.microsoft.com/fwlink/?linkid=870924
Comment:
    B22</t>
      </text>
    </comment>
    <comment ref="AE69" authorId="25" shapeId="0" xr:uid="{2A4CDC9D-740C-4D19-AD76-A38E16B4966B}">
      <text>
        <t>[Threaded comment]
Your version of Excel allows you to read this threaded comment; however, any edits to it will get removed if the file is opened in a newer version of Excel. Learn more: https://go.microsoft.com/fwlink/?linkid=870924
Comment:
    B22</t>
      </text>
    </comment>
    <comment ref="AE70" authorId="26" shapeId="0" xr:uid="{6C00C06C-CDDC-422B-A67F-7D4EFC658E9A}">
      <text>
        <t>[Threaded comment]
Your version of Excel allows you to read this threaded comment; however, any edits to it will get removed if the file is opened in a newer version of Excel. Learn more: https://go.microsoft.com/fwlink/?linkid=870924
Comment:
    COOLER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tc={39C8B474-B673-476C-B975-06288132B06E}</author>
    <author>tc={FA31E5F9-93EB-44AF-8DDD-1E78262DB4EC}</author>
  </authors>
  <commentList>
    <comment ref="A25" authorId="0" shapeId="0" xr:uid="{39C8B474-B673-476C-B975-06288132B06E}">
      <text>
        <t>[Threaded comment]
Your version of Excel allows you to read this threaded comment; however, any edits to it will get removed if the file is opened in a newer version of Excel. Learn more: https://go.microsoft.com/fwlink/?linkid=870924
Comment:
    feed</t>
      </text>
    </comment>
    <comment ref="A26" authorId="1" shapeId="0" xr:uid="{FA31E5F9-93EB-44AF-8DDD-1E78262DB4EC}">
      <text>
        <t>[Threaded comment]
Your version of Excel allows you to read this threaded comment; however, any edits to it will get removed if the file is opened in a newer version of Excel. Learn more: https://go.microsoft.com/fwlink/?linkid=870924
Comment:
    cooler after reactor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tc={610A6F55-3C21-44BC-8B99-638C7626D2A0}</author>
    <author>tc={7E9724CC-A024-43CF-A69C-54CA73EFE7A9}</author>
    <author>tc={F81CA0E3-4C84-42CB-AA7E-5CCEC6187CD1}</author>
    <author>tc={236B74E8-9FDA-44AA-8A11-F5A0CC69E449}</author>
    <author>tc={392FE214-4774-4832-8C83-E5A83A3A6652}</author>
    <author>tc={2813EDA2-C19A-4288-973D-1D0EB93B0637}</author>
    <author>tc={F5BBA2E2-E0C8-45F6-9145-1156BF04E37C}</author>
    <author>tc={5234C35D-3B35-46A3-B19C-E34DD8FD4540}</author>
    <author>tc={E2CD93E0-CE16-45EB-A8CA-63AEBEB905FE}</author>
  </authors>
  <commentList>
    <comment ref="B2" authorId="0" shapeId="0" xr:uid="{610A6F55-3C21-44BC-8B99-638C7626D2A0}">
      <text>
        <t>[Threaded comment]
Your version of Excel allows you to read this threaded comment; however, any edits to it will get removed if the file is opened in a newer version of Excel. Learn more: https://go.microsoft.com/fwlink/?linkid=870924
Comment:
    HEATER</t>
      </text>
    </comment>
    <comment ref="B13" authorId="1" shapeId="0" xr:uid="{7E9724CC-A024-43CF-A69C-54CA73EFE7A9}">
      <text>
        <t>[Threaded comment]
Your version of Excel allows you to read this threaded comment; however, any edits to it will get removed if the file is opened in a newer version of Excel. Learn more: https://go.microsoft.com/fwlink/?linkid=870924
Comment:
    B32</t>
      </text>
    </comment>
    <comment ref="B18" authorId="2" shapeId="0" xr:uid="{F81CA0E3-4C84-42CB-AA7E-5CCEC6187CD1}">
      <text>
        <t>[Threaded comment]
Your version of Excel allows you to read this threaded comment; however, any edits to it will get removed if the file is opened in a newer version of Excel. Learn more: https://go.microsoft.com/fwlink/?linkid=870924
Comment:
    COOLER</t>
      </text>
    </comment>
    <comment ref="B29" authorId="3" shapeId="0" xr:uid="{236B74E8-9FDA-44AA-8A11-F5A0CC69E449}">
      <text>
        <t>[Threaded comment]
Your version of Excel allows you to read this threaded comment; however, any edits to it will get removed if the file is opened in a newer version of Excel. Learn more: https://go.microsoft.com/fwlink/?linkid=870924
Comment:
    B3</t>
      </text>
    </comment>
    <comment ref="B30" authorId="4" shapeId="0" xr:uid="{392FE214-4774-4832-8C83-E5A83A3A6652}">
      <text>
        <t>[Threaded comment]
Your version of Excel allows you to read this threaded comment; however, any edits to it will get removed if the file is opened in a newer version of Excel. Learn more: https://go.microsoft.com/fwlink/?linkid=870924
Comment:
    B6</t>
      </text>
    </comment>
    <comment ref="B31" authorId="5" shapeId="0" xr:uid="{2813EDA2-C19A-4288-973D-1D0EB93B0637}">
      <text>
        <t>[Threaded comment]
Your version of Excel allows you to read this threaded comment; however, any edits to it will get removed if the file is opened in a newer version of Excel. Learn more: https://go.microsoft.com/fwlink/?linkid=870924
Comment:
    B7</t>
      </text>
    </comment>
    <comment ref="B32" authorId="6" shapeId="0" xr:uid="{F5BBA2E2-E0C8-45F6-9145-1156BF04E37C}">
      <text>
        <t>[Threaded comment]
Your version of Excel allows you to read this threaded comment; however, any edits to it will get removed if the file is opened in a newer version of Excel. Learn more: https://go.microsoft.com/fwlink/?linkid=870924
Comment:
    B8</t>
      </text>
    </comment>
    <comment ref="B33" authorId="7" shapeId="0" xr:uid="{5234C35D-3B35-46A3-B19C-E34DD8FD4540}">
      <text>
        <t>[Threaded comment]
Your version of Excel allows you to read this threaded comment; however, any edits to it will get removed if the file is opened in a newer version of Excel. Learn more: https://go.microsoft.com/fwlink/?linkid=870924
Comment:
    B4</t>
      </text>
    </comment>
    <comment ref="B34" authorId="8" shapeId="0" xr:uid="{E2CD93E0-CE16-45EB-A8CA-63AEBEB905FE}">
      <text>
        <t>[Threaded comment]
Your version of Excel allows you to read this threaded comment; however, any edits to it will get removed if the file is opened in a newer version of Excel. Learn more: https://go.microsoft.com/fwlink/?linkid=870924
Comment:
    B22</t>
      </text>
    </comment>
  </commentList>
</comments>
</file>

<file path=xl/sharedStrings.xml><?xml version="1.0" encoding="utf-8"?>
<sst xmlns="http://schemas.openxmlformats.org/spreadsheetml/2006/main" count="1789" uniqueCount="482">
  <si>
    <t>Temperature In</t>
  </si>
  <si>
    <t>Temperature Out</t>
  </si>
  <si>
    <t>Heat duty (kW)</t>
  </si>
  <si>
    <r>
      <t xml:space="preserve">FCp (kW </t>
    </r>
    <r>
      <rPr>
        <sz val="11"/>
        <color theme="1"/>
        <rFont val="Calibri"/>
        <family val="2"/>
      </rPr>
      <t>°C</t>
    </r>
    <r>
      <rPr>
        <sz val="8.8000000000000007"/>
        <color theme="1"/>
        <rFont val="Calibri"/>
        <family val="2"/>
      </rPr>
      <t>)</t>
    </r>
  </si>
  <si>
    <t xml:space="preserve">Inlet </t>
  </si>
  <si>
    <t>Outlet</t>
  </si>
  <si>
    <t>Vap Frac</t>
    <phoneticPr fontId="3" type="noConversion"/>
  </si>
  <si>
    <t>Liq Sat Temp</t>
    <phoneticPr fontId="3" type="noConversion"/>
  </si>
  <si>
    <t>Vap Sat Temp</t>
    <phoneticPr fontId="3" type="noConversion"/>
  </si>
  <si>
    <t xml:space="preserve">Tin </t>
  </si>
  <si>
    <t>Tout</t>
  </si>
  <si>
    <t>FCp (kW °C)</t>
  </si>
  <si>
    <t>Phases</t>
  </si>
  <si>
    <t>HEAT1</t>
  </si>
  <si>
    <t>HEATER</t>
  </si>
  <si>
    <t>Liquid</t>
  </si>
  <si>
    <t>Vapour</t>
  </si>
  <si>
    <t>HEAT1 - 1</t>
  </si>
  <si>
    <t>HEAT2</t>
  </si>
  <si>
    <t>B32</t>
  </si>
  <si>
    <t>HEAT1 - 2</t>
  </si>
  <si>
    <t>Mixed</t>
  </si>
  <si>
    <t>COOL1</t>
  </si>
  <si>
    <t>COOLER</t>
  </si>
  <si>
    <t>Mixed</t>
    <phoneticPr fontId="3" type="noConversion"/>
  </si>
  <si>
    <t>Split into 2 streams</t>
  </si>
  <si>
    <t>HEAT1 - 3</t>
  </si>
  <si>
    <t>B3</t>
  </si>
  <si>
    <t>1 stream</t>
  </si>
  <si>
    <t>B6</t>
  </si>
  <si>
    <t>COOL1-1</t>
  </si>
  <si>
    <t>B7</t>
  </si>
  <si>
    <t>COOL1-2</t>
  </si>
  <si>
    <t>B8</t>
  </si>
  <si>
    <t>3 streams</t>
  </si>
  <si>
    <t>B4</t>
  </si>
  <si>
    <t>B22</t>
  </si>
  <si>
    <t>B8-1</t>
  </si>
  <si>
    <t>B8-2</t>
  </si>
  <si>
    <t>First Law Analysis</t>
  </si>
  <si>
    <t>B8-3</t>
  </si>
  <si>
    <t>ƩQh</t>
  </si>
  <si>
    <t>ƩQc</t>
  </si>
  <si>
    <t>B22-1</t>
  </si>
  <si>
    <t xml:space="preserve">Vapour </t>
  </si>
  <si>
    <t xml:space="preserve">Q total </t>
  </si>
  <si>
    <t xml:space="preserve">Extra heating </t>
  </si>
  <si>
    <t>B22-2</t>
  </si>
  <si>
    <t xml:space="preserve">  </t>
  </si>
  <si>
    <t>B22-3</t>
  </si>
  <si>
    <t>Q total</t>
  </si>
  <si>
    <t>Error</t>
  </si>
  <si>
    <t>Hot Streams</t>
  </si>
  <si>
    <t>T</t>
  </si>
  <si>
    <t>Enthalpy (kW)</t>
  </si>
  <si>
    <t>TEMP</t>
  </si>
  <si>
    <r>
      <t>T Interval (</t>
    </r>
    <r>
      <rPr>
        <sz val="11"/>
        <color theme="1"/>
        <rFont val="Calibri"/>
        <family val="2"/>
      </rPr>
      <t>°C)</t>
    </r>
  </si>
  <si>
    <t xml:space="preserve">Streams Present </t>
  </si>
  <si>
    <t>Sum of MCp (kW/°C)</t>
  </si>
  <si>
    <t>Ha (kW)</t>
  </si>
  <si>
    <t>Hb (kW)</t>
  </si>
  <si>
    <t>Ta</t>
  </si>
  <si>
    <t>Tb</t>
  </si>
  <si>
    <t>HEAT1 - 2/B32</t>
  </si>
  <si>
    <t>HEAT1 - 2/HEAT 1 - 3</t>
  </si>
  <si>
    <t>Cold Streams</t>
  </si>
  <si>
    <t>B3/B6/B7/B8-3/B4</t>
  </si>
  <si>
    <t>B3/B6/B7/B4/B8-2</t>
  </si>
  <si>
    <t>B6/B7/B4/B8-2/COOL1-2</t>
  </si>
  <si>
    <t>B7/B4/B8-2/COOL1-2</t>
  </si>
  <si>
    <t>B4/B8-2/COOL1-2</t>
  </si>
  <si>
    <t>B4/B8-2/COOL1-1</t>
  </si>
  <si>
    <t>B4/COOL1-1/B8-1</t>
  </si>
  <si>
    <t>B4/COOL1-1</t>
  </si>
  <si>
    <t>COOL1-1/B22-3</t>
  </si>
  <si>
    <t>COOL1-1/B22-2</t>
  </si>
  <si>
    <t>COOL1-1/B22-1</t>
  </si>
  <si>
    <t xml:space="preserve">Become the cold stream </t>
  </si>
  <si>
    <t xml:space="preserve">Become the hot stream </t>
  </si>
  <si>
    <t>Tin</t>
  </si>
  <si>
    <t xml:space="preserve">Extra heating needed </t>
  </si>
  <si>
    <t>C1</t>
  </si>
  <si>
    <t>C2</t>
  </si>
  <si>
    <t xml:space="preserve">Cold stream T interval </t>
  </si>
  <si>
    <t>Q hot (kW)</t>
  </si>
  <si>
    <t>Q cold (kW)</t>
  </si>
  <si>
    <t>Surplus = Q hot - Q cold (kW)</t>
  </si>
  <si>
    <t>H1</t>
  </si>
  <si>
    <t>456.85-380.15</t>
  </si>
  <si>
    <t>H2</t>
  </si>
  <si>
    <t>H1/C1</t>
  </si>
  <si>
    <t>380.15-192</t>
  </si>
  <si>
    <t>H3</t>
  </si>
  <si>
    <t>Error (%)</t>
  </si>
  <si>
    <t>C1/C2/H1</t>
  </si>
  <si>
    <t>192-172</t>
  </si>
  <si>
    <t>H4</t>
  </si>
  <si>
    <t>H1/C1/C2/H7</t>
  </si>
  <si>
    <t>172-145.85</t>
  </si>
  <si>
    <t>H5</t>
  </si>
  <si>
    <t>C1/C2/H1/H7</t>
  </si>
  <si>
    <t>145.85-119.04</t>
  </si>
  <si>
    <t>H6</t>
  </si>
  <si>
    <t>C1/H1</t>
  </si>
  <si>
    <t>119.04-117.05</t>
  </si>
  <si>
    <t>H7</t>
  </si>
  <si>
    <t>C1/H1/H6</t>
  </si>
  <si>
    <t>117.05-83.81</t>
  </si>
  <si>
    <t>C1/H1/H5/H6</t>
  </si>
  <si>
    <t>83.81-57.18</t>
  </si>
  <si>
    <t>C1/H1/H4/H5/H6</t>
  </si>
  <si>
    <t>57.18-52.67</t>
  </si>
  <si>
    <t>H1/H4/H5/H6</t>
  </si>
  <si>
    <t>52.67-45.15</t>
  </si>
  <si>
    <t>H1/H3/H4/H5/H6</t>
  </si>
  <si>
    <t>45.14-45</t>
  </si>
  <si>
    <t>H2/H3/H4/H5/H6</t>
  </si>
  <si>
    <t>45-35</t>
  </si>
  <si>
    <t>No heat added</t>
  </si>
  <si>
    <t>Heat added</t>
  </si>
  <si>
    <t>Composite Curve</t>
  </si>
  <si>
    <t xml:space="preserve">Cascade Diagram </t>
  </si>
  <si>
    <t>FCp hot is less than FCp cold</t>
  </si>
  <si>
    <t>FCp hot is more than FCp cold</t>
  </si>
  <si>
    <t>Pinch Point = 83.81</t>
  </si>
  <si>
    <t>None</t>
  </si>
  <si>
    <t>At hot end</t>
  </si>
  <si>
    <t>At Cold End</t>
  </si>
  <si>
    <t>Do H1 and C1</t>
  </si>
  <si>
    <t>Tend</t>
  </si>
  <si>
    <t>Minimum(C1,H5)</t>
  </si>
  <si>
    <t>Minimum(C1,H1)</t>
  </si>
  <si>
    <t>External Heating</t>
  </si>
  <si>
    <t>C1 and H6</t>
  </si>
  <si>
    <t>Minimum(C1,H6)</t>
  </si>
  <si>
    <t>C1 and H7</t>
  </si>
  <si>
    <t xml:space="preserve">C1 </t>
  </si>
  <si>
    <t>Min</t>
  </si>
  <si>
    <t xml:space="preserve">External cooling </t>
  </si>
  <si>
    <t>Cooling needed</t>
  </si>
  <si>
    <t>External heating</t>
  </si>
  <si>
    <t>Heating needed</t>
  </si>
  <si>
    <t>Heat Duty save</t>
  </si>
  <si>
    <t>C3</t>
  </si>
  <si>
    <t>C4</t>
  </si>
  <si>
    <t>C5</t>
  </si>
  <si>
    <t>C6</t>
  </si>
  <si>
    <t>C7</t>
  </si>
  <si>
    <t>M&amp;S</t>
  </si>
  <si>
    <t>Fm</t>
  </si>
  <si>
    <t>Fd</t>
  </si>
  <si>
    <t>Fp</t>
  </si>
  <si>
    <t>Fc</t>
  </si>
  <si>
    <t>Heat duty KW</t>
  </si>
  <si>
    <t>U W/m^2K</t>
  </si>
  <si>
    <t>Water in</t>
  </si>
  <si>
    <t>Water out</t>
  </si>
  <si>
    <t>Temp in process stream</t>
  </si>
  <si>
    <t>Temp out process stream</t>
  </si>
  <si>
    <t>T1</t>
  </si>
  <si>
    <t>T2</t>
  </si>
  <si>
    <t>TLM</t>
  </si>
  <si>
    <t>A m^2</t>
  </si>
  <si>
    <t>m^2 to ft^2</t>
  </si>
  <si>
    <t>A ft^2</t>
  </si>
  <si>
    <t>Installed cost $</t>
  </si>
  <si>
    <t>Annualised cost $/yr</t>
  </si>
  <si>
    <t>Opex</t>
  </si>
  <si>
    <t>cooling water cost</t>
  </si>
  <si>
    <t>Cp*DT KJ/kg</t>
  </si>
  <si>
    <t>Operating hours</t>
  </si>
  <si>
    <t>Seconds to hours</t>
  </si>
  <si>
    <t>Price of water $/kg</t>
  </si>
  <si>
    <t>Electricity cost $/hp.h</t>
  </si>
  <si>
    <t>Tsat C</t>
  </si>
  <si>
    <t>Hvap</t>
  </si>
  <si>
    <t>Cost</t>
  </si>
  <si>
    <t>Pressure</t>
  </si>
  <si>
    <t>Electricity cost $/KWh</t>
  </si>
  <si>
    <t>Conversion hp.h to KWh</t>
  </si>
  <si>
    <t>Current cost $/Kwh</t>
  </si>
  <si>
    <t>Real refridgerant cost $/kg</t>
  </si>
  <si>
    <t>Heat duty Mbtu/hr</t>
  </si>
  <si>
    <t>Normalised cost</t>
  </si>
  <si>
    <t>Steam in &amp; out</t>
  </si>
  <si>
    <t>Oil cost per  10^6 Btu</t>
  </si>
  <si>
    <t>Conversion KW to Mbtu/hr</t>
  </si>
  <si>
    <t>operation hours</t>
  </si>
  <si>
    <t>Heating cost $/yr</t>
  </si>
  <si>
    <t xml:space="preserve">Operating Cost </t>
  </si>
  <si>
    <t>Heating Duty (Btu/hr)</t>
  </si>
  <si>
    <t>Highest process stream</t>
  </si>
  <si>
    <t>Max temp</t>
  </si>
  <si>
    <t>Cost ($/1000 lb)</t>
  </si>
  <si>
    <t>Steam Temperature C</t>
  </si>
  <si>
    <t>Pressure psi</t>
  </si>
  <si>
    <t>Mass of steam required lb/h</t>
  </si>
  <si>
    <t>Cost of steam $/h</t>
  </si>
  <si>
    <t>HEAT EXCHANGER INTEGRATED COST</t>
  </si>
  <si>
    <t>DATA</t>
  </si>
  <si>
    <t>HS7/CS1</t>
  </si>
  <si>
    <t xml:space="preserve">Tinitial </t>
  </si>
  <si>
    <t>R10/HS2</t>
  </si>
  <si>
    <t>HS1/CS1</t>
  </si>
  <si>
    <t xml:space="preserve">T initial </t>
  </si>
  <si>
    <t>CS2/HS1</t>
  </si>
  <si>
    <t>HS7</t>
  </si>
  <si>
    <t>HS1</t>
  </si>
  <si>
    <t>CS1</t>
  </si>
  <si>
    <t>R10</t>
  </si>
  <si>
    <t>CS2</t>
  </si>
  <si>
    <t>H/C COMP</t>
  </si>
  <si>
    <t xml:space="preserve">COSTING </t>
  </si>
  <si>
    <t>Q (kW)</t>
  </si>
  <si>
    <t>THin</t>
  </si>
  <si>
    <t>TCout</t>
  </si>
  <si>
    <t>Delta T1</t>
  </si>
  <si>
    <t>Thout</t>
  </si>
  <si>
    <t>Tcin</t>
  </si>
  <si>
    <t>Delta T2</t>
  </si>
  <si>
    <t>U (W/m^2 K)</t>
  </si>
  <si>
    <t>A (m^2)</t>
  </si>
  <si>
    <t>H8</t>
  </si>
  <si>
    <t>H9</t>
  </si>
  <si>
    <t>H10</t>
  </si>
  <si>
    <t>H11</t>
  </si>
  <si>
    <t>H12</t>
  </si>
  <si>
    <t>Installed Cost ($)</t>
  </si>
  <si>
    <t>Annualised Cost ($)</t>
  </si>
  <si>
    <t>SAVINGS</t>
  </si>
  <si>
    <t>HEX</t>
  </si>
  <si>
    <t>CapEx Initial</t>
  </si>
  <si>
    <t>CapEx New</t>
  </si>
  <si>
    <t>CapEx Saved</t>
  </si>
  <si>
    <t>OpEx Initial</t>
  </si>
  <si>
    <t>Opex New</t>
  </si>
  <si>
    <t>OpEx Saved</t>
  </si>
  <si>
    <t xml:space="preserve">New Heat Exchanger Cost </t>
  </si>
  <si>
    <t>-</t>
  </si>
  <si>
    <t xml:space="preserve">Total Savings </t>
  </si>
  <si>
    <t>TOTAL</t>
  </si>
  <si>
    <t>Streams</t>
  </si>
  <si>
    <t>Energ Saveed</t>
  </si>
  <si>
    <t>C3/H1</t>
  </si>
  <si>
    <t>C2/H1</t>
  </si>
  <si>
    <t>C2/C4/H1</t>
  </si>
  <si>
    <t>C2/C4/H1/H10</t>
  </si>
  <si>
    <t>C2/H1/H10</t>
  </si>
  <si>
    <t>C1/H1/H10</t>
  </si>
  <si>
    <t>C1/H1/H11</t>
  </si>
  <si>
    <t>C1/H1/H12</t>
  </si>
  <si>
    <t>C1/H1/H9</t>
  </si>
  <si>
    <t>C1/H1/H6/H9</t>
  </si>
  <si>
    <t>C1/H1/H7/H9</t>
  </si>
  <si>
    <t>C1/H2/H7/H9</t>
  </si>
  <si>
    <t>C1/H2/H5/H7/H9</t>
  </si>
  <si>
    <t>H2/H4/H5/H7/H9</t>
  </si>
  <si>
    <t>H3/H4/H5/H7/H9</t>
  </si>
  <si>
    <t>H3/H4/H5/H8/H9</t>
  </si>
  <si>
    <t>CASCADE DIAGRAM</t>
  </si>
  <si>
    <t>No Heat Added</t>
  </si>
  <si>
    <t>Heat Added</t>
  </si>
  <si>
    <t>Q Available (Cold)</t>
  </si>
  <si>
    <t>Q Available (Hot)</t>
  </si>
  <si>
    <t xml:space="preserve">Temp </t>
  </si>
  <si>
    <t xml:space="preserve">Heat </t>
  </si>
  <si>
    <t>H7/C1</t>
  </si>
  <si>
    <t>C1/H11</t>
  </si>
  <si>
    <t>Tinitial</t>
  </si>
  <si>
    <t>MIN</t>
  </si>
  <si>
    <t>C1/H10</t>
  </si>
  <si>
    <t>PINCH POINT</t>
  </si>
  <si>
    <t>KW</t>
  </si>
  <si>
    <t>Cooling</t>
  </si>
  <si>
    <t>Temp not exceeding 100</t>
  </si>
  <si>
    <t>Extra Heating KW</t>
  </si>
  <si>
    <t>Conversion KW to BTU/hr</t>
  </si>
  <si>
    <t>BTU/hr</t>
  </si>
  <si>
    <t>Steam Hvap Btu/lb</t>
  </si>
  <si>
    <t>Steam required lb/hr</t>
  </si>
  <si>
    <t>Cost $/1000lb</t>
  </si>
  <si>
    <t>Total cost $/hr</t>
  </si>
  <si>
    <t>Cost $/yr</t>
  </si>
  <si>
    <t>Temp not exceeding 147</t>
  </si>
  <si>
    <t>TOTAL HEATING COST $/yr</t>
  </si>
  <si>
    <t>Cooling required KW</t>
  </si>
  <si>
    <t>Water in C</t>
  </si>
  <si>
    <t>Water Out C</t>
  </si>
  <si>
    <t>Cp of water KJ/kg</t>
  </si>
  <si>
    <t>Mass of water required kg/s</t>
  </si>
  <si>
    <t>Mass of water required kg/h</t>
  </si>
  <si>
    <t>density of water kg/m^3</t>
  </si>
  <si>
    <t>Volumetric flow required of water m^3/hr</t>
  </si>
  <si>
    <t xml:space="preserve">Price of water $/1000m^3 </t>
  </si>
  <si>
    <t>Total cooling $/hr</t>
  </si>
  <si>
    <t>TOTAL COOLING COST $/yr</t>
  </si>
  <si>
    <t>TOTAL HEATING + COOLING</t>
  </si>
  <si>
    <t>EP 5</t>
  </si>
  <si>
    <t>HEATER/COOLER COMPONENT</t>
  </si>
  <si>
    <t>D4</t>
  </si>
  <si>
    <t>CS3/HS1</t>
  </si>
  <si>
    <t>CS3</t>
  </si>
  <si>
    <t>CS4</t>
  </si>
  <si>
    <t>CS2/CS4/HS1</t>
  </si>
  <si>
    <t>D4 REBOILER</t>
  </si>
  <si>
    <t>R4</t>
  </si>
  <si>
    <t>CS2/CS4/HS1/HS10</t>
  </si>
  <si>
    <t>D10 REBOILER</t>
  </si>
  <si>
    <t>CS2/CS4/HS1/HS10/R4</t>
  </si>
  <si>
    <t>D10</t>
  </si>
  <si>
    <t>HS2</t>
  </si>
  <si>
    <t>CS2/HS1/HS10</t>
  </si>
  <si>
    <t>HS3</t>
  </si>
  <si>
    <t>CS1/HS1/HS10</t>
  </si>
  <si>
    <t>HS4</t>
  </si>
  <si>
    <t>CS1/HS1/HS11</t>
  </si>
  <si>
    <t>HS5</t>
  </si>
  <si>
    <t>CS1/HS1/HS12</t>
  </si>
  <si>
    <t>HS6</t>
  </si>
  <si>
    <t>CS1/HS1</t>
  </si>
  <si>
    <t>CS1/HS1/HS9</t>
  </si>
  <si>
    <t>HS8</t>
  </si>
  <si>
    <t>CS1/HS1/HS9/D4</t>
  </si>
  <si>
    <t>HS9</t>
  </si>
  <si>
    <t>CS1/HS1/H9</t>
  </si>
  <si>
    <t>HS10</t>
  </si>
  <si>
    <t>CS1/HS1/HS6/HS9</t>
  </si>
  <si>
    <t>HS11</t>
  </si>
  <si>
    <t>CS1/HS1/HS7/HS9</t>
  </si>
  <si>
    <t>HS12</t>
  </si>
  <si>
    <t>CS1/HS2/HS7/HS9</t>
  </si>
  <si>
    <t>D4 CONDENSER</t>
  </si>
  <si>
    <t>CS1/HS2/HS7/HS9/R10</t>
  </si>
  <si>
    <t>D10 CONDENSER</t>
  </si>
  <si>
    <t>CS1/HS2/HS5/HS7/HS9</t>
  </si>
  <si>
    <t>HS2/HS4/HS5/HS7/HS9</t>
  </si>
  <si>
    <t>NO HEAT ADDED</t>
  </si>
  <si>
    <t>HEAT ADDED</t>
  </si>
  <si>
    <t>HS3/HS4/HS5/HS7/HS9</t>
  </si>
  <si>
    <t>HS3/HS4/HS5/HS7/HS9/D10</t>
  </si>
  <si>
    <t>HS3/HS4/HS5/HS8/HS9</t>
  </si>
  <si>
    <t>Total Q</t>
  </si>
  <si>
    <t>Initial Q</t>
  </si>
  <si>
    <t>Stream</t>
  </si>
  <si>
    <t>FCp (kW/K)</t>
  </si>
  <si>
    <t>Available Pairs @ Pinch Point</t>
  </si>
  <si>
    <t>H9/C1</t>
  </si>
  <si>
    <t>CS4/D4</t>
  </si>
  <si>
    <t xml:space="preserve">Difference from initial </t>
  </si>
  <si>
    <t>How much energy we saved</t>
  </si>
  <si>
    <t>t</t>
  </si>
  <si>
    <t>FEED</t>
  </si>
  <si>
    <t>D7 COND</t>
  </si>
  <si>
    <t>FEED/D10 REB</t>
  </si>
  <si>
    <t>Cooler after Flash1, D1, D2, D3, B24</t>
  </si>
  <si>
    <t>FEED/D1 REB</t>
  </si>
  <si>
    <t>Cooler after Flash1, D1, D2, D3, B24/D9 COND</t>
  </si>
  <si>
    <t>Cooler after Flash1, D1, D2, D3, B24/D9 COND/D10 COND</t>
  </si>
  <si>
    <t>FEED/D3 REB</t>
  </si>
  <si>
    <t>FEED/D7 REB</t>
  </si>
  <si>
    <t>FEED/D9 REB</t>
  </si>
  <si>
    <t>FEED/D5 REB</t>
  </si>
  <si>
    <t>FEED/B32</t>
  </si>
  <si>
    <t>FEED/B32/D2 REB</t>
  </si>
  <si>
    <t>FEED/B32/D4 REB</t>
  </si>
  <si>
    <t>FEED/B32/D8 REB</t>
  </si>
  <si>
    <t>FEED/B32/D6 REB</t>
  </si>
  <si>
    <t>T in °C</t>
  </si>
  <si>
    <t>T out °C</t>
  </si>
  <si>
    <t>Delta T</t>
  </si>
  <si>
    <t>Heat Duty, Q (kW)</t>
  </si>
  <si>
    <t>Heat Duty, Q(kW)</t>
  </si>
  <si>
    <t>Feed</t>
  </si>
  <si>
    <t>CRYSTALLISER</t>
  </si>
  <si>
    <t>DECAN</t>
  </si>
  <si>
    <t>D10 REB</t>
  </si>
  <si>
    <t>FLASH2</t>
  </si>
  <si>
    <t>Cooler after Flash 1</t>
  </si>
  <si>
    <t>D1 REB</t>
  </si>
  <si>
    <t>Cooler after D1</t>
  </si>
  <si>
    <t>D3 REB</t>
  </si>
  <si>
    <t>Cooler after D3</t>
  </si>
  <si>
    <t xml:space="preserve">D7 REB </t>
  </si>
  <si>
    <t>Cooler after D2</t>
  </si>
  <si>
    <t xml:space="preserve">D9 REB </t>
  </si>
  <si>
    <t>Cooler after B24 Mixer</t>
  </si>
  <si>
    <t>D5 REB</t>
  </si>
  <si>
    <t>D9 COND</t>
  </si>
  <si>
    <t>Heater before 2nd Reactor</t>
  </si>
  <si>
    <t>D10 COND</t>
  </si>
  <si>
    <t>D2 REB</t>
  </si>
  <si>
    <t>D4 REB</t>
  </si>
  <si>
    <t>Reactor Effluent</t>
  </si>
  <si>
    <t xml:space="preserve">D8 REB </t>
  </si>
  <si>
    <t>D1 COND</t>
  </si>
  <si>
    <t>D6 REB</t>
  </si>
  <si>
    <t>D8 COND</t>
  </si>
  <si>
    <t>D3 COND</t>
  </si>
  <si>
    <t>D2 COND</t>
  </si>
  <si>
    <t>D5 COND</t>
  </si>
  <si>
    <t>D4 COND</t>
  </si>
  <si>
    <t>D6 COND</t>
  </si>
  <si>
    <t>Cooler after 2nd Reactor</t>
  </si>
  <si>
    <t>heat integration</t>
  </si>
  <si>
    <t>components</t>
  </si>
  <si>
    <t>Temperature IN</t>
  </si>
  <si>
    <t>Temperature OUT</t>
  </si>
  <si>
    <t>duty (kW)</t>
  </si>
  <si>
    <t>Distillation Column 1 condenser</t>
  </si>
  <si>
    <t>SUM COOLING</t>
  </si>
  <si>
    <t>SUM HEATING</t>
  </si>
  <si>
    <t>Distillation Column 1 reboiler</t>
  </si>
  <si>
    <t>Distillation Column 2 condenser</t>
  </si>
  <si>
    <t>Distillation Column 2 reboiler</t>
  </si>
  <si>
    <t>NET</t>
  </si>
  <si>
    <t>Distillation Column 3 condenser</t>
  </si>
  <si>
    <t>Distillation Column 3 reboiler</t>
  </si>
  <si>
    <t>Distillation Column 4 condenser</t>
  </si>
  <si>
    <t>PERFECT HEAT INTEGRATION</t>
  </si>
  <si>
    <t>Distillation Column 4 reboiler</t>
  </si>
  <si>
    <t>Distillation Column 5 condenser</t>
  </si>
  <si>
    <t>Distillation Column 5 reboiler</t>
  </si>
  <si>
    <t>Distillation Column 6 condenser</t>
  </si>
  <si>
    <t>Distillation Column 6 reboiler</t>
  </si>
  <si>
    <t>Distillation Column 7 condenser</t>
  </si>
  <si>
    <t>Distillation Column 7 reboiler</t>
  </si>
  <si>
    <t>Distillation Column 8 condenser</t>
  </si>
  <si>
    <t>Distillation Column 8 reboiler</t>
  </si>
  <si>
    <t>Distillation Column 9 condenser</t>
  </si>
  <si>
    <t>Distillation Column 9 reboiler</t>
  </si>
  <si>
    <t>Distillation Column 10 condenser</t>
  </si>
  <si>
    <t>Distillation Column 10 reboiler</t>
  </si>
  <si>
    <t>HEATER1</t>
  </si>
  <si>
    <t>Heater after mixer</t>
  </si>
  <si>
    <t>cooler after reactor</t>
  </si>
  <si>
    <t>flash 2</t>
  </si>
  <si>
    <t>decanter</t>
  </si>
  <si>
    <t>D1 Reboiler</t>
  </si>
  <si>
    <t>D1 condenser</t>
  </si>
  <si>
    <t>D2 Reboiler</t>
  </si>
  <si>
    <t>D2 condenser</t>
  </si>
  <si>
    <t>D3 Reboiler</t>
  </si>
  <si>
    <t>D3 condenser</t>
  </si>
  <si>
    <t>D1 column cooling</t>
  </si>
  <si>
    <t>D3 column cooling</t>
  </si>
  <si>
    <t>Crystalliser</t>
  </si>
  <si>
    <t>First column before isom reactor reboiler</t>
  </si>
  <si>
    <t>First column before isom reactor condenser</t>
  </si>
  <si>
    <t>Second column before isom reactor reboiler</t>
  </si>
  <si>
    <t>Second column before isom reactor condenser</t>
  </si>
  <si>
    <t>Heater before second reactor</t>
  </si>
  <si>
    <t>cooler after second reactor</t>
  </si>
  <si>
    <t>Distillation after isom reactor reboiler</t>
  </si>
  <si>
    <t>Distillation after isom reactor condenser</t>
  </si>
  <si>
    <t>D7 cond</t>
  </si>
  <si>
    <t>D7 boiler</t>
  </si>
  <si>
    <t>D8 cond</t>
  </si>
  <si>
    <t>D8 boiler</t>
  </si>
  <si>
    <t>D9 cond</t>
  </si>
  <si>
    <t>D9 boilup</t>
  </si>
  <si>
    <t>D10 cond</t>
  </si>
  <si>
    <t>D10 boilup</t>
  </si>
  <si>
    <t>Dist -2 cooler</t>
  </si>
  <si>
    <t>Temperature Range</t>
  </si>
  <si>
    <t xml:space="preserve">Extra Heat </t>
  </si>
  <si>
    <t>P</t>
  </si>
  <si>
    <t>Overlap</t>
  </si>
  <si>
    <t xml:space="preserve">COLD STREAM </t>
  </si>
  <si>
    <t>TR</t>
  </si>
  <si>
    <t>TR+1</t>
  </si>
  <si>
    <t>R2</t>
  </si>
  <si>
    <t>R3</t>
  </si>
  <si>
    <t>R5</t>
  </si>
  <si>
    <t>R6</t>
  </si>
  <si>
    <t>REBOILER</t>
  </si>
  <si>
    <t>D2</t>
  </si>
  <si>
    <t>D3</t>
  </si>
  <si>
    <t>D5</t>
  </si>
  <si>
    <t>D6</t>
  </si>
  <si>
    <t>Condensors</t>
  </si>
  <si>
    <t xml:space="preserve">Delta T1 = Thin - Tcout </t>
  </si>
  <si>
    <t>Delta T2 = Thout - Tcin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</si>
</sst>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&quot;£&quot;#,##0.00;[Red]\-&quot;£&quot;#,##0.00"/>
    <numFmt numFmtId="165" formatCode="_-&quot;£&quot;* #,##0.00_-;\-&quot;£&quot;* #,##0.00_-;_-&quot;£&quot;* &quot;-&quot;??_-;_-@_-"/>
    <numFmt numFmtId="166" formatCode="_-* #,##0.00_-;\-* #,##0.00_-;_-* &quot;-&quot;??_-;_-@_-"/>
    <numFmt numFmtId="167" formatCode="0.000"/>
    <numFmt numFmtId="168" formatCode="_-[$$-409]* #,##0.00_ ;_-[$$-409]* \-#,##0.00\ ;_-[$$-409]* &quot;-&quot;??_ ;_-@_ 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.8000000000000007"/>
      <color theme="1"/>
      <name val="Calibri"/>
      <family val="2"/>
    </font>
    <font>
      <sz val="11"/>
      <color theme="1"/>
      <name val="Calibri"/>
    </font>
    <font>
      <sz val="11"/>
      <color rgb="FF0070C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Arial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C65911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66CC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FFFF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</borders>
  <cellStyleXfs count="3">
    <xf numFmtId="0" fontId="0" fillId="0" borderId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</cellStyleXfs>
  <cellXfs count="486">
    <xf numFmtId="0" fontId="0" fillId="0" borderId="0" xfId="0"/>
    <xf numFmtId="0" fontId="0" fillId="0" borderId="0" xfId="0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 applyBorder="1" applyAlignment="1">
      <alignment vertical="center"/>
    </xf>
    <xf numFmtId="0" fontId="0" fillId="3" borderId="0" xfId="0" applyFill="1"/>
    <xf numFmtId="0" fontId="0" fillId="8" borderId="0" xfId="0" applyFill="1"/>
    <xf numFmtId="165" fontId="0" fillId="0" borderId="0" xfId="1" applyFont="1"/>
    <xf numFmtId="0" fontId="0" fillId="0" borderId="0" xfId="0" applyFill="1"/>
    <xf numFmtId="0" fontId="0" fillId="10" borderId="1" xfId="0" applyFill="1" applyBorder="1"/>
    <xf numFmtId="0" fontId="1" fillId="10" borderId="1" xfId="0" applyFont="1" applyFill="1" applyBorder="1"/>
    <xf numFmtId="0" fontId="0" fillId="9" borderId="1" xfId="0" applyFill="1" applyBorder="1"/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0" borderId="0" xfId="0" applyFill="1" applyAlignment="1">
      <alignment horizontal="center" vertical="center"/>
    </xf>
    <xf numFmtId="0" fontId="0" fillId="0" borderId="1" xfId="0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1" borderId="1" xfId="0" applyFill="1" applyBorder="1"/>
    <xf numFmtId="0" fontId="0" fillId="11" borderId="1" xfId="0" applyNumberFormat="1" applyFill="1" applyBorder="1"/>
    <xf numFmtId="0" fontId="0" fillId="11" borderId="1" xfId="0" applyFill="1" applyBorder="1" applyAlignment="1">
      <alignment horizontal="center" vertical="center"/>
    </xf>
    <xf numFmtId="0" fontId="1" fillId="12" borderId="1" xfId="0" applyFont="1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15" borderId="1" xfId="0" applyFont="1" applyFill="1" applyBorder="1"/>
    <xf numFmtId="0" fontId="0" fillId="15" borderId="1" xfId="0" applyFill="1" applyBorder="1"/>
    <xf numFmtId="0" fontId="0" fillId="16" borderId="1" xfId="0" applyFill="1" applyBorder="1"/>
    <xf numFmtId="0" fontId="5" fillId="0" borderId="0" xfId="0" applyFont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18" borderId="1" xfId="0" applyFill="1" applyBorder="1"/>
    <xf numFmtId="0" fontId="0" fillId="19" borderId="1" xfId="0" applyFill="1" applyBorder="1"/>
    <xf numFmtId="0" fontId="0" fillId="17" borderId="5" xfId="0" applyFill="1" applyBorder="1"/>
    <xf numFmtId="0" fontId="0" fillId="3" borderId="1" xfId="0" applyFill="1" applyBorder="1" applyAlignment="1">
      <alignment horizontal="center"/>
    </xf>
    <xf numFmtId="0" fontId="0" fillId="20" borderId="1" xfId="0" applyFill="1" applyBorder="1"/>
    <xf numFmtId="0" fontId="0" fillId="22" borderId="1" xfId="0" applyFill="1" applyBorder="1"/>
    <xf numFmtId="0" fontId="0" fillId="23" borderId="1" xfId="0" applyFill="1" applyBorder="1"/>
    <xf numFmtId="0" fontId="0" fillId="23" borderId="1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9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24" borderId="1" xfId="0" applyFill="1" applyBorder="1" applyAlignment="1">
      <alignment horizontal="center" vertical="center"/>
    </xf>
    <xf numFmtId="2" fontId="0" fillId="24" borderId="1" xfId="0" applyNumberFormat="1" applyFill="1" applyBorder="1" applyAlignment="1">
      <alignment horizontal="center" vertical="center"/>
    </xf>
    <xf numFmtId="167" fontId="0" fillId="24" borderId="1" xfId="0" applyNumberFormat="1" applyFill="1" applyBorder="1" applyAlignment="1">
      <alignment horizontal="center" vertical="center"/>
    </xf>
    <xf numFmtId="0" fontId="0" fillId="18" borderId="5" xfId="0" applyFill="1" applyBorder="1"/>
    <xf numFmtId="0" fontId="0" fillId="25" borderId="1" xfId="0" applyFill="1" applyBorder="1"/>
    <xf numFmtId="0" fontId="7" fillId="15" borderId="1" xfId="0" applyFont="1" applyFill="1" applyBorder="1"/>
    <xf numFmtId="0" fontId="0" fillId="0" borderId="0" xfId="0" applyBorder="1"/>
    <xf numFmtId="0" fontId="0" fillId="0" borderId="0" xfId="0" applyAlignment="1">
      <alignment vertical="center"/>
    </xf>
    <xf numFmtId="0" fontId="0" fillId="0" borderId="1" xfId="0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2" fontId="8" fillId="0" borderId="1" xfId="0" applyNumberFormat="1" applyFont="1" applyFill="1" applyBorder="1"/>
    <xf numFmtId="2" fontId="8" fillId="0" borderId="1" xfId="0" applyNumberFormat="1" applyFont="1" applyBorder="1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/>
    <xf numFmtId="2" fontId="4" fillId="0" borderId="1" xfId="0" applyNumberFormat="1" applyFont="1" applyBorder="1"/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right" vertical="center"/>
    </xf>
    <xf numFmtId="0" fontId="8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2" fontId="9" fillId="0" borderId="1" xfId="0" applyNumberFormat="1" applyFont="1" applyFill="1" applyBorder="1" applyAlignment="1">
      <alignment horizontal="right"/>
    </xf>
    <xf numFmtId="2" fontId="4" fillId="0" borderId="1" xfId="0" applyNumberFormat="1" applyFont="1" applyFill="1" applyBorder="1" applyAlignment="1">
      <alignment horizontal="right"/>
    </xf>
    <xf numFmtId="0" fontId="0" fillId="0" borderId="12" xfId="0" applyBorder="1"/>
    <xf numFmtId="0" fontId="0" fillId="0" borderId="10" xfId="0" applyBorder="1"/>
    <xf numFmtId="0" fontId="4" fillId="26" borderId="4" xfId="0" applyFont="1" applyFill="1" applyBorder="1" applyAlignment="1">
      <alignment horizontal="center" vertical="center"/>
    </xf>
    <xf numFmtId="0" fontId="4" fillId="26" borderId="4" xfId="0" applyFont="1" applyFill="1" applyBorder="1" applyAlignment="1">
      <alignment horizontal="center"/>
    </xf>
    <xf numFmtId="2" fontId="9" fillId="0" borderId="18" xfId="0" applyNumberFormat="1" applyFont="1" applyBorder="1" applyAlignment="1">
      <alignment horizontal="center"/>
    </xf>
    <xf numFmtId="2" fontId="9" fillId="0" borderId="19" xfId="0" applyNumberFormat="1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2" fontId="4" fillId="0" borderId="10" xfId="0" applyNumberFormat="1" applyFont="1" applyBorder="1" applyAlignment="1">
      <alignment horizontal="center"/>
    </xf>
    <xf numFmtId="2" fontId="4" fillId="0" borderId="14" xfId="0" applyNumberFormat="1" applyFont="1" applyBorder="1" applyAlignment="1">
      <alignment horizontal="center"/>
    </xf>
    <xf numFmtId="2" fontId="4" fillId="0" borderId="13" xfId="0" applyNumberFormat="1" applyFont="1" applyBorder="1" applyAlignment="1">
      <alignment horizontal="center"/>
    </xf>
    <xf numFmtId="0" fontId="0" fillId="0" borderId="15" xfId="0" applyBorder="1" applyAlignment="1">
      <alignment horizontal="center"/>
    </xf>
    <xf numFmtId="2" fontId="8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2" fontId="4" fillId="27" borderId="9" xfId="0" applyNumberFormat="1" applyFont="1" applyFill="1" applyBorder="1" applyAlignment="1">
      <alignment horizontal="center"/>
    </xf>
    <xf numFmtId="0" fontId="0" fillId="27" borderId="12" xfId="0" applyFill="1" applyBorder="1" applyAlignment="1">
      <alignment horizontal="center"/>
    </xf>
    <xf numFmtId="2" fontId="9" fillId="27" borderId="9" xfId="0" applyNumberFormat="1" applyFont="1" applyFill="1" applyBorder="1" applyAlignment="1">
      <alignment horizontal="center"/>
    </xf>
    <xf numFmtId="0" fontId="0" fillId="27" borderId="20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8" fillId="26" borderId="4" xfId="0" applyFont="1" applyFill="1" applyBorder="1" applyAlignment="1">
      <alignment horizontal="center"/>
    </xf>
    <xf numFmtId="0" fontId="0" fillId="27" borderId="10" xfId="0" applyFill="1" applyBorder="1"/>
    <xf numFmtId="0" fontId="5" fillId="0" borderId="0" xfId="0" applyFont="1" applyFill="1" applyBorder="1" applyAlignment="1">
      <alignment horizontal="left"/>
    </xf>
    <xf numFmtId="0" fontId="0" fillId="0" borderId="20" xfId="0" applyBorder="1" applyAlignment="1">
      <alignment horizontal="center"/>
    </xf>
    <xf numFmtId="2" fontId="4" fillId="27" borderId="9" xfId="0" applyNumberFormat="1" applyFont="1" applyFill="1" applyBorder="1" applyAlignment="1">
      <alignment horizontal="right"/>
    </xf>
    <xf numFmtId="2" fontId="4" fillId="27" borderId="11" xfId="0" applyNumberFormat="1" applyFont="1" applyFill="1" applyBorder="1" applyAlignment="1">
      <alignment horizontal="right"/>
    </xf>
    <xf numFmtId="0" fontId="0" fillId="27" borderId="20" xfId="0" applyFill="1" applyBorder="1"/>
    <xf numFmtId="0" fontId="0" fillId="0" borderId="21" xfId="0" applyBorder="1"/>
    <xf numFmtId="0" fontId="0" fillId="0" borderId="20" xfId="0" applyBorder="1"/>
    <xf numFmtId="0" fontId="0" fillId="0" borderId="22" xfId="0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2" fontId="8" fillId="0" borderId="0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9" fillId="27" borderId="10" xfId="0" applyNumberFormat="1" applyFont="1" applyFill="1" applyBorder="1" applyAlignment="1">
      <alignment horizontal="center"/>
    </xf>
    <xf numFmtId="0" fontId="0" fillId="27" borderId="15" xfId="0" applyFill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4" fillId="0" borderId="26" xfId="0" applyNumberFormat="1" applyFont="1" applyBorder="1" applyAlignment="1">
      <alignment horizontal="center"/>
    </xf>
    <xf numFmtId="167" fontId="4" fillId="0" borderId="27" xfId="0" applyNumberFormat="1" applyFont="1" applyBorder="1" applyAlignment="1">
      <alignment horizontal="center" vertical="center"/>
    </xf>
    <xf numFmtId="2" fontId="4" fillId="0" borderId="27" xfId="0" applyNumberFormat="1" applyFon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2" fontId="8" fillId="0" borderId="27" xfId="0" applyNumberFormat="1" applyFont="1" applyBorder="1" applyAlignment="1">
      <alignment horizontal="center" vertical="center"/>
    </xf>
    <xf numFmtId="0" fontId="0" fillId="15" borderId="27" xfId="0" applyFill="1" applyBorder="1"/>
    <xf numFmtId="0" fontId="0" fillId="28" borderId="27" xfId="0" applyFill="1" applyBorder="1"/>
    <xf numFmtId="0" fontId="0" fillId="29" borderId="27" xfId="0" applyFill="1" applyBorder="1" applyAlignment="1">
      <alignment horizontal="center" vertical="center"/>
    </xf>
    <xf numFmtId="0" fontId="0" fillId="29" borderId="27" xfId="0" applyFill="1" applyBorder="1" applyAlignment="1">
      <alignment horizontal="center"/>
    </xf>
    <xf numFmtId="0" fontId="0" fillId="29" borderId="27" xfId="0" applyFill="1" applyBorder="1"/>
    <xf numFmtId="2" fontId="0" fillId="29" borderId="27" xfId="0" applyNumberFormat="1" applyFill="1" applyBorder="1" applyAlignment="1">
      <alignment horizontal="center"/>
    </xf>
    <xf numFmtId="2" fontId="0" fillId="19" borderId="1" xfId="0" applyNumberFormat="1" applyFill="1" applyBorder="1"/>
    <xf numFmtId="2" fontId="0" fillId="29" borderId="27" xfId="0" applyNumberFormat="1" applyFill="1" applyBorder="1"/>
    <xf numFmtId="2" fontId="0" fillId="29" borderId="0" xfId="0" applyNumberFormat="1" applyFill="1" applyAlignment="1">
      <alignment horizontal="center"/>
    </xf>
    <xf numFmtId="167" fontId="0" fillId="29" borderId="27" xfId="0" applyNumberFormat="1" applyFill="1" applyBorder="1" applyAlignment="1">
      <alignment horizontal="center" vertical="center"/>
    </xf>
    <xf numFmtId="2" fontId="0" fillId="29" borderId="27" xfId="0" applyNumberFormat="1" applyFill="1" applyBorder="1" applyAlignment="1">
      <alignment horizontal="right"/>
    </xf>
    <xf numFmtId="167" fontId="8" fillId="0" borderId="27" xfId="0" applyNumberFormat="1" applyFont="1" applyBorder="1" applyAlignment="1">
      <alignment horizontal="center" vertical="center"/>
    </xf>
    <xf numFmtId="2" fontId="8" fillId="0" borderId="10" xfId="0" applyNumberFormat="1" applyFont="1" applyBorder="1" applyAlignment="1">
      <alignment horizontal="right" vertical="center"/>
    </xf>
    <xf numFmtId="2" fontId="4" fillId="0" borderId="0" xfId="0" applyNumberFormat="1" applyFont="1" applyBorder="1" applyAlignment="1">
      <alignment horizontal="right" vertical="center"/>
    </xf>
    <xf numFmtId="2" fontId="4" fillId="0" borderId="9" xfId="0" applyNumberFormat="1" applyFont="1" applyBorder="1" applyAlignment="1">
      <alignment horizontal="right" vertical="center"/>
    </xf>
    <xf numFmtId="2" fontId="4" fillId="0" borderId="10" xfId="0" applyNumberFormat="1" applyFont="1" applyBorder="1" applyAlignment="1">
      <alignment horizontal="right" vertical="center"/>
    </xf>
    <xf numFmtId="2" fontId="4" fillId="0" borderId="13" xfId="0" applyNumberFormat="1" applyFont="1" applyBorder="1" applyAlignment="1">
      <alignment horizontal="right" vertical="center"/>
    </xf>
    <xf numFmtId="167" fontId="8" fillId="0" borderId="1" xfId="0" applyNumberFormat="1" applyFont="1" applyBorder="1" applyAlignment="1">
      <alignment horizontal="center" vertical="center"/>
    </xf>
    <xf numFmtId="167" fontId="4" fillId="0" borderId="1" xfId="0" applyNumberFormat="1" applyFont="1" applyBorder="1" applyAlignment="1">
      <alignment horizontal="center" vertical="center"/>
    </xf>
    <xf numFmtId="2" fontId="4" fillId="0" borderId="12" xfId="0" applyNumberFormat="1" applyFont="1" applyBorder="1" applyAlignment="1">
      <alignment horizontal="right" vertical="center"/>
    </xf>
    <xf numFmtId="167" fontId="8" fillId="26" borderId="3" xfId="0" applyNumberFormat="1" applyFont="1" applyFill="1" applyBorder="1" applyAlignment="1">
      <alignment horizontal="center" vertical="center"/>
    </xf>
    <xf numFmtId="167" fontId="4" fillId="26" borderId="3" xfId="0" applyNumberFormat="1" applyFont="1" applyFill="1" applyBorder="1" applyAlignment="1">
      <alignment horizontal="center" vertical="center"/>
    </xf>
    <xf numFmtId="0" fontId="8" fillId="27" borderId="9" xfId="0" applyFont="1" applyFill="1" applyBorder="1"/>
    <xf numFmtId="0" fontId="0" fillId="27" borderId="12" xfId="0" applyFill="1" applyBorder="1"/>
    <xf numFmtId="2" fontId="4" fillId="27" borderId="9" xfId="0" applyNumberFormat="1" applyFont="1" applyFill="1" applyBorder="1" applyAlignment="1">
      <alignment horizontal="right" vertical="center"/>
    </xf>
    <xf numFmtId="2" fontId="4" fillId="27" borderId="20" xfId="0" applyNumberFormat="1" applyFont="1" applyFill="1" applyBorder="1"/>
    <xf numFmtId="2" fontId="4" fillId="27" borderId="10" xfId="0" applyNumberFormat="1" applyFont="1" applyFill="1" applyBorder="1" applyAlignment="1">
      <alignment horizontal="right" vertical="center"/>
    </xf>
    <xf numFmtId="2" fontId="4" fillId="0" borderId="20" xfId="0" applyNumberFormat="1" applyFont="1" applyBorder="1" applyAlignment="1">
      <alignment horizontal="right" vertical="center"/>
    </xf>
    <xf numFmtId="2" fontId="0" fillId="0" borderId="0" xfId="0" applyNumberFormat="1" applyBorder="1"/>
    <xf numFmtId="167" fontId="4" fillId="27" borderId="9" xfId="0" applyNumberFormat="1" applyFont="1" applyFill="1" applyBorder="1" applyAlignment="1">
      <alignment horizontal="right" vertical="center"/>
    </xf>
    <xf numFmtId="167" fontId="4" fillId="0" borderId="9" xfId="0" applyNumberFormat="1" applyFont="1" applyFill="1" applyBorder="1" applyAlignment="1">
      <alignment horizontal="right" vertical="center"/>
    </xf>
    <xf numFmtId="167" fontId="4" fillId="0" borderId="10" xfId="0" applyNumberFormat="1" applyFont="1" applyFill="1" applyBorder="1" applyAlignment="1">
      <alignment horizontal="right" vertical="center"/>
    </xf>
    <xf numFmtId="2" fontId="4" fillId="0" borderId="29" xfId="0" applyNumberFormat="1" applyFont="1" applyBorder="1" applyAlignment="1">
      <alignment horizontal="right" vertical="center"/>
    </xf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0" xfId="0" applyBorder="1"/>
    <xf numFmtId="2" fontId="8" fillId="0" borderId="28" xfId="0" applyNumberFormat="1" applyFont="1" applyBorder="1" applyAlignment="1">
      <alignment horizontal="right" vertical="center"/>
    </xf>
    <xf numFmtId="0" fontId="0" fillId="0" borderId="29" xfId="0" applyBorder="1"/>
    <xf numFmtId="2" fontId="4" fillId="27" borderId="34" xfId="0" applyNumberFormat="1" applyFont="1" applyFill="1" applyBorder="1" applyAlignment="1">
      <alignment horizontal="right" vertical="center"/>
    </xf>
    <xf numFmtId="2" fontId="8" fillId="0" borderId="12" xfId="0" applyNumberFormat="1" applyFont="1" applyBorder="1" applyAlignment="1">
      <alignment horizontal="right" vertical="center"/>
    </xf>
    <xf numFmtId="0" fontId="0" fillId="27" borderId="29" xfId="0" applyFill="1" applyBorder="1"/>
    <xf numFmtId="0" fontId="0" fillId="0" borderId="12" xfId="0" applyFill="1" applyBorder="1"/>
    <xf numFmtId="2" fontId="4" fillId="0" borderId="10" xfId="0" applyNumberFormat="1" applyFont="1" applyFill="1" applyBorder="1" applyAlignment="1">
      <alignment horizontal="right" vertical="center"/>
    </xf>
    <xf numFmtId="0" fontId="4" fillId="27" borderId="12" xfId="0" applyFont="1" applyFill="1" applyBorder="1"/>
    <xf numFmtId="2" fontId="8" fillId="0" borderId="34" xfId="0" applyNumberFormat="1" applyFont="1" applyBorder="1" applyAlignment="1">
      <alignment horizontal="right" vertical="center"/>
    </xf>
    <xf numFmtId="2" fontId="8" fillId="27" borderId="29" xfId="0" applyNumberFormat="1" applyFont="1" applyFill="1" applyBorder="1" applyAlignment="1">
      <alignment horizontal="right" vertical="center"/>
    </xf>
    <xf numFmtId="2" fontId="8" fillId="0" borderId="20" xfId="0" applyNumberFormat="1" applyFont="1" applyBorder="1" applyAlignment="1">
      <alignment horizontal="right" vertical="center"/>
    </xf>
    <xf numFmtId="167" fontId="4" fillId="0" borderId="12" xfId="0" applyNumberFormat="1" applyFont="1" applyFill="1" applyBorder="1" applyAlignment="1">
      <alignment horizontal="right" vertical="center"/>
    </xf>
    <xf numFmtId="2" fontId="8" fillId="27" borderId="20" xfId="0" applyNumberFormat="1" applyFont="1" applyFill="1" applyBorder="1"/>
    <xf numFmtId="2" fontId="8" fillId="27" borderId="12" xfId="0" applyNumberFormat="1" applyFont="1" applyFill="1" applyBorder="1"/>
    <xf numFmtId="2" fontId="0" fillId="0" borderId="20" xfId="0" applyNumberFormat="1" applyBorder="1"/>
    <xf numFmtId="0" fontId="0" fillId="0" borderId="35" xfId="0" applyBorder="1"/>
    <xf numFmtId="0" fontId="0" fillId="0" borderId="28" xfId="0" applyBorder="1"/>
    <xf numFmtId="0" fontId="0" fillId="30" borderId="1" xfId="0" applyFill="1" applyBorder="1"/>
    <xf numFmtId="0" fontId="7" fillId="14" borderId="1" xfId="0" applyFon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31" borderId="1" xfId="0" applyFill="1" applyBorder="1"/>
    <xf numFmtId="0" fontId="0" fillId="31" borderId="0" xfId="0" applyFill="1"/>
    <xf numFmtId="0" fontId="7" fillId="23" borderId="1" xfId="0" applyFont="1" applyFill="1" applyBorder="1" applyAlignment="1">
      <alignment horizontal="center"/>
    </xf>
    <xf numFmtId="2" fontId="0" fillId="31" borderId="1" xfId="0" applyNumberFormat="1" applyFill="1" applyBorder="1"/>
    <xf numFmtId="2" fontId="0" fillId="31" borderId="1" xfId="0" applyNumberFormat="1" applyFill="1" applyBorder="1" applyAlignment="1">
      <alignment horizontal="center" vertical="center"/>
    </xf>
    <xf numFmtId="0" fontId="0" fillId="32" borderId="0" xfId="0" applyFill="1" applyAlignment="1">
      <alignment horizontal="center"/>
    </xf>
    <xf numFmtId="0" fontId="0" fillId="32" borderId="0" xfId="0" applyFill="1"/>
    <xf numFmtId="168" fontId="0" fillId="0" borderId="0" xfId="0" applyNumberFormat="1"/>
    <xf numFmtId="2" fontId="8" fillId="27" borderId="20" xfId="0" applyNumberFormat="1" applyFont="1" applyFill="1" applyBorder="1" applyAlignment="1">
      <alignment horizontal="right" vertical="center"/>
    </xf>
    <xf numFmtId="2" fontId="8" fillId="27" borderId="9" xfId="0" applyNumberFormat="1" applyFont="1" applyFill="1" applyBorder="1"/>
    <xf numFmtId="168" fontId="0" fillId="2" borderId="1" xfId="0" applyNumberFormat="1" applyFill="1" applyBorder="1"/>
    <xf numFmtId="2" fontId="0" fillId="2" borderId="1" xfId="0" applyNumberFormat="1" applyFill="1" applyBorder="1"/>
    <xf numFmtId="0" fontId="0" fillId="34" borderId="1" xfId="0" applyFill="1" applyBorder="1"/>
    <xf numFmtId="2" fontId="0" fillId="34" borderId="1" xfId="0" applyNumberFormat="1" applyFill="1" applyBorder="1"/>
    <xf numFmtId="0" fontId="0" fillId="27" borderId="16" xfId="0" applyFill="1" applyBorder="1"/>
    <xf numFmtId="168" fontId="0" fillId="27" borderId="17" xfId="0" applyNumberFormat="1" applyFill="1" applyBorder="1"/>
    <xf numFmtId="0" fontId="0" fillId="34" borderId="6" xfId="0" applyFill="1" applyBorder="1"/>
    <xf numFmtId="0" fontId="0" fillId="18" borderId="16" xfId="0" applyFill="1" applyBorder="1"/>
    <xf numFmtId="168" fontId="0" fillId="18" borderId="17" xfId="1" applyNumberFormat="1" applyFont="1" applyFill="1" applyBorder="1"/>
    <xf numFmtId="0" fontId="0" fillId="2" borderId="6" xfId="0" applyFill="1" applyBorder="1"/>
    <xf numFmtId="168" fontId="0" fillId="2" borderId="6" xfId="0" applyNumberFormat="1" applyFill="1" applyBorder="1"/>
    <xf numFmtId="168" fontId="0" fillId="18" borderId="10" xfId="0" applyNumberFormat="1" applyFill="1" applyBorder="1"/>
    <xf numFmtId="2" fontId="4" fillId="0" borderId="38" xfId="0" applyNumberFormat="1" applyFont="1" applyBorder="1" applyAlignment="1">
      <alignment horizontal="right" vertical="center"/>
    </xf>
    <xf numFmtId="2" fontId="4" fillId="0" borderId="39" xfId="0" applyNumberFormat="1" applyFont="1" applyBorder="1" applyAlignment="1">
      <alignment horizontal="right" vertical="center"/>
    </xf>
    <xf numFmtId="2" fontId="8" fillId="0" borderId="41" xfId="0" applyNumberFormat="1" applyFont="1" applyBorder="1" applyAlignment="1">
      <alignment horizontal="center" vertical="center"/>
    </xf>
    <xf numFmtId="2" fontId="4" fillId="0" borderId="42" xfId="0" applyNumberFormat="1" applyFont="1" applyBorder="1" applyAlignment="1">
      <alignment horizontal="center" vertical="center"/>
    </xf>
    <xf numFmtId="2" fontId="4" fillId="0" borderId="4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167" fontId="4" fillId="0" borderId="41" xfId="0" applyNumberFormat="1" applyFont="1" applyBorder="1" applyAlignment="1">
      <alignment horizontal="center" vertical="center"/>
    </xf>
    <xf numFmtId="167" fontId="8" fillId="0" borderId="41" xfId="0" applyNumberFormat="1" applyFont="1" applyBorder="1" applyAlignment="1">
      <alignment horizontal="center" vertical="center"/>
    </xf>
    <xf numFmtId="167" fontId="4" fillId="0" borderId="42" xfId="0" applyNumberFormat="1" applyFont="1" applyBorder="1" applyAlignment="1">
      <alignment horizontal="center" vertical="center"/>
    </xf>
    <xf numFmtId="0" fontId="0" fillId="28" borderId="43" xfId="0" applyFill="1" applyBorder="1"/>
    <xf numFmtId="2" fontId="0" fillId="29" borderId="41" xfId="0" applyNumberFormat="1" applyFill="1" applyBorder="1" applyAlignment="1">
      <alignment horizontal="center" vertical="center"/>
    </xf>
    <xf numFmtId="2" fontId="0" fillId="29" borderId="41" xfId="0" applyNumberFormat="1" applyFill="1" applyBorder="1" applyAlignment="1">
      <alignment horizontal="right"/>
    </xf>
    <xf numFmtId="2" fontId="0" fillId="29" borderId="41" xfId="0" applyNumberFormat="1" applyFill="1" applyBorder="1"/>
    <xf numFmtId="2" fontId="0" fillId="29" borderId="42" xfId="0" applyNumberFormat="1" applyFill="1" applyBorder="1" applyAlignment="1">
      <alignment horizontal="center" vertical="center"/>
    </xf>
    <xf numFmtId="2" fontId="0" fillId="29" borderId="42" xfId="0" applyNumberFormat="1" applyFill="1" applyBorder="1" applyAlignment="1">
      <alignment horizontal="right"/>
    </xf>
    <xf numFmtId="2" fontId="0" fillId="29" borderId="42" xfId="0" applyNumberFormat="1" applyFill="1" applyBorder="1"/>
    <xf numFmtId="2" fontId="0" fillId="29" borderId="1" xfId="0" applyNumberFormat="1" applyFill="1" applyBorder="1" applyAlignment="1">
      <alignment horizontal="right"/>
    </xf>
    <xf numFmtId="2" fontId="0" fillId="0" borderId="0" xfId="0" applyNumberFormat="1" applyFill="1" applyBorder="1" applyAlignment="1">
      <alignment vertical="center"/>
    </xf>
    <xf numFmtId="2" fontId="4" fillId="0" borderId="0" xfId="0" applyNumberFormat="1" applyFont="1" applyFill="1" applyBorder="1" applyAlignment="1">
      <alignment horizontal="right" vertical="center"/>
    </xf>
    <xf numFmtId="0" fontId="5" fillId="0" borderId="0" xfId="0" applyFont="1" applyFill="1" applyBorder="1"/>
    <xf numFmtId="2" fontId="0" fillId="0" borderId="0" xfId="0" applyNumberFormat="1" applyFill="1"/>
    <xf numFmtId="2" fontId="8" fillId="0" borderId="12" xfId="0" applyNumberFormat="1" applyFont="1" applyFill="1" applyBorder="1" applyAlignment="1">
      <alignment horizontal="right" vertical="center"/>
    </xf>
    <xf numFmtId="2" fontId="8" fillId="0" borderId="10" xfId="0" applyNumberFormat="1" applyFont="1" applyFill="1" applyBorder="1" applyAlignment="1">
      <alignment horizontal="right" vertical="center"/>
    </xf>
    <xf numFmtId="0" fontId="4" fillId="0" borderId="12" xfId="0" applyFont="1" applyFill="1" applyBorder="1"/>
    <xf numFmtId="2" fontId="4" fillId="0" borderId="0" xfId="0" applyNumberFormat="1" applyFont="1" applyFill="1" applyAlignment="1">
      <alignment horizontal="right" vertical="center"/>
    </xf>
    <xf numFmtId="2" fontId="4" fillId="0" borderId="9" xfId="0" applyNumberFormat="1" applyFont="1" applyFill="1" applyBorder="1" applyAlignment="1">
      <alignment horizontal="right" vertical="center"/>
    </xf>
    <xf numFmtId="2" fontId="4" fillId="0" borderId="12" xfId="0" applyNumberFormat="1" applyFont="1" applyFill="1" applyBorder="1" applyAlignment="1">
      <alignment horizontal="right" vertical="center"/>
    </xf>
    <xf numFmtId="167" fontId="0" fillId="0" borderId="0" xfId="0" applyNumberFormat="1" applyFill="1"/>
    <xf numFmtId="2" fontId="8" fillId="0" borderId="0" xfId="0" applyNumberFormat="1" applyFont="1" applyFill="1" applyBorder="1" applyAlignment="1">
      <alignment horizontal="right" vertical="center"/>
    </xf>
    <xf numFmtId="2" fontId="0" fillId="0" borderId="0" xfId="0" applyNumberFormat="1" applyFill="1" applyBorder="1"/>
    <xf numFmtId="0" fontId="4" fillId="0" borderId="12" xfId="0" applyFont="1" applyBorder="1"/>
    <xf numFmtId="0" fontId="0" fillId="27" borderId="0" xfId="0" applyFill="1"/>
    <xf numFmtId="0" fontId="8" fillId="0" borderId="9" xfId="0" applyFont="1" applyFill="1" applyBorder="1"/>
    <xf numFmtId="2" fontId="4" fillId="0" borderId="13" xfId="0" applyNumberFormat="1" applyFont="1" applyFill="1" applyBorder="1" applyAlignment="1">
      <alignment horizontal="right" vertical="center"/>
    </xf>
    <xf numFmtId="2" fontId="4" fillId="0" borderId="14" xfId="0" applyNumberFormat="1" applyFont="1" applyFill="1" applyBorder="1" applyAlignment="1">
      <alignment horizontal="right" vertical="center"/>
    </xf>
    <xf numFmtId="0" fontId="0" fillId="0" borderId="15" xfId="0" applyFill="1" applyBorder="1"/>
    <xf numFmtId="0" fontId="8" fillId="0" borderId="12" xfId="0" applyFont="1" applyBorder="1"/>
    <xf numFmtId="2" fontId="4" fillId="0" borderId="12" xfId="0" applyNumberFormat="1" applyFont="1" applyFill="1" applyBorder="1"/>
    <xf numFmtId="0" fontId="0" fillId="0" borderId="44" xfId="0" applyFill="1" applyBorder="1"/>
    <xf numFmtId="2" fontId="8" fillId="0" borderId="9" xfId="0" applyNumberFormat="1" applyFont="1" applyFill="1" applyBorder="1" applyAlignment="1">
      <alignment horizontal="right" vertical="center"/>
    </xf>
    <xf numFmtId="167" fontId="8" fillId="26" borderId="1" xfId="0" applyNumberFormat="1" applyFont="1" applyFill="1" applyBorder="1" applyAlignment="1">
      <alignment horizontal="center" vertical="center"/>
    </xf>
    <xf numFmtId="167" fontId="4" fillId="26" borderId="1" xfId="0" applyNumberFormat="1" applyFont="1" applyFill="1" applyBorder="1" applyAlignment="1">
      <alignment horizontal="center" vertical="center"/>
    </xf>
    <xf numFmtId="0" fontId="4" fillId="0" borderId="9" xfId="0" applyFont="1" applyBorder="1"/>
    <xf numFmtId="0" fontId="4" fillId="0" borderId="10" xfId="0" applyFont="1" applyBorder="1"/>
    <xf numFmtId="0" fontId="4" fillId="0" borderId="9" xfId="0" applyFont="1" applyFill="1" applyBorder="1"/>
    <xf numFmtId="0" fontId="4" fillId="0" borderId="10" xfId="0" applyFont="1" applyFill="1" applyBorder="1"/>
    <xf numFmtId="167" fontId="8" fillId="26" borderId="0" xfId="0" applyNumberFormat="1" applyFont="1" applyFill="1" applyBorder="1" applyAlignment="1">
      <alignment horizontal="center" vertical="center"/>
    </xf>
    <xf numFmtId="167" fontId="8" fillId="0" borderId="0" xfId="0" applyNumberFormat="1" applyFont="1" applyBorder="1" applyAlignment="1">
      <alignment horizontal="center" vertical="center"/>
    </xf>
    <xf numFmtId="167" fontId="4" fillId="26" borderId="0" xfId="0" applyNumberFormat="1" applyFont="1" applyFill="1" applyBorder="1" applyAlignment="1">
      <alignment horizontal="center" vertical="center"/>
    </xf>
    <xf numFmtId="167" fontId="4" fillId="35" borderId="0" xfId="0" applyNumberFormat="1" applyFont="1" applyFill="1" applyBorder="1" applyAlignment="1">
      <alignment horizontal="center" vertical="center"/>
    </xf>
    <xf numFmtId="167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2" fontId="8" fillId="27" borderId="10" xfId="0" applyNumberFormat="1" applyFont="1" applyFill="1" applyBorder="1" applyAlignment="1">
      <alignment horizontal="right" vertical="center"/>
    </xf>
    <xf numFmtId="2" fontId="4" fillId="27" borderId="12" xfId="0" applyNumberFormat="1" applyFont="1" applyFill="1" applyBorder="1"/>
    <xf numFmtId="0" fontId="8" fillId="27" borderId="12" xfId="0" applyFont="1" applyFill="1" applyBorder="1"/>
    <xf numFmtId="0" fontId="5" fillId="36" borderId="1" xfId="0" applyFont="1" applyFill="1" applyBorder="1"/>
    <xf numFmtId="0" fontId="0" fillId="36" borderId="1" xfId="0" applyFill="1" applyBorder="1"/>
    <xf numFmtId="0" fontId="0" fillId="7" borderId="1" xfId="0" applyFill="1" applyBorder="1"/>
    <xf numFmtId="2" fontId="0" fillId="36" borderId="1" xfId="0" applyNumberForma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2" fontId="8" fillId="27" borderId="1" xfId="0" applyNumberFormat="1" applyFont="1" applyFill="1" applyBorder="1" applyAlignment="1">
      <alignment horizontal="center"/>
    </xf>
    <xf numFmtId="2" fontId="8" fillId="0" borderId="1" xfId="0" applyNumberFormat="1" applyFont="1" applyFill="1" applyBorder="1" applyAlignment="1">
      <alignment horizontal="center"/>
    </xf>
    <xf numFmtId="0" fontId="4" fillId="0" borderId="18" xfId="0" applyFont="1" applyBorder="1"/>
    <xf numFmtId="2" fontId="4" fillId="0" borderId="19" xfId="0" applyNumberFormat="1" applyFont="1" applyFill="1" applyBorder="1" applyAlignment="1">
      <alignment horizontal="right" vertical="center"/>
    </xf>
    <xf numFmtId="2" fontId="0" fillId="0" borderId="1" xfId="0" applyNumberFormat="1" applyBorder="1"/>
    <xf numFmtId="2" fontId="0" fillId="7" borderId="1" xfId="0" applyNumberFormat="1" applyFill="1" applyBorder="1"/>
    <xf numFmtId="0" fontId="4" fillId="27" borderId="10" xfId="0" applyFont="1" applyFill="1" applyBorder="1"/>
    <xf numFmtId="0" fontId="8" fillId="27" borderId="10" xfId="0" applyFont="1" applyFill="1" applyBorder="1"/>
    <xf numFmtId="167" fontId="4" fillId="35" borderId="1" xfId="0" applyNumberFormat="1" applyFont="1" applyFill="1" applyBorder="1" applyAlignment="1">
      <alignment horizontal="center" vertical="center"/>
    </xf>
    <xf numFmtId="2" fontId="8" fillId="27" borderId="9" xfId="0" applyNumberFormat="1" applyFont="1" applyFill="1" applyBorder="1" applyAlignment="1">
      <alignment horizontal="right" vertical="center"/>
    </xf>
    <xf numFmtId="2" fontId="8" fillId="27" borderId="12" xfId="0" applyNumberFormat="1" applyFont="1" applyFill="1" applyBorder="1" applyAlignment="1">
      <alignment horizontal="right" vertical="center"/>
    </xf>
    <xf numFmtId="0" fontId="5" fillId="27" borderId="0" xfId="0" applyFont="1" applyFill="1"/>
    <xf numFmtId="0" fontId="8" fillId="35" borderId="9" xfId="0" applyFont="1" applyFill="1" applyBorder="1"/>
    <xf numFmtId="0" fontId="0" fillId="35" borderId="12" xfId="0" applyFill="1" applyBorder="1"/>
    <xf numFmtId="0" fontId="8" fillId="35" borderId="20" xfId="0" applyFont="1" applyFill="1" applyBorder="1"/>
    <xf numFmtId="0" fontId="0" fillId="35" borderId="0" xfId="0" applyFill="1" applyBorder="1"/>
    <xf numFmtId="0" fontId="0" fillId="35" borderId="21" xfId="0" applyFill="1" applyBorder="1"/>
    <xf numFmtId="2" fontId="4" fillId="35" borderId="9" xfId="0" applyNumberFormat="1" applyFont="1" applyFill="1" applyBorder="1" applyAlignment="1">
      <alignment horizontal="right" vertical="center"/>
    </xf>
    <xf numFmtId="0" fontId="0" fillId="35" borderId="20" xfId="0" applyFill="1" applyBorder="1"/>
    <xf numFmtId="2" fontId="4" fillId="35" borderId="14" xfId="0" applyNumberFormat="1" applyFont="1" applyFill="1" applyBorder="1" applyAlignment="1">
      <alignment horizontal="right" vertical="center"/>
    </xf>
    <xf numFmtId="2" fontId="4" fillId="35" borderId="10" xfId="0" applyNumberFormat="1" applyFont="1" applyFill="1" applyBorder="1" applyAlignment="1">
      <alignment horizontal="right" vertical="center"/>
    </xf>
    <xf numFmtId="2" fontId="4" fillId="35" borderId="20" xfId="0" applyNumberFormat="1" applyFont="1" applyFill="1" applyBorder="1"/>
    <xf numFmtId="0" fontId="0" fillId="35" borderId="0" xfId="0" applyFill="1"/>
    <xf numFmtId="0" fontId="0" fillId="37" borderId="1" xfId="0" applyFill="1" applyBorder="1" applyAlignment="1">
      <alignment horizontal="center"/>
    </xf>
    <xf numFmtId="0" fontId="0" fillId="37" borderId="6" xfId="0" applyFill="1" applyBorder="1" applyAlignment="1">
      <alignment horizontal="center"/>
    </xf>
    <xf numFmtId="0" fontId="0" fillId="31" borderId="7" xfId="0" applyFill="1" applyBorder="1"/>
    <xf numFmtId="0" fontId="0" fillId="20" borderId="7" xfId="0" applyFill="1" applyBorder="1"/>
    <xf numFmtId="0" fontId="0" fillId="8" borderId="1" xfId="0" applyFill="1" applyBorder="1"/>
    <xf numFmtId="0" fontId="0" fillId="32" borderId="1" xfId="0" applyFill="1" applyBorder="1"/>
    <xf numFmtId="165" fontId="0" fillId="15" borderId="1" xfId="0" applyNumberFormat="1" applyFill="1" applyBorder="1"/>
    <xf numFmtId="0" fontId="0" fillId="20" borderId="0" xfId="0" applyFill="1"/>
    <xf numFmtId="0" fontId="0" fillId="31" borderId="5" xfId="0" applyFill="1" applyBorder="1"/>
    <xf numFmtId="2" fontId="8" fillId="0" borderId="0" xfId="0" applyNumberFormat="1" applyFon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8" borderId="1" xfId="1" applyFont="1" applyFill="1" applyBorder="1"/>
    <xf numFmtId="0" fontId="0" fillId="0" borderId="5" xfId="0" applyBorder="1"/>
    <xf numFmtId="0" fontId="0" fillId="31" borderId="0" xfId="0" applyFont="1" applyFill="1"/>
    <xf numFmtId="165" fontId="0" fillId="0" borderId="0" xfId="0" applyNumberFormat="1" applyFill="1" applyBorder="1"/>
    <xf numFmtId="0" fontId="5" fillId="27" borderId="1" xfId="0" applyFont="1" applyFill="1" applyBorder="1"/>
    <xf numFmtId="0" fontId="0" fillId="27" borderId="1" xfId="0" applyFill="1" applyBorder="1"/>
    <xf numFmtId="2" fontId="0" fillId="27" borderId="1" xfId="0" applyNumberFormat="1" applyFill="1" applyBorder="1" applyAlignment="1">
      <alignment horizontal="center"/>
    </xf>
    <xf numFmtId="0" fontId="0" fillId="27" borderId="1" xfId="0" applyFill="1" applyBorder="1" applyAlignment="1">
      <alignment horizontal="center"/>
    </xf>
    <xf numFmtId="2" fontId="8" fillId="35" borderId="13" xfId="0" applyNumberFormat="1" applyFont="1" applyFill="1" applyBorder="1" applyAlignment="1">
      <alignment horizontal="right" vertical="center"/>
    </xf>
    <xf numFmtId="2" fontId="8" fillId="35" borderId="14" xfId="0" applyNumberFormat="1" applyFont="1" applyFill="1" applyBorder="1" applyAlignment="1">
      <alignment horizontal="right" vertical="center"/>
    </xf>
    <xf numFmtId="0" fontId="0" fillId="0" borderId="27" xfId="0" applyBorder="1"/>
    <xf numFmtId="0" fontId="0" fillId="17" borderId="27" xfId="0" applyFill="1" applyBorder="1"/>
    <xf numFmtId="2" fontId="0" fillId="0" borderId="27" xfId="0" applyNumberFormat="1" applyBorder="1"/>
    <xf numFmtId="2" fontId="0" fillId="0" borderId="27" xfId="0" applyNumberFormat="1" applyFill="1" applyBorder="1"/>
    <xf numFmtId="0" fontId="0" fillId="0" borderId="27" xfId="0" applyFill="1" applyBorder="1"/>
    <xf numFmtId="167" fontId="8" fillId="0" borderId="27" xfId="0" applyNumberFormat="1" applyFont="1" applyFill="1" applyBorder="1" applyAlignment="1">
      <alignment horizontal="center" vertical="center"/>
    </xf>
    <xf numFmtId="2" fontId="8" fillId="0" borderId="27" xfId="0" applyNumberFormat="1" applyFont="1" applyFill="1" applyBorder="1" applyAlignment="1">
      <alignment horizontal="center" vertical="center"/>
    </xf>
    <xf numFmtId="167" fontId="4" fillId="0" borderId="27" xfId="0" applyNumberFormat="1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/>
    </xf>
    <xf numFmtId="2" fontId="0" fillId="0" borderId="27" xfId="0" applyNumberFormat="1" applyFill="1" applyBorder="1" applyAlignment="1">
      <alignment vertical="center"/>
    </xf>
    <xf numFmtId="0" fontId="0" fillId="0" borderId="27" xfId="0" applyFill="1" applyBorder="1" applyAlignment="1">
      <alignment vertical="center"/>
    </xf>
    <xf numFmtId="0" fontId="0" fillId="0" borderId="27" xfId="0" applyBorder="1" applyAlignment="1">
      <alignment vertical="center"/>
    </xf>
    <xf numFmtId="44" fontId="0" fillId="10" borderId="1" xfId="0" applyNumberFormat="1" applyFill="1" applyBorder="1"/>
    <xf numFmtId="44" fontId="0" fillId="0" borderId="0" xfId="0" applyNumberFormat="1" applyFill="1" applyBorder="1"/>
    <xf numFmtId="44" fontId="0" fillId="0" borderId="0" xfId="0" applyNumberFormat="1"/>
    <xf numFmtId="0" fontId="0" fillId="33" borderId="1" xfId="0" applyFill="1" applyBorder="1"/>
    <xf numFmtId="0" fontId="0" fillId="6" borderId="1" xfId="0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38" borderId="1" xfId="0" applyFill="1" applyBorder="1" applyAlignment="1">
      <alignment horizontal="center"/>
    </xf>
    <xf numFmtId="0" fontId="0" fillId="39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2" fontId="0" fillId="5" borderId="1" xfId="0" applyNumberFormat="1" applyFill="1" applyBorder="1" applyAlignment="1">
      <alignment horizontal="center" vertical="center"/>
    </xf>
    <xf numFmtId="167" fontId="0" fillId="5" borderId="1" xfId="0" applyNumberFormat="1" applyFill="1" applyBorder="1" applyAlignment="1">
      <alignment horizontal="center" vertical="center"/>
    </xf>
    <xf numFmtId="0" fontId="0" fillId="17" borderId="27" xfId="0" applyFill="1" applyBorder="1" applyAlignment="1">
      <alignment horizontal="center"/>
    </xf>
    <xf numFmtId="0" fontId="0" fillId="18" borderId="27" xfId="0" applyFill="1" applyBorder="1"/>
    <xf numFmtId="0" fontId="0" fillId="19" borderId="27" xfId="0" applyFill="1" applyBorder="1"/>
    <xf numFmtId="0" fontId="0" fillId="39" borderId="0" xfId="0" applyFill="1"/>
    <xf numFmtId="0" fontId="12" fillId="39" borderId="0" xfId="0" applyFont="1" applyFill="1" applyAlignment="1">
      <alignment horizontal="right" vertical="center"/>
    </xf>
    <xf numFmtId="0" fontId="12" fillId="0" borderId="0" xfId="0" applyFont="1" applyBorder="1" applyAlignment="1">
      <alignment vertical="center"/>
    </xf>
    <xf numFmtId="0" fontId="0" fillId="40" borderId="0" xfId="0" applyFill="1"/>
    <xf numFmtId="0" fontId="0" fillId="41" borderId="27" xfId="0" applyFill="1" applyBorder="1"/>
    <xf numFmtId="0" fontId="0" fillId="42" borderId="27" xfId="0" applyFill="1" applyBorder="1"/>
    <xf numFmtId="0" fontId="11" fillId="42" borderId="27" xfId="0" applyFont="1" applyFill="1" applyBorder="1"/>
    <xf numFmtId="0" fontId="5" fillId="36" borderId="4" xfId="0" applyFont="1" applyFill="1" applyBorder="1"/>
    <xf numFmtId="0" fontId="0" fillId="0" borderId="13" xfId="0" applyBorder="1"/>
    <xf numFmtId="0" fontId="0" fillId="0" borderId="15" xfId="0" applyBorder="1"/>
    <xf numFmtId="0" fontId="0" fillId="0" borderId="14" xfId="0" applyBorder="1"/>
    <xf numFmtId="0" fontId="0" fillId="0" borderId="18" xfId="0" applyBorder="1"/>
    <xf numFmtId="0" fontId="0" fillId="0" borderId="19" xfId="0" applyBorder="1"/>
    <xf numFmtId="0" fontId="0" fillId="0" borderId="19" xfId="0" applyFill="1" applyBorder="1"/>
    <xf numFmtId="0" fontId="5" fillId="0" borderId="18" xfId="0" applyFont="1" applyBorder="1"/>
    <xf numFmtId="0" fontId="0" fillId="0" borderId="45" xfId="0" applyBorder="1"/>
    <xf numFmtId="0" fontId="0" fillId="0" borderId="44" xfId="0" applyBorder="1"/>
    <xf numFmtId="0" fontId="0" fillId="0" borderId="11" xfId="0" applyBorder="1"/>
    <xf numFmtId="2" fontId="8" fillId="0" borderId="1" xfId="0" applyNumberFormat="1" applyFont="1" applyBorder="1" applyAlignment="1">
      <alignment horizontal="right" vertical="center"/>
    </xf>
    <xf numFmtId="2" fontId="4" fillId="0" borderId="1" xfId="0" applyNumberFormat="1" applyFont="1" applyBorder="1" applyAlignment="1">
      <alignment horizontal="right" vertical="center"/>
    </xf>
    <xf numFmtId="167" fontId="4" fillId="0" borderId="1" xfId="0" applyNumberFormat="1" applyFont="1" applyBorder="1" applyAlignment="1">
      <alignment horizontal="right" vertical="center"/>
    </xf>
    <xf numFmtId="2" fontId="0" fillId="0" borderId="1" xfId="0" applyNumberFormat="1" applyFill="1" applyBorder="1" applyAlignment="1">
      <alignment horizontal="center" vertical="center"/>
    </xf>
    <xf numFmtId="167" fontId="8" fillId="0" borderId="1" xfId="0" applyNumberFormat="1" applyFont="1" applyFill="1" applyBorder="1" applyAlignment="1">
      <alignment horizontal="center" vertical="center"/>
    </xf>
    <xf numFmtId="167" fontId="4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12" fillId="43" borderId="1" xfId="0" applyNumberFormat="1" applyFont="1" applyFill="1" applyBorder="1"/>
    <xf numFmtId="0" fontId="12" fillId="44" borderId="7" xfId="0" applyFont="1" applyFill="1" applyBorder="1"/>
    <xf numFmtId="0" fontId="12" fillId="44" borderId="1" xfId="0" applyFont="1" applyFill="1" applyBorder="1"/>
    <xf numFmtId="0" fontId="12" fillId="45" borderId="1" xfId="0" applyFont="1" applyFill="1" applyBorder="1"/>
    <xf numFmtId="0" fontId="12" fillId="46" borderId="1" xfId="0" applyFont="1" applyFill="1" applyBorder="1"/>
    <xf numFmtId="166" fontId="0" fillId="47" borderId="1" xfId="2" applyFont="1" applyFill="1" applyBorder="1" applyAlignment="1">
      <alignment horizontal="center" vertical="center"/>
    </xf>
    <xf numFmtId="166" fontId="0" fillId="47" borderId="1" xfId="2" applyFont="1" applyFill="1" applyBorder="1"/>
    <xf numFmtId="166" fontId="0" fillId="11" borderId="1" xfId="2" applyFont="1" applyFill="1" applyBorder="1" applyAlignment="1">
      <alignment horizontal="center" vertical="center"/>
    </xf>
    <xf numFmtId="2" fontId="8" fillId="0" borderId="1" xfId="0" applyNumberFormat="1" applyFont="1" applyBorder="1" applyAlignment="1">
      <alignment vertical="center"/>
    </xf>
    <xf numFmtId="2" fontId="8" fillId="0" borderId="1" xfId="0" applyNumberFormat="1" applyFont="1" applyBorder="1" applyAlignment="1"/>
    <xf numFmtId="2" fontId="4" fillId="0" borderId="1" xfId="0" applyNumberFormat="1" applyFont="1" applyBorder="1" applyAlignment="1">
      <alignment vertical="center"/>
    </xf>
    <xf numFmtId="2" fontId="4" fillId="0" borderId="1" xfId="0" applyNumberFormat="1" applyFont="1" applyBorder="1" applyAlignment="1"/>
    <xf numFmtId="0" fontId="12" fillId="0" borderId="1" xfId="0" applyFont="1" applyBorder="1"/>
    <xf numFmtId="0" fontId="12" fillId="43" borderId="1" xfId="0" applyFont="1" applyFill="1" applyBorder="1"/>
    <xf numFmtId="0" fontId="12" fillId="20" borderId="0" xfId="0" applyFont="1" applyFill="1"/>
    <xf numFmtId="166" fontId="10" fillId="10" borderId="1" xfId="2" applyFont="1" applyFill="1" applyBorder="1" applyAlignment="1">
      <alignment horizontal="center" vertical="center"/>
    </xf>
    <xf numFmtId="166" fontId="10" fillId="10" borderId="1" xfId="2" applyFont="1" applyFill="1" applyBorder="1" applyAlignment="1">
      <alignment horizontal="right"/>
    </xf>
    <xf numFmtId="0" fontId="12" fillId="49" borderId="1" xfId="0" applyFont="1" applyFill="1" applyBorder="1" applyAlignment="1">
      <alignment horizontal="right"/>
    </xf>
    <xf numFmtId="164" fontId="12" fillId="49" borderId="1" xfId="0" applyNumberFormat="1" applyFont="1" applyFill="1" applyBorder="1" applyAlignment="1">
      <alignment horizontal="right"/>
    </xf>
    <xf numFmtId="164" fontId="10" fillId="10" borderId="1" xfId="2" applyNumberFormat="1" applyFont="1" applyFill="1" applyBorder="1" applyAlignment="1">
      <alignment horizontal="right"/>
    </xf>
    <xf numFmtId="166" fontId="0" fillId="11" borderId="1" xfId="2" applyFont="1" applyFill="1" applyBorder="1" applyAlignment="1">
      <alignment horizontal="right"/>
    </xf>
    <xf numFmtId="2" fontId="12" fillId="49" borderId="1" xfId="0" applyNumberFormat="1" applyFont="1" applyFill="1" applyBorder="1" applyAlignment="1">
      <alignment horizontal="right"/>
    </xf>
    <xf numFmtId="2" fontId="10" fillId="10" borderId="1" xfId="2" applyNumberFormat="1" applyFont="1" applyFill="1" applyBorder="1" applyAlignment="1">
      <alignment horizontal="right"/>
    </xf>
    <xf numFmtId="166" fontId="5" fillId="7" borderId="1" xfId="2" applyFont="1" applyFill="1" applyBorder="1" applyAlignment="1">
      <alignment horizontal="center" vertical="center"/>
    </xf>
    <xf numFmtId="166" fontId="0" fillId="7" borderId="2" xfId="2" applyFont="1" applyFill="1" applyBorder="1" applyAlignment="1">
      <alignment horizontal="right"/>
    </xf>
    <xf numFmtId="166" fontId="0" fillId="7" borderId="3" xfId="2" applyFont="1" applyFill="1" applyBorder="1" applyAlignment="1">
      <alignment horizontal="right"/>
    </xf>
    <xf numFmtId="166" fontId="0" fillId="7" borderId="4" xfId="2" applyFont="1" applyFill="1" applyBorder="1" applyAlignment="1">
      <alignment horizontal="right"/>
    </xf>
    <xf numFmtId="166" fontId="0" fillId="7" borderId="1" xfId="0" applyNumberFormat="1" applyFill="1" applyBorder="1" applyAlignment="1">
      <alignment horizontal="right"/>
    </xf>
    <xf numFmtId="0" fontId="10" fillId="1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2" fontId="10" fillId="0" borderId="1" xfId="0" applyNumberFormat="1" applyFont="1" applyBorder="1" applyAlignment="1">
      <alignment vertical="center"/>
    </xf>
    <xf numFmtId="0" fontId="0" fillId="17" borderId="1" xfId="0" applyFill="1" applyBorder="1" applyAlignment="1">
      <alignment horizontal="center" vertical="center"/>
    </xf>
    <xf numFmtId="2" fontId="8" fillId="35" borderId="0" xfId="0" applyNumberFormat="1" applyFont="1" applyFill="1" applyBorder="1" applyAlignment="1">
      <alignment horizontal="center" vertical="center"/>
    </xf>
    <xf numFmtId="2" fontId="4" fillId="35" borderId="0" xfId="0" applyNumberFormat="1" applyFont="1" applyFill="1" applyBorder="1" applyAlignment="1">
      <alignment horizontal="center" vertical="center"/>
    </xf>
    <xf numFmtId="2" fontId="0" fillId="29" borderId="0" xfId="0" applyNumberFormat="1" applyFill="1" applyAlignment="1">
      <alignment horizontal="center" vertical="center"/>
    </xf>
    <xf numFmtId="0" fontId="0" fillId="35" borderId="0" xfId="0" applyFill="1" applyBorder="1" applyAlignment="1">
      <alignment horizontal="center" vertical="center"/>
    </xf>
    <xf numFmtId="2" fontId="0" fillId="19" borderId="1" xfId="0" applyNumberFormat="1" applyFill="1" applyBorder="1" applyAlignment="1">
      <alignment horizontal="center" vertical="center"/>
    </xf>
    <xf numFmtId="2" fontId="0" fillId="35" borderId="0" xfId="0" applyNumberFormat="1" applyFill="1" applyBorder="1" applyAlignment="1">
      <alignment horizontal="center" vertical="center"/>
    </xf>
    <xf numFmtId="0" fontId="0" fillId="50" borderId="0" xfId="0" applyFill="1" applyBorder="1"/>
    <xf numFmtId="2" fontId="0" fillId="50" borderId="0" xfId="0" applyNumberFormat="1" applyFill="1" applyBorder="1" applyAlignment="1">
      <alignment horizontal="center" vertical="center"/>
    </xf>
    <xf numFmtId="2" fontId="0" fillId="50" borderId="0" xfId="0" applyNumberFormat="1" applyFill="1" applyBorder="1" applyAlignment="1">
      <alignment horizontal="center"/>
    </xf>
    <xf numFmtId="167" fontId="0" fillId="50" borderId="0" xfId="0" applyNumberFormat="1" applyFill="1" applyBorder="1" applyAlignment="1">
      <alignment horizontal="center" vertical="center"/>
    </xf>
    <xf numFmtId="0" fontId="0" fillId="50" borderId="0" xfId="0" applyFill="1"/>
    <xf numFmtId="2" fontId="0" fillId="50" borderId="0" xfId="0" applyNumberFormat="1" applyFill="1" applyAlignment="1">
      <alignment horizontal="center" vertical="center"/>
    </xf>
    <xf numFmtId="2" fontId="0" fillId="50" borderId="0" xfId="0" applyNumberFormat="1" applyFill="1" applyAlignment="1">
      <alignment horizontal="center"/>
    </xf>
    <xf numFmtId="167" fontId="0" fillId="50" borderId="0" xfId="0" applyNumberFormat="1" applyFill="1" applyAlignment="1">
      <alignment horizontal="center" vertical="center"/>
    </xf>
    <xf numFmtId="0" fontId="0" fillId="0" borderId="44" xfId="0" applyBorder="1" applyAlignment="1">
      <alignment horizontal="center"/>
    </xf>
    <xf numFmtId="0" fontId="0" fillId="21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8" borderId="27" xfId="0" applyFill="1" applyBorder="1" applyAlignment="1">
      <alignment horizontal="center"/>
    </xf>
    <xf numFmtId="0" fontId="0" fillId="0" borderId="12" xfId="0" applyBorder="1" applyAlignment="1">
      <alignment horizontal="center"/>
    </xf>
    <xf numFmtId="2" fontId="0" fillId="29" borderId="1" xfId="0" applyNumberFormat="1" applyFill="1" applyBorder="1" applyAlignment="1">
      <alignment horizontal="center" vertical="center"/>
    </xf>
    <xf numFmtId="0" fontId="0" fillId="20" borderId="2" xfId="0" applyFill="1" applyBorder="1" applyAlignment="1">
      <alignment horizontal="center"/>
    </xf>
    <xf numFmtId="0" fontId="0" fillId="20" borderId="4" xfId="0" applyFill="1" applyBorder="1" applyAlignment="1">
      <alignment horizontal="center"/>
    </xf>
    <xf numFmtId="0" fontId="0" fillId="33" borderId="36" xfId="0" applyFill="1" applyBorder="1" applyAlignment="1">
      <alignment horizontal="center"/>
    </xf>
    <xf numFmtId="0" fontId="0" fillId="33" borderId="37" xfId="0" applyFill="1" applyBorder="1" applyAlignment="1">
      <alignment horizontal="center"/>
    </xf>
    <xf numFmtId="2" fontId="0" fillId="29" borderId="27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2" fontId="0" fillId="0" borderId="27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21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8" fillId="0" borderId="6" xfId="0" applyNumberFormat="1" applyFont="1" applyBorder="1" applyAlignment="1">
      <alignment horizontal="center" vertical="center"/>
    </xf>
    <xf numFmtId="2" fontId="8" fillId="0" borderId="5" xfId="0" applyNumberFormat="1" applyFont="1" applyBorder="1" applyAlignment="1">
      <alignment horizontal="center" vertical="center"/>
    </xf>
    <xf numFmtId="2" fontId="8" fillId="0" borderId="7" xfId="0" applyNumberFormat="1" applyFont="1" applyBorder="1" applyAlignment="1">
      <alignment horizontal="center" vertical="center"/>
    </xf>
    <xf numFmtId="2" fontId="0" fillId="29" borderId="27" xfId="0" applyNumberFormat="1" applyFill="1" applyBorder="1" applyAlignment="1">
      <alignment horizontal="center" vertical="center"/>
    </xf>
    <xf numFmtId="2" fontId="0" fillId="29" borderId="27" xfId="0" applyNumberFormat="1" applyFill="1" applyBorder="1" applyAlignment="1">
      <alignment vertical="center"/>
    </xf>
    <xf numFmtId="0" fontId="0" fillId="0" borderId="0" xfId="0" applyAlignment="1">
      <alignment horizontal="center"/>
    </xf>
    <xf numFmtId="0" fontId="0" fillId="20" borderId="2" xfId="0" applyFill="1" applyBorder="1" applyAlignment="1">
      <alignment horizontal="center"/>
    </xf>
    <xf numFmtId="0" fontId="0" fillId="20" borderId="4" xfId="0" applyFill="1" applyBorder="1" applyAlignment="1">
      <alignment horizontal="center"/>
    </xf>
    <xf numFmtId="2" fontId="0" fillId="0" borderId="19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46" xfId="0" applyFill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0" fontId="0" fillId="0" borderId="48" xfId="0" applyFill="1" applyBorder="1" applyAlignment="1">
      <alignment horizontal="center" vertical="center"/>
    </xf>
    <xf numFmtId="2" fontId="0" fillId="29" borderId="1" xfId="0" applyNumberFormat="1" applyFill="1" applyBorder="1" applyAlignment="1">
      <alignment horizontal="center" vertical="center"/>
    </xf>
    <xf numFmtId="0" fontId="0" fillId="33" borderId="36" xfId="0" applyFill="1" applyBorder="1" applyAlignment="1">
      <alignment horizontal="center"/>
    </xf>
    <xf numFmtId="0" fontId="0" fillId="33" borderId="37" xfId="0" applyFill="1" applyBorder="1" applyAlignment="1">
      <alignment horizont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28" borderId="27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2" fontId="0" fillId="16" borderId="1" xfId="0" applyNumberFormat="1" applyFill="1" applyBorder="1" applyAlignment="1">
      <alignment horizontal="center" vertical="center"/>
    </xf>
    <xf numFmtId="2" fontId="0" fillId="16" borderId="0" xfId="0" applyNumberFormat="1" applyFill="1" applyAlignment="1">
      <alignment horizontal="center" vertical="center"/>
    </xf>
    <xf numFmtId="2" fontId="10" fillId="16" borderId="1" xfId="0" applyNumberFormat="1" applyFont="1" applyFill="1" applyBorder="1" applyAlignment="1">
      <alignment horizontal="center" vertical="center"/>
    </xf>
    <xf numFmtId="2" fontId="10" fillId="16" borderId="6" xfId="0" applyNumberFormat="1" applyFont="1" applyFill="1" applyBorder="1" applyAlignment="1">
      <alignment horizontal="center" vertical="center"/>
    </xf>
    <xf numFmtId="2" fontId="10" fillId="16" borderId="7" xfId="0" applyNumberFormat="1" applyFont="1" applyFill="1" applyBorder="1" applyAlignment="1">
      <alignment horizontal="center" vertical="center"/>
    </xf>
    <xf numFmtId="2" fontId="0" fillId="0" borderId="27" xfId="0" applyNumberFormat="1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2" fontId="0" fillId="0" borderId="41" xfId="0" applyNumberFormat="1" applyBorder="1" applyAlignment="1">
      <alignment horizontal="center" vertical="center"/>
    </xf>
    <xf numFmtId="2" fontId="0" fillId="0" borderId="40" xfId="0" applyNumberFormat="1" applyBorder="1" applyAlignment="1">
      <alignment horizontal="center" vertical="center"/>
    </xf>
    <xf numFmtId="2" fontId="0" fillId="0" borderId="42" xfId="0" applyNumberFormat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12" fillId="48" borderId="2" xfId="0" applyFont="1" applyFill="1" applyBorder="1" applyAlignment="1">
      <alignment horizontal="center"/>
    </xf>
    <xf numFmtId="0" fontId="12" fillId="48" borderId="3" xfId="0" applyFont="1" applyFill="1" applyBorder="1" applyAlignment="1">
      <alignment horizontal="center"/>
    </xf>
    <xf numFmtId="0" fontId="0" fillId="37" borderId="2" xfId="0" applyFill="1" applyBorder="1" applyAlignment="1">
      <alignment horizontal="center"/>
    </xf>
    <xf numFmtId="0" fontId="0" fillId="37" borderId="4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3" borderId="0" xfId="0" applyFill="1" applyAlignment="1">
      <alignment horizontal="center"/>
    </xf>
    <xf numFmtId="2" fontId="0" fillId="0" borderId="19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/>
    </xf>
  </cellXfs>
  <cellStyles count="3">
    <cellStyle name="Comma" xfId="2" builtinId="3"/>
    <cellStyle name="Currency" xfId="1" builtinId="4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Cold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'HEAT and COOL 1'!$P$24:$P$29</c:f>
              <c:numCache>
                <c:formatCode>General</c:formatCode>
                <c:ptCount val="6"/>
                <c:pt idx="0">
                  <c:v>60812.813642218447</c:v>
                </c:pt>
                <c:pt idx="1">
                  <c:v>75596.225917066447</c:v>
                </c:pt>
                <c:pt idx="2">
                  <c:v>80822.37149435046</c:v>
                </c:pt>
                <c:pt idx="3">
                  <c:v>109941.70947682169</c:v>
                </c:pt>
                <c:pt idx="4">
                  <c:v>112423.64240653896</c:v>
                </c:pt>
                <c:pt idx="5">
                  <c:v>151768.47739299096</c:v>
                </c:pt>
              </c:numCache>
            </c:numRef>
          </c:xVal>
          <c:yVal>
            <c:numRef>
              <c:f>'HEAT and COOL 1'!$O$24:$O$29</c:f>
              <c:numCache>
                <c:formatCode>0.00</c:formatCode>
                <c:ptCount val="6"/>
                <c:pt idx="0">
                  <c:v>52.665870539244999</c:v>
                </c:pt>
                <c:pt idx="1">
                  <c:v>137.5</c:v>
                </c:pt>
                <c:pt idx="2">
                  <c:v>145.858729681705</c:v>
                </c:pt>
                <c:pt idx="3">
                  <c:v>192</c:v>
                </c:pt>
                <c:pt idx="4">
                  <c:v>195.2</c:v>
                </c:pt>
                <c:pt idx="5" formatCode="General">
                  <c:v>456.85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39-4CBB-81B1-826980F76D96}"/>
            </c:ext>
          </c:extLst>
        </c:ser>
        <c:ser>
          <c:idx val="1"/>
          <c:order val="1"/>
          <c:tx>
            <c:v>Heat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'HEAT and COOL 1'!$N$35:$N$48</c:f>
              <c:numCache>
                <c:formatCode>General</c:formatCode>
                <c:ptCount val="14"/>
                <c:pt idx="0">
                  <c:v>0</c:v>
                </c:pt>
                <c:pt idx="1">
                  <c:v>2842.2317892152942</c:v>
                </c:pt>
                <c:pt idx="2">
                  <c:v>11834.578096317397</c:v>
                </c:pt>
                <c:pt idx="3">
                  <c:v>12119.676529264541</c:v>
                </c:pt>
                <c:pt idx="4">
                  <c:v>29429.286600233499</c:v>
                </c:pt>
                <c:pt idx="5">
                  <c:v>62645.849680316009</c:v>
                </c:pt>
                <c:pt idx="6">
                  <c:v>64478.983706164057</c:v>
                </c:pt>
                <c:pt idx="7">
                  <c:v>64764.020277226009</c:v>
                </c:pt>
                <c:pt idx="8">
                  <c:v>69797.175357053668</c:v>
                </c:pt>
                <c:pt idx="9">
                  <c:v>70068.337049482405</c:v>
                </c:pt>
                <c:pt idx="10">
                  <c:v>70069.296667586474</c:v>
                </c:pt>
                <c:pt idx="11">
                  <c:v>70487.156504384649</c:v>
                </c:pt>
                <c:pt idx="12">
                  <c:v>77574.394953021882</c:v>
                </c:pt>
                <c:pt idx="13">
                  <c:v>105974.38634617561</c:v>
                </c:pt>
              </c:numCache>
            </c:numRef>
          </c:xVal>
          <c:yVal>
            <c:numRef>
              <c:f>'HEAT and COOL 1'!$O$35:$O$48</c:f>
              <c:numCache>
                <c:formatCode>0.00</c:formatCode>
                <c:ptCount val="14"/>
                <c:pt idx="0" formatCode="General">
                  <c:v>55</c:v>
                </c:pt>
                <c:pt idx="1">
                  <c:v>58.4</c:v>
                </c:pt>
                <c:pt idx="2">
                  <c:v>65</c:v>
                </c:pt>
                <c:pt idx="3">
                  <c:v>65.150063343529993</c:v>
                </c:pt>
                <c:pt idx="4">
                  <c:v>77.177750517301007</c:v>
                </c:pt>
                <c:pt idx="5">
                  <c:v>100.3</c:v>
                </c:pt>
                <c:pt idx="6">
                  <c:v>102.6</c:v>
                </c:pt>
                <c:pt idx="7">
                  <c:v>103.805621619002</c:v>
                </c:pt>
                <c:pt idx="8">
                  <c:v>137.05358729018999</c:v>
                </c:pt>
                <c:pt idx="9" formatCode="0.000">
                  <c:v>139.04103150819901</c:v>
                </c:pt>
                <c:pt idx="10">
                  <c:v>139.04300000000001</c:v>
                </c:pt>
                <c:pt idx="11">
                  <c:v>140.477</c:v>
                </c:pt>
                <c:pt idx="12">
                  <c:v>192</c:v>
                </c:pt>
                <c:pt idx="13">
                  <c:v>400.154028617682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39-4CBB-81B1-826980F76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223104"/>
        <c:axId val="942225072"/>
      </c:scatterChart>
      <c:valAx>
        <c:axId val="94222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Enthalpy 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225072"/>
        <c:crosses val="autoZero"/>
        <c:crossBetween val="midCat"/>
      </c:valAx>
      <c:valAx>
        <c:axId val="94222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>
                    <a:latin typeface="+mn-lt"/>
                  </a:rPr>
                  <a:t>Temperature (</a:t>
                </a:r>
                <a:r>
                  <a:rPr lang="en-GB" sz="1050">
                    <a:latin typeface="+mn-lt"/>
                    <a:cs typeface="Calibri" panose="020F0502020204030204" pitchFamily="34" charset="0"/>
                  </a:rPr>
                  <a:t>°C)</a:t>
                </a:r>
                <a:endParaRPr lang="en-GB" sz="1050">
                  <a:latin typeface="+mn-lt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223104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Composite Curve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'HEAT and COOL 3'!$L$44:$L$63</c:f>
              <c:numCache>
                <c:formatCode>0.00</c:formatCode>
                <c:ptCount val="20"/>
                <c:pt idx="0">
                  <c:v>31998.19584522357</c:v>
                </c:pt>
                <c:pt idx="1">
                  <c:v>30929.466683099417</c:v>
                </c:pt>
                <c:pt idx="2">
                  <c:v>28352.202708558601</c:v>
                </c:pt>
                <c:pt idx="3">
                  <c:v>26788.059826141023</c:v>
                </c:pt>
                <c:pt idx="4">
                  <c:v>16894.98859041723</c:v>
                </c:pt>
                <c:pt idx="5">
                  <c:v>3993.3280214410152</c:v>
                </c:pt>
                <c:pt idx="6">
                  <c:v>1292.1872345142297</c:v>
                </c:pt>
                <c:pt idx="7">
                  <c:v>667.3119184079942</c:v>
                </c:pt>
                <c:pt idx="8">
                  <c:v>835.27924924324225</c:v>
                </c:pt>
                <c:pt idx="9">
                  <c:v>835.89583293370538</c:v>
                </c:pt>
                <c:pt idx="10">
                  <c:v>760.72041511151838</c:v>
                </c:pt>
                <c:pt idx="11">
                  <c:v>9.0949470177292824E-13</c:v>
                </c:pt>
                <c:pt idx="12">
                  <c:v>74.941865611812375</c:v>
                </c:pt>
                <c:pt idx="13">
                  <c:v>1507.2720116029932</c:v>
                </c:pt>
                <c:pt idx="14">
                  <c:v>30694.492785735842</c:v>
                </c:pt>
                <c:pt idx="15">
                  <c:v>36401.499640332084</c:v>
                </c:pt>
                <c:pt idx="16">
                  <c:v>50680.435477870305</c:v>
                </c:pt>
                <c:pt idx="17">
                  <c:v>50965.533910817452</c:v>
                </c:pt>
                <c:pt idx="18">
                  <c:v>59957.880217919555</c:v>
                </c:pt>
                <c:pt idx="19">
                  <c:v>64590.301042790335</c:v>
                </c:pt>
              </c:numCache>
            </c:numRef>
          </c:xVal>
          <c:yVal>
            <c:numRef>
              <c:f>'HEAT and COOL 3'!$K$44:$K$63</c:f>
              <c:numCache>
                <c:formatCode>General</c:formatCode>
                <c:ptCount val="20"/>
                <c:pt idx="0">
                  <c:v>456.85</c:v>
                </c:pt>
                <c:pt idx="1">
                  <c:v>380.154028617682</c:v>
                </c:pt>
                <c:pt idx="2">
                  <c:v>195.2</c:v>
                </c:pt>
                <c:pt idx="3">
                  <c:v>192</c:v>
                </c:pt>
                <c:pt idx="4">
                  <c:v>172</c:v>
                </c:pt>
                <c:pt idx="5">
                  <c:v>145.858729681705</c:v>
                </c:pt>
                <c:pt idx="6">
                  <c:v>137.5</c:v>
                </c:pt>
                <c:pt idx="7">
                  <c:v>120.477</c:v>
                </c:pt>
                <c:pt idx="8">
                  <c:v>119.04300000000001</c:v>
                </c:pt>
                <c:pt idx="9">
                  <c:v>119.04103150819901</c:v>
                </c:pt>
                <c:pt idx="10">
                  <c:v>117.05358729018999</c:v>
                </c:pt>
                <c:pt idx="11">
                  <c:v>83.805621619001997</c:v>
                </c:pt>
                <c:pt idx="12">
                  <c:v>82.6</c:v>
                </c:pt>
                <c:pt idx="13">
                  <c:v>80.3</c:v>
                </c:pt>
                <c:pt idx="14">
                  <c:v>57.177750517301007</c:v>
                </c:pt>
                <c:pt idx="15">
                  <c:v>52.665870539244999</c:v>
                </c:pt>
                <c:pt idx="16">
                  <c:v>45.150063343529993</c:v>
                </c:pt>
                <c:pt idx="17">
                  <c:v>45</c:v>
                </c:pt>
                <c:pt idx="18">
                  <c:v>38.4</c:v>
                </c:pt>
                <c:pt idx="19" formatCode="0.00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75-486D-BA20-1016B3855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190040"/>
        <c:axId val="1083191680"/>
      </c:scatterChart>
      <c:valAx>
        <c:axId val="1083190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>
                    <a:latin typeface="Arial" panose="020B0604020202020204" pitchFamily="34" charset="0"/>
                    <a:cs typeface="Arial" panose="020B0604020202020204" pitchFamily="34" charset="0"/>
                  </a:rPr>
                  <a:t>Enthalpy 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191680"/>
        <c:crosses val="autoZero"/>
        <c:crossBetween val="midCat"/>
      </c:valAx>
      <c:valAx>
        <c:axId val="108319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>
                    <a:latin typeface="Arial" panose="020B0604020202020204" pitchFamily="34" charset="0"/>
                    <a:cs typeface="Arial" panose="020B0604020202020204" pitchFamily="34" charset="0"/>
                  </a:rPr>
                  <a:t>Temperature</a:t>
                </a:r>
                <a:r>
                  <a:rPr lang="en-GB" sz="16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(° C)</a:t>
                </a:r>
                <a:endParaRPr lang="en-GB" sz="16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190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Composite Curve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'HEAT and COOL 4'!$N$56:$N$83</c:f>
              <c:numCache>
                <c:formatCode>0.00</c:formatCode>
                <c:ptCount val="28"/>
                <c:pt idx="0">
                  <c:v>31655.428066943143</c:v>
                </c:pt>
                <c:pt idx="1">
                  <c:v>30586.69890481899</c:v>
                </c:pt>
                <c:pt idx="2">
                  <c:v>28009.434930278174</c:v>
                </c:pt>
                <c:pt idx="3">
                  <c:v>26445.292047860596</c:v>
                </c:pt>
                <c:pt idx="4">
                  <c:v>16552.220812136802</c:v>
                </c:pt>
                <c:pt idx="5">
                  <c:v>4505.0046419147475</c:v>
                </c:pt>
                <c:pt idx="6">
                  <c:v>3931.598134781063</c:v>
                </c:pt>
                <c:pt idx="7">
                  <c:v>3571.3167827015063</c:v>
                </c:pt>
                <c:pt idx="8">
                  <c:v>870.17599577472083</c:v>
                </c:pt>
                <c:pt idx="9">
                  <c:v>245.30067966848537</c:v>
                </c:pt>
                <c:pt idx="10">
                  <c:v>413.26801050373336</c:v>
                </c:pt>
                <c:pt idx="11">
                  <c:v>413.88459419419644</c:v>
                </c:pt>
                <c:pt idx="12">
                  <c:v>338.70917637200944</c:v>
                </c:pt>
                <c:pt idx="13">
                  <c:v>0</c:v>
                </c:pt>
                <c:pt idx="14">
                  <c:v>249.90119330035915</c:v>
                </c:pt>
                <c:pt idx="15">
                  <c:v>4491.1933010143957</c:v>
                </c:pt>
                <c:pt idx="16">
                  <c:v>4566.1351666262071</c:v>
                </c:pt>
                <c:pt idx="17">
                  <c:v>5998.465312617388</c:v>
                </c:pt>
                <c:pt idx="18">
                  <c:v>35185.68608675024</c:v>
                </c:pt>
                <c:pt idx="19">
                  <c:v>35773.062125219643</c:v>
                </c:pt>
                <c:pt idx="20">
                  <c:v>46098.159242737151</c:v>
                </c:pt>
                <c:pt idx="21">
                  <c:v>51805.166097333393</c:v>
                </c:pt>
                <c:pt idx="22">
                  <c:v>66084.101934871607</c:v>
                </c:pt>
                <c:pt idx="23">
                  <c:v>66369.200367818747</c:v>
                </c:pt>
                <c:pt idx="24">
                  <c:v>74012.694728855524</c:v>
                </c:pt>
                <c:pt idx="25">
                  <c:v>76011.48859639377</c:v>
                </c:pt>
                <c:pt idx="26">
                  <c:v>76031.678433439607</c:v>
                </c:pt>
                <c:pt idx="27">
                  <c:v>80650.474491178407</c:v>
                </c:pt>
              </c:numCache>
            </c:numRef>
          </c:xVal>
          <c:yVal>
            <c:numRef>
              <c:f>'HEAT and COOL 4'!$M$56:$M$83</c:f>
              <c:numCache>
                <c:formatCode>General</c:formatCode>
                <c:ptCount val="28"/>
                <c:pt idx="0">
                  <c:v>456.85</c:v>
                </c:pt>
                <c:pt idx="1">
                  <c:v>380.154028617682</c:v>
                </c:pt>
                <c:pt idx="2">
                  <c:v>195.2</c:v>
                </c:pt>
                <c:pt idx="3">
                  <c:v>192</c:v>
                </c:pt>
                <c:pt idx="4">
                  <c:v>172</c:v>
                </c:pt>
                <c:pt idx="5">
                  <c:v>147.59</c:v>
                </c:pt>
                <c:pt idx="6">
                  <c:v>146.59</c:v>
                </c:pt>
                <c:pt idx="7">
                  <c:v>145.858729681705</c:v>
                </c:pt>
                <c:pt idx="8">
                  <c:v>137.5</c:v>
                </c:pt>
                <c:pt idx="9">
                  <c:v>120.477</c:v>
                </c:pt>
                <c:pt idx="10">
                  <c:v>119.04300000000001</c:v>
                </c:pt>
                <c:pt idx="11">
                  <c:v>119.04103150819901</c:v>
                </c:pt>
                <c:pt idx="12">
                  <c:v>117.05358729018999</c:v>
                </c:pt>
                <c:pt idx="13">
                  <c:v>102.25</c:v>
                </c:pt>
                <c:pt idx="14">
                  <c:v>101.25</c:v>
                </c:pt>
                <c:pt idx="15">
                  <c:v>83.805621619001997</c:v>
                </c:pt>
                <c:pt idx="16">
                  <c:v>82.6</c:v>
                </c:pt>
                <c:pt idx="17">
                  <c:v>80.3</c:v>
                </c:pt>
                <c:pt idx="18">
                  <c:v>79.680000000000007</c:v>
                </c:pt>
                <c:pt idx="19" formatCode="0.00">
                  <c:v>78.680000000000007</c:v>
                </c:pt>
                <c:pt idx="20">
                  <c:v>57.177750517301007</c:v>
                </c:pt>
                <c:pt idx="21">
                  <c:v>52.665870539244999</c:v>
                </c:pt>
                <c:pt idx="22">
                  <c:v>45.150063343529993</c:v>
                </c:pt>
                <c:pt idx="23">
                  <c:v>45</c:v>
                </c:pt>
                <c:pt idx="24">
                  <c:v>39.39</c:v>
                </c:pt>
                <c:pt idx="25">
                  <c:v>38.4</c:v>
                </c:pt>
                <c:pt idx="26">
                  <c:v>38.39</c:v>
                </c:pt>
                <c:pt idx="27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9A-435A-9F9E-9308BB993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190040"/>
        <c:axId val="1083191680"/>
      </c:scatterChart>
      <c:valAx>
        <c:axId val="1083190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>
                    <a:latin typeface="Arial" panose="020B0604020202020204" pitchFamily="34" charset="0"/>
                    <a:cs typeface="Arial" panose="020B0604020202020204" pitchFamily="34" charset="0"/>
                  </a:rPr>
                  <a:t>Enthalpy 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191680"/>
        <c:crosses val="autoZero"/>
        <c:crossBetween val="midCat"/>
      </c:valAx>
      <c:valAx>
        <c:axId val="108319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>
                    <a:latin typeface="Arial" panose="020B0604020202020204" pitchFamily="34" charset="0"/>
                    <a:cs typeface="Arial" panose="020B0604020202020204" pitchFamily="34" charset="0"/>
                  </a:rPr>
                  <a:t>Temperature</a:t>
                </a:r>
                <a:r>
                  <a:rPr lang="en-GB" sz="16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(° C)</a:t>
                </a:r>
                <a:endParaRPr lang="en-GB" sz="16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190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14878608923888"/>
          <c:y val="5.5555555555555552E-2"/>
          <c:w val="0.86143454724409452"/>
          <c:h val="0.88125601487314087"/>
        </c:manualLayout>
      </c:layout>
      <c:lineChart>
        <c:grouping val="standard"/>
        <c:varyColors val="0"/>
        <c:ser>
          <c:idx val="0"/>
          <c:order val="0"/>
          <c:tx>
            <c:v>Temp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'Second Law Analysis'!$G$5:$G$27</c:f>
              <c:numCache>
                <c:formatCode>General</c:formatCode>
                <c:ptCount val="23"/>
                <c:pt idx="0">
                  <c:v>6029.2069988988014</c:v>
                </c:pt>
                <c:pt idx="1">
                  <c:v>6927.2963547311228</c:v>
                </c:pt>
                <c:pt idx="2">
                  <c:v>8181.1298892597606</c:v>
                </c:pt>
                <c:pt idx="3">
                  <c:v>51660.229723415687</c:v>
                </c:pt>
                <c:pt idx="4">
                  <c:v>54521.375789602753</c:v>
                </c:pt>
                <c:pt idx="5">
                  <c:v>56955.820993207075</c:v>
                </c:pt>
                <c:pt idx="6">
                  <c:v>59807.036799218971</c:v>
                </c:pt>
                <c:pt idx="7">
                  <c:v>62487.28835674849</c:v>
                </c:pt>
                <c:pt idx="8">
                  <c:v>62673.879501603486</c:v>
                </c:pt>
                <c:pt idx="9">
                  <c:v>63570.818789530604</c:v>
                </c:pt>
                <c:pt idx="10">
                  <c:v>68851.575615225185</c:v>
                </c:pt>
                <c:pt idx="11">
                  <c:v>69215.504288787226</c:v>
                </c:pt>
                <c:pt idx="12">
                  <c:v>70211.162897941045</c:v>
                </c:pt>
                <c:pt idx="13">
                  <c:v>70277.269085729029</c:v>
                </c:pt>
                <c:pt idx="14">
                  <c:v>127134.38806099564</c:v>
                </c:pt>
                <c:pt idx="15">
                  <c:v>127235.4542910125</c:v>
                </c:pt>
                <c:pt idx="16">
                  <c:v>127995.31825713631</c:v>
                </c:pt>
                <c:pt idx="17">
                  <c:v>130739.19166663507</c:v>
                </c:pt>
                <c:pt idx="18">
                  <c:v>133147.72612515648</c:v>
                </c:pt>
                <c:pt idx="19">
                  <c:v>133237.31772755639</c:v>
                </c:pt>
                <c:pt idx="20">
                  <c:v>135751.23072661541</c:v>
                </c:pt>
                <c:pt idx="21">
                  <c:v>142401.95888517238</c:v>
                </c:pt>
                <c:pt idx="22">
                  <c:v>201507.2534064182</c:v>
                </c:pt>
              </c:numCache>
            </c:numRef>
          </c:cat>
          <c:val>
            <c:numRef>
              <c:f>'Second Law Analysis'!$B$5:$B$27</c:f>
              <c:numCache>
                <c:formatCode>0.00</c:formatCode>
                <c:ptCount val="23"/>
                <c:pt idx="0">
                  <c:v>52.665870539244999</c:v>
                </c:pt>
                <c:pt idx="1">
                  <c:v>79.682662970324998</c:v>
                </c:pt>
                <c:pt idx="2">
                  <c:v>80.682662970324998</c:v>
                </c:pt>
                <c:pt idx="3">
                  <c:v>86.301073542672995</c:v>
                </c:pt>
                <c:pt idx="4">
                  <c:v>87.301073542672995</c:v>
                </c:pt>
                <c:pt idx="5">
                  <c:v>100.12182914109501</c:v>
                </c:pt>
                <c:pt idx="6">
                  <c:v>101.12182914109501</c:v>
                </c:pt>
                <c:pt idx="7">
                  <c:v>113.898087382238</c:v>
                </c:pt>
                <c:pt idx="8">
                  <c:v>114.898087382238</c:v>
                </c:pt>
                <c:pt idx="9">
                  <c:v>115.734199698658</c:v>
                </c:pt>
                <c:pt idx="10">
                  <c:v>116.734199698658</c:v>
                </c:pt>
                <c:pt idx="11">
                  <c:v>140.397197347413</c:v>
                </c:pt>
                <c:pt idx="12">
                  <c:v>141.397197347413</c:v>
                </c:pt>
                <c:pt idx="13">
                  <c:v>145.858729681705</c:v>
                </c:pt>
                <c:pt idx="14">
                  <c:v>146.14737264148201</c:v>
                </c:pt>
                <c:pt idx="15">
                  <c:v>147.14737264148201</c:v>
                </c:pt>
                <c:pt idx="16">
                  <c:v>147.588663490973</c:v>
                </c:pt>
                <c:pt idx="17">
                  <c:v>148.588663490973</c:v>
                </c:pt>
                <c:pt idx="18">
                  <c:v>160.569383733248</c:v>
                </c:pt>
                <c:pt idx="19">
                  <c:v>161.569383733248</c:v>
                </c:pt>
                <c:pt idx="20">
                  <c:v>161.96057230656001</c:v>
                </c:pt>
                <c:pt idx="21">
                  <c:v>162.96057230656001</c:v>
                </c:pt>
                <c:pt idx="22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BEE9-4C73-A926-133B6FD8B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9210040"/>
        <c:axId val="729210368"/>
      </c:lineChart>
      <c:catAx>
        <c:axId val="729210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210368"/>
        <c:crosses val="autoZero"/>
        <c:auto val="1"/>
        <c:lblAlgn val="ctr"/>
        <c:lblOffset val="100"/>
        <c:noMultiLvlLbl val="0"/>
      </c:catAx>
      <c:valAx>
        <c:axId val="72921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210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Grand Composite Curve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DISTILLATION!$AF$3:$AF$22</c:f>
              <c:numCache>
                <c:formatCode>0.00</c:formatCode>
                <c:ptCount val="20"/>
                <c:pt idx="0">
                  <c:v>31998.19584522357</c:v>
                </c:pt>
                <c:pt idx="1">
                  <c:v>30929.466683099417</c:v>
                </c:pt>
                <c:pt idx="2">
                  <c:v>28352.202708558601</c:v>
                </c:pt>
                <c:pt idx="3">
                  <c:v>26788.059826141023</c:v>
                </c:pt>
                <c:pt idx="4">
                  <c:v>16894.98859041723</c:v>
                </c:pt>
                <c:pt idx="5">
                  <c:v>3993.3280214410152</c:v>
                </c:pt>
                <c:pt idx="6">
                  <c:v>1292.1872345142297</c:v>
                </c:pt>
                <c:pt idx="7">
                  <c:v>667.3119184079942</c:v>
                </c:pt>
                <c:pt idx="8">
                  <c:v>835.27924924324225</c:v>
                </c:pt>
                <c:pt idx="9">
                  <c:v>835.89583293370538</c:v>
                </c:pt>
                <c:pt idx="10">
                  <c:v>760.72041511151838</c:v>
                </c:pt>
                <c:pt idx="11">
                  <c:v>9.0949470177292824E-13</c:v>
                </c:pt>
                <c:pt idx="12">
                  <c:v>74.941865611812375</c:v>
                </c:pt>
                <c:pt idx="13">
                  <c:v>1507.2720116029932</c:v>
                </c:pt>
                <c:pt idx="14">
                  <c:v>30694.492785735842</c:v>
                </c:pt>
                <c:pt idx="15">
                  <c:v>36401.499640332084</c:v>
                </c:pt>
                <c:pt idx="16">
                  <c:v>50680.435477870305</c:v>
                </c:pt>
                <c:pt idx="17">
                  <c:v>50965.533910817452</c:v>
                </c:pt>
                <c:pt idx="18">
                  <c:v>59957.880217919555</c:v>
                </c:pt>
                <c:pt idx="19">
                  <c:v>64590.301042790335</c:v>
                </c:pt>
              </c:numCache>
            </c:numRef>
          </c:xVal>
          <c:yVal>
            <c:numRef>
              <c:f>DISTILLATION!$AE$3:$AE$22</c:f>
              <c:numCache>
                <c:formatCode>General</c:formatCode>
                <c:ptCount val="20"/>
                <c:pt idx="0">
                  <c:v>456.85</c:v>
                </c:pt>
                <c:pt idx="1">
                  <c:v>380.154028617682</c:v>
                </c:pt>
                <c:pt idx="2">
                  <c:v>195.2</c:v>
                </c:pt>
                <c:pt idx="3">
                  <c:v>192</c:v>
                </c:pt>
                <c:pt idx="4">
                  <c:v>172</c:v>
                </c:pt>
                <c:pt idx="5">
                  <c:v>145.858729681705</c:v>
                </c:pt>
                <c:pt idx="6">
                  <c:v>137.5</c:v>
                </c:pt>
                <c:pt idx="7">
                  <c:v>120.477</c:v>
                </c:pt>
                <c:pt idx="8">
                  <c:v>119.04300000000001</c:v>
                </c:pt>
                <c:pt idx="9">
                  <c:v>119.04103150819901</c:v>
                </c:pt>
                <c:pt idx="10">
                  <c:v>117.05358729018999</c:v>
                </c:pt>
                <c:pt idx="11">
                  <c:v>83.805621619001997</c:v>
                </c:pt>
                <c:pt idx="12">
                  <c:v>82.6</c:v>
                </c:pt>
                <c:pt idx="13">
                  <c:v>80.3</c:v>
                </c:pt>
                <c:pt idx="14">
                  <c:v>57.177750517301007</c:v>
                </c:pt>
                <c:pt idx="15">
                  <c:v>52.665870539244999</c:v>
                </c:pt>
                <c:pt idx="16">
                  <c:v>45.150063343529993</c:v>
                </c:pt>
                <c:pt idx="17">
                  <c:v>45</c:v>
                </c:pt>
                <c:pt idx="18">
                  <c:v>38.4</c:v>
                </c:pt>
                <c:pt idx="19" formatCode="0.00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FD-4754-8C2C-95B29F837192}"/>
            </c:ext>
          </c:extLst>
        </c:ser>
        <c:ser>
          <c:idx val="1"/>
          <c:order val="1"/>
          <c:tx>
            <c:v>D2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DISTILLATION!$AD$27:$AD$30</c:f>
              <c:numCache>
                <c:formatCode>General</c:formatCode>
                <c:ptCount val="4"/>
                <c:pt idx="0">
                  <c:v>0</c:v>
                </c:pt>
                <c:pt idx="1">
                  <c:v>56628.094897080002</c:v>
                </c:pt>
                <c:pt idx="2">
                  <c:v>27109.033529256001</c:v>
                </c:pt>
                <c:pt idx="3">
                  <c:v>0</c:v>
                </c:pt>
              </c:numCache>
            </c:numRef>
          </c:xVal>
          <c:yVal>
            <c:numRef>
              <c:f>DISTILLATION!$AC$27:$AC$30</c:f>
              <c:numCache>
                <c:formatCode>General</c:formatCode>
                <c:ptCount val="4"/>
                <c:pt idx="0">
                  <c:v>146.14737264148201</c:v>
                </c:pt>
                <c:pt idx="1">
                  <c:v>146.14737264148201</c:v>
                </c:pt>
                <c:pt idx="2">
                  <c:v>104.805621619002</c:v>
                </c:pt>
                <c:pt idx="3">
                  <c:v>104.805621619002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4C-4179-A6DA-1020F6D1DC16}"/>
            </c:ext>
          </c:extLst>
        </c:ser>
        <c:ser>
          <c:idx val="2"/>
          <c:order val="2"/>
          <c:tx>
            <c:v>D3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DISTILLATION!$AG$27:$AG$30</c:f>
              <c:numCache>
                <c:formatCode>General</c:formatCode>
                <c:ptCount val="4"/>
                <c:pt idx="0">
                  <c:v>0</c:v>
                </c:pt>
                <c:pt idx="1">
                  <c:v>2211.2800364484001</c:v>
                </c:pt>
                <c:pt idx="2">
                  <c:v>2149.7103540396001</c:v>
                </c:pt>
                <c:pt idx="3">
                  <c:v>0</c:v>
                </c:pt>
              </c:numCache>
            </c:numRef>
          </c:xVal>
          <c:yVal>
            <c:numRef>
              <c:f>DISTILLATION!$AF$27:$AF$30</c:f>
              <c:numCache>
                <c:formatCode>General</c:formatCode>
                <c:ptCount val="4"/>
                <c:pt idx="0">
                  <c:v>100.12182914109501</c:v>
                </c:pt>
                <c:pt idx="1">
                  <c:v>100.12182914109501</c:v>
                </c:pt>
                <c:pt idx="2">
                  <c:v>78.177750517301007</c:v>
                </c:pt>
                <c:pt idx="3">
                  <c:v>78.177750517301007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4C-4179-A6DA-1020F6D1DC16}"/>
            </c:ext>
          </c:extLst>
        </c:ser>
        <c:ser>
          <c:idx val="3"/>
          <c:order val="3"/>
          <c:tx>
            <c:v>D4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DISTILLATION!$AJ$27:$AJ$30</c:f>
              <c:numCache>
                <c:formatCode>General</c:formatCode>
                <c:ptCount val="4"/>
                <c:pt idx="0">
                  <c:v>0</c:v>
                </c:pt>
                <c:pt idx="1">
                  <c:v>530.83988793720005</c:v>
                </c:pt>
                <c:pt idx="2">
                  <c:v>272.78140265316</c:v>
                </c:pt>
                <c:pt idx="3">
                  <c:v>0</c:v>
                </c:pt>
              </c:numCache>
            </c:numRef>
          </c:xVal>
          <c:yVal>
            <c:numRef>
              <c:f>DISTILLATION!$AI$27:$AI$30</c:f>
              <c:numCache>
                <c:formatCode>General</c:formatCode>
                <c:ptCount val="4"/>
                <c:pt idx="0">
                  <c:v>147.588663490973</c:v>
                </c:pt>
                <c:pt idx="1">
                  <c:v>147.588663490973</c:v>
                </c:pt>
                <c:pt idx="2">
                  <c:v>121.246021571727</c:v>
                </c:pt>
                <c:pt idx="3">
                  <c:v>121.246021571727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4C-4179-A6DA-1020F6D1DC16}"/>
            </c:ext>
          </c:extLst>
        </c:ser>
        <c:ser>
          <c:idx val="4"/>
          <c:order val="4"/>
          <c:tx>
            <c:v>D5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DISTILLATION!$AD$33:$AD$36</c:f>
              <c:numCache>
                <c:formatCode>General</c:formatCode>
                <c:ptCount val="4"/>
                <c:pt idx="0">
                  <c:v>0</c:v>
                </c:pt>
                <c:pt idx="1">
                  <c:v>140.76350640612</c:v>
                </c:pt>
                <c:pt idx="2">
                  <c:v>134.58950207603999</c:v>
                </c:pt>
                <c:pt idx="3">
                  <c:v>0</c:v>
                </c:pt>
              </c:numCache>
            </c:numRef>
          </c:xVal>
          <c:yVal>
            <c:numRef>
              <c:f>DISTILLATION!$AC$33:$AC$36</c:f>
              <c:numCache>
                <c:formatCode>General</c:formatCode>
                <c:ptCount val="4"/>
                <c:pt idx="0">
                  <c:v>140.397197347413</c:v>
                </c:pt>
                <c:pt idx="1">
                  <c:v>140.397197347413</c:v>
                </c:pt>
                <c:pt idx="2">
                  <c:v>112.25895598061901</c:v>
                </c:pt>
                <c:pt idx="3">
                  <c:v>112.25895598061901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4C-4179-A6DA-1020F6D1DC16}"/>
            </c:ext>
          </c:extLst>
        </c:ser>
        <c:ser>
          <c:idx val="5"/>
          <c:order val="5"/>
          <c:tx>
            <c:v>D6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DISTILLATION!$AG$33:$AG$36</c:f>
              <c:numCache>
                <c:formatCode>General</c:formatCode>
                <c:ptCount val="4"/>
                <c:pt idx="0">
                  <c:v>0</c:v>
                </c:pt>
                <c:pt idx="1">
                  <c:v>2284.8889208723999</c:v>
                </c:pt>
                <c:pt idx="2">
                  <c:v>2278.078471026</c:v>
                </c:pt>
                <c:pt idx="3">
                  <c:v>0</c:v>
                </c:pt>
              </c:numCache>
            </c:numRef>
          </c:xVal>
          <c:yVal>
            <c:numRef>
              <c:f>DISTILLATION!$AF$33:$AF$36</c:f>
              <c:numCache>
                <c:formatCode>General</c:formatCode>
                <c:ptCount val="4"/>
                <c:pt idx="0">
                  <c:v>161.96057230656001</c:v>
                </c:pt>
                <c:pt idx="1">
                  <c:v>161.96057230656001</c:v>
                </c:pt>
                <c:pt idx="2">
                  <c:v>137.85163851678701</c:v>
                </c:pt>
                <c:pt idx="3">
                  <c:v>137.85163851678701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4C-4179-A6DA-1020F6D1DC16}"/>
            </c:ext>
          </c:extLst>
        </c:ser>
        <c:ser>
          <c:idx val="6"/>
          <c:order val="6"/>
          <c:tx>
            <c:v>D10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DISTILLATION!$AJ$33:$AJ$36</c:f>
              <c:numCache>
                <c:formatCode>General</c:formatCode>
                <c:ptCount val="4"/>
                <c:pt idx="0">
                  <c:v>0</c:v>
                </c:pt>
                <c:pt idx="1">
                  <c:v>674.92418867640004</c:v>
                </c:pt>
                <c:pt idx="2">
                  <c:v>656.5069913868</c:v>
                </c:pt>
                <c:pt idx="3">
                  <c:v>0</c:v>
                </c:pt>
              </c:numCache>
            </c:numRef>
          </c:xVal>
          <c:yVal>
            <c:numRef>
              <c:f>DISTILLATION!$AI$33:$AI$36</c:f>
              <c:numCache>
                <c:formatCode>General</c:formatCode>
                <c:ptCount val="4"/>
                <c:pt idx="0">
                  <c:v>79.682662970324998</c:v>
                </c:pt>
                <c:pt idx="1">
                  <c:v>79.682662970324998</c:v>
                </c:pt>
                <c:pt idx="2">
                  <c:v>58.385587871599</c:v>
                </c:pt>
                <c:pt idx="3">
                  <c:v>58.385587871599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F4C-4179-A6DA-1020F6D1D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387312"/>
        <c:axId val="1016387968"/>
      </c:scatterChart>
      <c:valAx>
        <c:axId val="10163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latin typeface="Arial" panose="020B0604020202020204" pitchFamily="34" charset="0"/>
                    <a:cs typeface="Arial" panose="020B0604020202020204" pitchFamily="34" charset="0"/>
                  </a:rPr>
                  <a:t>Enthalp</a:t>
                </a:r>
                <a:r>
                  <a:rPr lang="en-GB" sz="1600" baseline="0">
                    <a:latin typeface="Arial" panose="020B0604020202020204" pitchFamily="34" charset="0"/>
                    <a:cs typeface="Arial" panose="020B0604020202020204" pitchFamily="34" charset="0"/>
                  </a:rPr>
                  <a:t>y (kW)</a:t>
                </a:r>
              </a:p>
            </c:rich>
          </c:tx>
          <c:layout>
            <c:manualLayout>
              <c:xMode val="edge"/>
              <c:yMode val="edge"/>
              <c:x val="0.46063521076466174"/>
              <c:y val="0.897351620721525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387968"/>
        <c:crosses val="autoZero"/>
        <c:crossBetween val="midCat"/>
      </c:valAx>
      <c:valAx>
        <c:axId val="101638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>
                    <a:latin typeface="Arial" panose="020B0604020202020204" pitchFamily="34" charset="0"/>
                    <a:cs typeface="Arial" panose="020B0604020202020204" pitchFamily="34" charset="0"/>
                  </a:rPr>
                  <a:t>Temperature (° C)</a:t>
                </a:r>
              </a:p>
            </c:rich>
          </c:tx>
          <c:layout>
            <c:manualLayout>
              <c:xMode val="edge"/>
              <c:yMode val="edge"/>
              <c:x val="9.4603283087754328E-3"/>
              <c:y val="0.321795204426256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38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27780</xdr:colOff>
      <xdr:row>22</xdr:row>
      <xdr:rowOff>21430</xdr:rowOff>
    </xdr:from>
    <xdr:to>
      <xdr:col>28</xdr:col>
      <xdr:colOff>579436</xdr:colOff>
      <xdr:row>47</xdr:row>
      <xdr:rowOff>158750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9C40EDE-E3BB-4282-B780-D4308B0A26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5020</xdr:colOff>
      <xdr:row>65</xdr:row>
      <xdr:rowOff>12700</xdr:rowOff>
    </xdr:from>
    <xdr:to>
      <xdr:col>18</xdr:col>
      <xdr:colOff>50799</xdr:colOff>
      <xdr:row>85</xdr:row>
      <xdr:rowOff>88900</xdr:rowOff>
    </xdr:to>
    <xdr:graphicFrame macro="">
      <xdr:nvGraphicFramePr>
        <xdr:cNvPr id="34" name="Chart 1">
          <a:extLst>
            <a:ext uri="{FF2B5EF4-FFF2-40B4-BE49-F238E27FC236}">
              <a16:creationId xmlns:a16="http://schemas.microsoft.com/office/drawing/2014/main" id="{355D306B-D243-4ED3-926E-040D90EE3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38887</xdr:colOff>
      <xdr:row>84</xdr:row>
      <xdr:rowOff>16933</xdr:rowOff>
    </xdr:from>
    <xdr:to>
      <xdr:col>17</xdr:col>
      <xdr:colOff>262466</xdr:colOff>
      <xdr:row>104</xdr:row>
      <xdr:rowOff>93133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A3A5EF54-9088-470E-9335-06199F5AA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263524</xdr:colOff>
      <xdr:row>2</xdr:row>
      <xdr:rowOff>44450</xdr:rowOff>
    </xdr:from>
    <xdr:to>
      <xdr:col>14</xdr:col>
      <xdr:colOff>409574</xdr:colOff>
      <xdr:row>21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0CA99D-B161-4E3F-B9DD-BAC163484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825501</xdr:colOff>
      <xdr:row>43</xdr:row>
      <xdr:rowOff>184147</xdr:rowOff>
    </xdr:from>
    <xdr:to>
      <xdr:col>28</xdr:col>
      <xdr:colOff>268770</xdr:colOff>
      <xdr:row>80</xdr:row>
      <xdr:rowOff>154916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F8CFD5F4-059F-4C14-B96B-AA2A5AE403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365-flowshittinggroup5/Shared%20Documents/Level%204/level%204%20cost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4_Cost ISOM"/>
      <sheetName val="ISOM "/>
      <sheetName val="Without isom"/>
      <sheetName val="Cost without isom"/>
    </sheetNames>
    <sheetDataSet>
      <sheetData sheetId="0"/>
      <sheetData sheetId="1"/>
      <sheetData sheetId="2"/>
      <sheetData sheetId="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Wongwaisayawan, Thanat" id="{7C29E86D-71B6-444F-B5DB-E3A6B3944AB0}" userId="Wongwaisayawan, Thanat" providerId="None"/>
  <person displayName="Binti Ahmad Dzulfakhar, Aiman S" id="{87C5F299-A5D5-4635-854F-93F977D947A0}" userId="S::asb2817@ic.ac.uk::7717049a-e5ac-4baa-a7af-24e5b03ceaf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0-03-09T23:28:44.87" personId="{87C5F299-A5D5-4635-854F-93F977D947A0}" id="{7B35FC06-6948-466B-AD70-7DA62CD33DDC}">
    <text>feed</text>
  </threadedComment>
  <threadedComment ref="B3" dT="2020-03-10T13:33:14.46" personId="{87C5F299-A5D5-4635-854F-93F977D947A0}" id="{F73E32E6-A69B-48CD-BD55-28043473DC23}">
    <text xml:space="preserve">Before 2nd reactor
</text>
  </threadedComment>
  <threadedComment ref="B4" dT="2020-03-09T23:31:06.92" personId="{87C5F299-A5D5-4635-854F-93F977D947A0}" id="{1D757605-FD46-42B4-98CB-943ECAB1216E}">
    <text>cooler after reactor</text>
  </threadedComment>
  <threadedComment ref="L5" dT="2020-03-10T16:38:35.35" personId="{87C5F299-A5D5-4635-854F-93F977D947A0}" id="{E812901E-2B77-4C28-AFCA-E0EEB4AEDEEC}">
    <text>The inlet temp is at saturated vapour temp</text>
  </threadedComment>
  <threadedComment ref="N5" dT="2020-03-10T13:33:14.46" personId="{87C5F299-A5D5-4635-854F-93F977D947A0}" id="{963145D3-AB9E-4B8B-9685-894F2356C729}">
    <text xml:space="preserve">Before 2nd reactor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0-03-09T23:28:44.87" personId="{87C5F299-A5D5-4635-854F-93F977D947A0}" id="{A2C6D172-4869-42D9-9E50-1F71E3B8ACA7}">
    <text>feed</text>
  </threadedComment>
  <threadedComment ref="A3" dT="2020-03-10T13:33:14.46" personId="{87C5F299-A5D5-4635-854F-93F977D947A0}" id="{3171EB12-B52F-4C5C-B280-B4C9B6D71AF7}">
    <text xml:space="preserve">Before 2nd reactor
</text>
  </threadedComment>
  <threadedComment ref="A4" dT="2020-03-09T23:31:06.92" personId="{87C5F299-A5D5-4635-854F-93F977D947A0}" id="{20491403-EC3E-4415-8402-C40E83B3790C}">
    <text>cooler after reactor</text>
  </threadedComment>
  <threadedComment ref="M5" dT="2020-03-10T13:33:14.46" personId="{87C5F299-A5D5-4635-854F-93F977D947A0}" id="{CB275D1E-6E74-482F-8379-602238C5C0F9}">
    <text xml:space="preserve">Before 2nd reactor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5" dT="2020-03-10T13:33:14.46" personId="{87C5F299-A5D5-4635-854F-93F977D947A0}" id="{B62C33D8-6C6B-4ACD-B9B5-741E941E9014}">
    <text xml:space="preserve">Before 2nd reactor
</text>
  </threadedComment>
  <threadedComment ref="P43" dT="2020-03-12T10:41:01.42" personId="{87C5F299-A5D5-4635-854F-93F977D947A0}" id="{85338CBD-098F-46FF-9997-E2C3DB878B5F}">
    <text>Cannot be used as the temp difference is less than 20 K</text>
  </threadedComment>
  <threadedComment ref="X76" dT="2020-03-11T13:17:05.00" personId="{7C29E86D-71B6-444F-B5DB-E3A6B3944AB0}" id="{F645B4EB-B1EE-4B63-B2F4-BA8DA2FDA247}">
    <text>use steam 120</text>
  </threadedComment>
  <threadedComment ref="AA76" dT="2020-03-11T13:17:05.00" personId="{7C29E86D-71B6-444F-B5DB-E3A6B3944AB0}" id="{CE210F1C-670F-4A9F-B278-CA6AF28249DF}">
    <text>use steam 120</text>
  </threadedComment>
  <threadedComment ref="X85" dT="2020-03-11T13:17:05.00" personId="{7C29E86D-71B6-444F-B5DB-E3A6B3944AB0}" id="{BDDAFC87-75A3-4E8A-8320-739F093F51E6}">
    <text>use steam 120</text>
  </threadedComment>
  <threadedComment ref="AA85" dT="2020-03-11T13:17:05.00" personId="{7C29E86D-71B6-444F-B5DB-E3A6B3944AB0}" id="{1300F299-03AD-40ED-A63D-3CE6850248CD}">
    <text>use steam 120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5" dT="2020-03-10T13:33:14.46" personId="{87C5F299-A5D5-4635-854F-93F977D947A0}" id="{E11E10EE-E5EB-43F7-9D81-AE759A6E7B02}">
    <text xml:space="preserve">Before 2nd reactor
</text>
  </threadedComment>
  <threadedComment ref="X89" dT="2020-03-11T13:17:05.00" personId="{7C29E86D-71B6-444F-B5DB-E3A6B3944AB0}" id="{3A2D2C07-100F-436F-A1FC-372F044077CB}">
    <text>use steam 120</text>
  </threadedComment>
  <threadedComment ref="AA89" dT="2020-03-11T13:17:05.00" personId="{7C29E86D-71B6-444F-B5DB-E3A6B3944AB0}" id="{CDF0E965-A6CB-4217-9DCA-FCB3754E30D4}">
    <text>use steam 120</text>
  </threadedComment>
  <threadedComment ref="X98" dT="2020-03-11T13:17:05.00" personId="{7C29E86D-71B6-444F-B5DB-E3A6B3944AB0}" id="{1AF89355-3B7C-47DE-830B-B99A0284F608}">
    <text>use steam 120</text>
  </threadedComment>
  <threadedComment ref="AA98" dT="2020-03-11T13:17:05.00" personId="{7C29E86D-71B6-444F-B5DB-E3A6B3944AB0}" id="{D7561055-FA13-4E0F-B010-492B800FD6AC}">
    <text>use steam 120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37" dT="2020-03-09T23:31:30.25" personId="{87C5F299-A5D5-4635-854F-93F977D947A0}" id="{CA8A7F71-4C12-4032-8FC8-EA26BA0CE575}">
    <text>HEATER</text>
  </threadedComment>
  <threadedComment ref="K37" dT="2020-03-09T23:31:30.25" personId="{87C5F299-A5D5-4635-854F-93F977D947A0}" id="{95E3DC79-095D-46EA-BF6D-DD4BE0B0CD06}">
    <text>HEATER</text>
  </threadedComment>
  <threadedComment ref="AE39" dT="2020-03-09T23:35:46.40" personId="{87C5F299-A5D5-4635-854F-93F977D947A0}" id="{4BB25AE6-0594-4BE6-8373-AF52BC627C69}">
    <text>B3</text>
  </threadedComment>
  <threadedComment ref="W40" dT="2020-03-09T23:35:46.40" personId="{87C5F299-A5D5-4635-854F-93F977D947A0}" id="{CE20312A-8AFC-49E4-A5E8-CE5C15ADF748}">
    <text>B3</text>
  </threadedComment>
  <threadedComment ref="AE40" dT="2020-03-09T23:37:24.82" personId="{87C5F299-A5D5-4635-854F-93F977D947A0}" id="{4D1EAE47-08B2-4F61-9FC8-A40129C46639}">
    <text>B6</text>
  </threadedComment>
  <threadedComment ref="W41" dT="2020-03-09T23:37:24.82" personId="{87C5F299-A5D5-4635-854F-93F977D947A0}" id="{3DA26A8F-D563-4E92-92E3-8620FDE3AD33}">
    <text>B6</text>
  </threadedComment>
  <threadedComment ref="AE41" dT="2020-03-09T23:37:34.54" personId="{87C5F299-A5D5-4635-854F-93F977D947A0}" id="{917C5803-05F9-4C4D-A843-49E6EEAA2182}">
    <text>B7</text>
  </threadedComment>
  <threadedComment ref="W42" dT="2020-03-09T23:37:34.54" personId="{87C5F299-A5D5-4635-854F-93F977D947A0}" id="{99E00C0A-8A14-47C7-A482-3C294A953E76}">
    <text>B7</text>
  </threadedComment>
  <threadedComment ref="AE42" dT="2020-03-09T23:41:01.14" personId="{87C5F299-A5D5-4635-854F-93F977D947A0}" id="{2FEB22E3-9BB0-4575-AD97-9CD3D1A225D9}">
    <text>B8</text>
  </threadedComment>
  <threadedComment ref="W43" dT="2020-03-09T23:41:01.14" personId="{87C5F299-A5D5-4635-854F-93F977D947A0}" id="{3924C5FD-FA9E-4777-98FD-8F60653D213F}">
    <text>B8</text>
  </threadedComment>
  <threadedComment ref="AE43" dT="2020-03-09T23:42:19.84" personId="{87C5F299-A5D5-4635-854F-93F977D947A0}" id="{C043D68B-ACB1-46AB-89F7-C6BF39848185}">
    <text>B4</text>
  </threadedComment>
  <threadedComment ref="W44" dT="2020-03-09T23:42:19.84" personId="{87C5F299-A5D5-4635-854F-93F977D947A0}" id="{8A3164FC-BE19-41DF-B7BB-1566619489B4}">
    <text>B4</text>
  </threadedComment>
  <threadedComment ref="C45" dT="2020-03-09T23:44:42.26" personId="{87C5F299-A5D5-4635-854F-93F977D947A0}" id="{1CA9D5ED-594E-4AC7-8128-752972FF89BB}">
    <text>B32</text>
  </threadedComment>
  <threadedComment ref="W47" dT="2020-03-09T23:31:16.27" personId="{87C5F299-A5D5-4635-854F-93F977D947A0}" id="{F81439FD-1DBF-43E7-9963-625FB28E56AA}">
    <text>COOLER</text>
  </threadedComment>
  <threadedComment ref="AE48" dT="2020-03-09T23:35:46.40" personId="{87C5F299-A5D5-4635-854F-93F977D947A0}" id="{D4D6890D-13F3-4AAC-A265-D48B887D1CA8}">
    <text>B3</text>
  </threadedComment>
  <threadedComment ref="AE49" dT="2020-03-09T23:31:16.27" personId="{87C5F299-A5D5-4635-854F-93F977D947A0}" id="{BDB5FB0C-1B0C-4F38-BE97-56847D906863}">
    <text>COOLER</text>
  </threadedComment>
  <threadedComment ref="K50" dT="2020-03-09T23:44:42.26" personId="{87C5F299-A5D5-4635-854F-93F977D947A0}" id="{5C9B6941-C6DC-4A1F-96AA-D1DE070A99BC}">
    <text>B32</text>
  </threadedComment>
  <threadedComment ref="AE50" dT="2020-03-09T23:37:24.82" personId="{87C5F299-A5D5-4635-854F-93F977D947A0}" id="{04B0BE86-5D90-4AA6-93E5-924A692CFDE6}">
    <text>B6</text>
  </threadedComment>
  <threadedComment ref="W55" dT="2020-03-09T23:45:02.79" personId="{87C5F299-A5D5-4635-854F-93F977D947A0}" id="{998BF4F1-A357-495C-B79B-518162CC0CB1}">
    <text>B22</text>
  </threadedComment>
  <threadedComment ref="AE55" dT="2020-03-09T23:37:34.54" personId="{87C5F299-A5D5-4635-854F-93F977D947A0}" id="{52208141-C9B5-4862-948C-C645DBFB65A4}">
    <text>B7</text>
  </threadedComment>
  <threadedComment ref="AE58" dT="2020-03-09T23:41:01.14" personId="{87C5F299-A5D5-4635-854F-93F977D947A0}" id="{5C4A6669-70A1-4950-8AC0-BB5FB00571E3}">
    <text>B8</text>
  </threadedComment>
  <threadedComment ref="K59" dT="2020-03-09T23:44:42.26" personId="{87C5F299-A5D5-4635-854F-93F977D947A0}" id="{4EFAA14B-1C77-4F13-9B73-81D24055FEF0}">
    <text>B32</text>
  </threadedComment>
  <threadedComment ref="K60" dT="2020-03-09T23:31:30.25" personId="{87C5F299-A5D5-4635-854F-93F977D947A0}" id="{3795F09E-0B16-499F-AD54-BE9C98F4A621}">
    <text>HEATER</text>
  </threadedComment>
  <threadedComment ref="AE66" dT="2020-03-09T23:42:19.84" personId="{87C5F299-A5D5-4635-854F-93F977D947A0}" id="{8EBED1EF-5549-4147-BEF6-7B8B59A12577}">
    <text>B4</text>
  </threadedComment>
  <threadedComment ref="AE68" dT="2020-03-09T23:45:02.79" personId="{87C5F299-A5D5-4635-854F-93F977D947A0}" id="{261EDA03-0137-4149-BF02-617B16321FDC}">
    <text>B22</text>
  </threadedComment>
  <threadedComment ref="AE69" dT="2020-03-09T23:45:02.79" personId="{87C5F299-A5D5-4635-854F-93F977D947A0}" id="{2A4CDC9D-740C-4D19-AD76-A38E16B4966B}">
    <text>B22</text>
  </threadedComment>
  <threadedComment ref="AE70" dT="2020-03-09T23:31:16.27" personId="{87C5F299-A5D5-4635-854F-93F977D947A0}" id="{6C00C06C-CDDC-422B-A67F-7D4EFC658E9A}">
    <text>COOLER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25" dT="2020-03-09T23:28:44.87" personId="{87C5F299-A5D5-4635-854F-93F977D947A0}" id="{39C8B474-B673-476C-B975-06288132B06E}">
    <text>feed</text>
  </threadedComment>
  <threadedComment ref="A26" dT="2020-03-09T23:31:06.92" personId="{87C5F299-A5D5-4635-854F-93F977D947A0}" id="{FA31E5F9-93EB-44AF-8DDD-1E78262DB4EC}">
    <text>cooler after reactor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B2" dT="2020-03-09T23:31:30.25" personId="{87C5F299-A5D5-4635-854F-93F977D947A0}" id="{610A6F55-3C21-44BC-8B99-638C7626D2A0}">
    <text>HEATER</text>
  </threadedComment>
  <threadedComment ref="B13" dT="2020-03-09T23:44:42.26" personId="{87C5F299-A5D5-4635-854F-93F977D947A0}" id="{7E9724CC-A024-43CF-A69C-54CA73EFE7A9}">
    <text>B32</text>
  </threadedComment>
  <threadedComment ref="B18" dT="2020-03-09T23:31:16.27" personId="{87C5F299-A5D5-4635-854F-93F977D947A0}" id="{F81CA0E3-4C84-42CB-AA7E-5CCEC6187CD1}">
    <text>COOLER</text>
  </threadedComment>
  <threadedComment ref="B29" dT="2020-03-09T23:35:46.40" personId="{87C5F299-A5D5-4635-854F-93F977D947A0}" id="{236B74E8-9FDA-44AA-8A11-F5A0CC69E449}">
    <text>B3</text>
  </threadedComment>
  <threadedComment ref="B30" dT="2020-03-09T23:37:24.82" personId="{87C5F299-A5D5-4635-854F-93F977D947A0}" id="{392FE214-4774-4832-8C83-E5A83A3A6652}">
    <text>B6</text>
  </threadedComment>
  <threadedComment ref="B31" dT="2020-03-09T23:37:34.54" personId="{87C5F299-A5D5-4635-854F-93F977D947A0}" id="{2813EDA2-C19A-4288-973D-1D0EB93B0637}">
    <text>B7</text>
  </threadedComment>
  <threadedComment ref="B32" dT="2020-03-09T23:41:01.14" personId="{87C5F299-A5D5-4635-854F-93F977D947A0}" id="{F5BBA2E2-E0C8-45F6-9145-1156BF04E37C}">
    <text>B8</text>
  </threadedComment>
  <threadedComment ref="B33" dT="2020-03-09T23:42:19.84" personId="{87C5F299-A5D5-4635-854F-93F977D947A0}" id="{5234C35D-3B35-46A3-B19C-E34DD8FD4540}">
    <text>B4</text>
  </threadedComment>
  <threadedComment ref="B34" dT="2020-03-09T23:45:02.79" personId="{87C5F299-A5D5-4635-854F-93F977D947A0}" id="{E2CD93E0-CE16-45EB-A8CA-63AEBEB905FE}">
    <text>B22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.xml"/><Relationship Id="rId4" Type="http://schemas.microsoft.com/office/2017/10/relationships/threadedComment" Target="../threadedComments/threadedComment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5.xml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259F7-075F-412B-AD03-E8C972C7D1FF}">
  <dimension ref="A1:S58"/>
  <sheetViews>
    <sheetView topLeftCell="B1" zoomScale="80" zoomScaleNormal="80" workbookViewId="0">
      <selection activeCell="B3" sqref="B3"/>
    </sheetView>
  </sheetViews>
  <sheetFormatPr defaultRowHeight="14.45"/>
  <cols>
    <col min="2" max="2" width="11.7109375" customWidth="1"/>
    <col min="3" max="3" width="14.140625" bestFit="1" customWidth="1"/>
    <col min="4" max="4" width="22.42578125" bestFit="1" customWidth="1"/>
    <col min="5" max="5" width="18.85546875" bestFit="1" customWidth="1"/>
    <col min="6" max="6" width="12.28515625" bestFit="1" customWidth="1"/>
    <col min="7" max="7" width="12.42578125" bestFit="1" customWidth="1"/>
    <col min="9" max="9" width="11.42578125" customWidth="1"/>
    <col min="10" max="10" width="11.5703125" customWidth="1"/>
    <col min="11" max="11" width="15.7109375" customWidth="1"/>
    <col min="12" max="12" width="18.140625" bestFit="1" customWidth="1"/>
    <col min="13" max="13" width="11.7109375" customWidth="1"/>
    <col min="14" max="14" width="17.5703125" customWidth="1"/>
    <col min="15" max="15" width="13.5703125" bestFit="1" customWidth="1"/>
    <col min="18" max="18" width="10.5703125" bestFit="1" customWidth="1"/>
    <col min="19" max="21" width="8.7109375" bestFit="1" customWidth="1"/>
    <col min="22" max="22" width="8.7109375" customWidth="1"/>
    <col min="24" max="24" width="12.28515625" bestFit="1" customWidth="1"/>
    <col min="25" max="25" width="8.7109375" bestFit="1" customWidth="1"/>
  </cols>
  <sheetData>
    <row r="1" spans="1:19">
      <c r="A1" s="36"/>
      <c r="B1" s="50"/>
      <c r="C1" s="51" t="s">
        <v>0</v>
      </c>
      <c r="D1" s="51" t="s">
        <v>1</v>
      </c>
      <c r="E1" s="51" t="s">
        <v>2</v>
      </c>
      <c r="F1" s="51" t="s">
        <v>3</v>
      </c>
      <c r="G1" s="51" t="s">
        <v>4</v>
      </c>
      <c r="H1" s="51" t="s">
        <v>5</v>
      </c>
      <c r="I1" s="51" t="s">
        <v>6</v>
      </c>
      <c r="J1" s="51" t="s">
        <v>7</v>
      </c>
      <c r="K1" s="51" t="s">
        <v>8</v>
      </c>
      <c r="L1" s="50"/>
      <c r="N1" s="310"/>
      <c r="O1" s="334" t="s">
        <v>2</v>
      </c>
      <c r="P1" s="310" t="s">
        <v>9</v>
      </c>
      <c r="Q1" s="310" t="s">
        <v>10</v>
      </c>
      <c r="R1" s="310" t="s">
        <v>11</v>
      </c>
      <c r="S1" s="310" t="s">
        <v>12</v>
      </c>
    </row>
    <row r="2" spans="1:19">
      <c r="A2" s="36" t="s">
        <v>13</v>
      </c>
      <c r="B2" s="48" t="s">
        <v>14</v>
      </c>
      <c r="C2" s="16">
        <v>52.665870539244999</v>
      </c>
      <c r="D2" s="16">
        <v>456.85</v>
      </c>
      <c r="E2" s="16">
        <v>90199.818812879996</v>
      </c>
      <c r="F2" s="16">
        <f>E2/(D2-C2)</f>
        <v>223.16516715592147</v>
      </c>
      <c r="G2" s="16" t="s">
        <v>15</v>
      </c>
      <c r="H2" s="16" t="s">
        <v>16</v>
      </c>
      <c r="I2" s="16"/>
      <c r="J2" s="16">
        <v>137.5</v>
      </c>
      <c r="K2" s="16">
        <v>195.2</v>
      </c>
      <c r="L2" s="16"/>
      <c r="N2" s="335" t="s">
        <v>17</v>
      </c>
      <c r="O2" s="336">
        <v>14783.412274848</v>
      </c>
      <c r="P2" s="336">
        <v>52.665870539244999</v>
      </c>
      <c r="Q2" s="336">
        <v>137.5</v>
      </c>
      <c r="R2" s="336">
        <f t="shared" ref="R2:R17" si="0">O2/(Q2-P2)</f>
        <v>174.26255645950764</v>
      </c>
      <c r="S2" s="336" t="s">
        <v>15</v>
      </c>
    </row>
    <row r="3" spans="1:19">
      <c r="A3" s="36" t="s">
        <v>18</v>
      </c>
      <c r="B3" s="48" t="s">
        <v>19</v>
      </c>
      <c r="C3" s="16">
        <v>145.858729681705</v>
      </c>
      <c r="D3" s="16">
        <v>192</v>
      </c>
      <c r="E3" s="16">
        <v>270.33759763811997</v>
      </c>
      <c r="F3" s="16">
        <f t="shared" ref="F3:F10" si="1">E3/(D3-C3)</f>
        <v>5.8589110306946015</v>
      </c>
      <c r="G3" s="16" t="s">
        <v>16</v>
      </c>
      <c r="H3" s="16" t="s">
        <v>16</v>
      </c>
      <c r="I3" s="16"/>
      <c r="J3" s="16"/>
      <c r="K3" s="16"/>
      <c r="L3" s="16"/>
      <c r="N3" s="335" t="s">
        <v>20</v>
      </c>
      <c r="O3" s="336">
        <v>36075.888477323999</v>
      </c>
      <c r="P3" s="336">
        <v>137.5</v>
      </c>
      <c r="Q3" s="336">
        <v>195.2</v>
      </c>
      <c r="R3" s="336">
        <f t="shared" si="0"/>
        <v>625.23203600214913</v>
      </c>
      <c r="S3" s="336" t="s">
        <v>21</v>
      </c>
    </row>
    <row r="4" spans="1:19">
      <c r="A4" s="36" t="s">
        <v>22</v>
      </c>
      <c r="B4" s="49" t="s">
        <v>23</v>
      </c>
      <c r="C4" s="10">
        <v>400.154028617682</v>
      </c>
      <c r="D4" s="10">
        <v>65</v>
      </c>
      <c r="E4" s="10">
        <v>-68303.572011719996</v>
      </c>
      <c r="F4" s="10">
        <f t="shared" si="1"/>
        <v>203.79755628608441</v>
      </c>
      <c r="G4" s="10" t="s">
        <v>16</v>
      </c>
      <c r="H4" s="10" t="s">
        <v>24</v>
      </c>
      <c r="I4" s="10">
        <v>0.32730743236845</v>
      </c>
      <c r="J4" s="10">
        <v>50.7</v>
      </c>
      <c r="K4" s="10">
        <v>100.3</v>
      </c>
      <c r="L4" s="10" t="s">
        <v>25</v>
      </c>
      <c r="N4" s="335" t="s">
        <v>26</v>
      </c>
      <c r="O4" s="336">
        <v>39344.834986451999</v>
      </c>
      <c r="P4" s="336">
        <v>195.2</v>
      </c>
      <c r="Q4" s="336">
        <v>456.85</v>
      </c>
      <c r="R4" s="336">
        <f t="shared" si="0"/>
        <v>150.37200453450026</v>
      </c>
      <c r="S4" s="336" t="s">
        <v>16</v>
      </c>
    </row>
    <row r="5" spans="1:19">
      <c r="A5" s="36"/>
      <c r="B5" s="49" t="s">
        <v>27</v>
      </c>
      <c r="C5" s="10">
        <v>65</v>
      </c>
      <c r="D5" s="10">
        <v>55</v>
      </c>
      <c r="E5" s="10">
        <v>-2386.0815825059999</v>
      </c>
      <c r="F5" s="10">
        <f t="shared" si="1"/>
        <v>238.60815825059998</v>
      </c>
      <c r="G5" s="10" t="s">
        <v>16</v>
      </c>
      <c r="H5" s="10" t="s">
        <v>24</v>
      </c>
      <c r="I5" s="10">
        <v>0.27556784893245401</v>
      </c>
      <c r="J5" s="10">
        <v>-36</v>
      </c>
      <c r="K5" s="10">
        <v>65</v>
      </c>
      <c r="L5" s="10" t="s">
        <v>28</v>
      </c>
      <c r="N5" s="335" t="s">
        <v>19</v>
      </c>
      <c r="O5" s="336">
        <v>270.33759763811997</v>
      </c>
      <c r="P5" s="336">
        <v>145.858729681705</v>
      </c>
      <c r="Q5" s="336">
        <v>192</v>
      </c>
      <c r="R5" s="336">
        <f t="shared" si="0"/>
        <v>5.8589110306946015</v>
      </c>
      <c r="S5" s="336" t="s">
        <v>16</v>
      </c>
    </row>
    <row r="6" spans="1:19">
      <c r="A6" s="36"/>
      <c r="B6" s="49" t="s">
        <v>29</v>
      </c>
      <c r="C6" s="10">
        <v>65.150063343529993</v>
      </c>
      <c r="D6" s="10">
        <v>55</v>
      </c>
      <c r="E6" s="10">
        <v>-4676.2043885639996</v>
      </c>
      <c r="F6" s="10">
        <f t="shared" si="1"/>
        <v>460.70691682380254</v>
      </c>
      <c r="G6" s="10" t="s">
        <v>16</v>
      </c>
      <c r="H6" s="10" t="s">
        <v>24</v>
      </c>
      <c r="I6" s="10">
        <v>4.9000420604651297E-3</v>
      </c>
      <c r="J6" s="10">
        <v>50.6</v>
      </c>
      <c r="K6" s="10">
        <v>65.5</v>
      </c>
      <c r="L6" s="10" t="s">
        <v>28</v>
      </c>
      <c r="N6" s="335" t="s">
        <v>30</v>
      </c>
      <c r="O6" s="336">
        <v>-40911.2996202719</v>
      </c>
      <c r="P6" s="336">
        <v>400.154028617682</v>
      </c>
      <c r="Q6" s="336">
        <v>100.3</v>
      </c>
      <c r="R6" s="336">
        <f t="shared" si="0"/>
        <v>136.43738524665403</v>
      </c>
      <c r="S6" s="336" t="s">
        <v>16</v>
      </c>
    </row>
    <row r="7" spans="1:19">
      <c r="A7" s="36"/>
      <c r="B7" s="49" t="s">
        <v>31</v>
      </c>
      <c r="C7" s="10">
        <v>77.177750517301007</v>
      </c>
      <c r="D7" s="10">
        <v>55</v>
      </c>
      <c r="E7" s="10">
        <v>-57.3123976308</v>
      </c>
      <c r="F7" s="10">
        <f t="shared" si="1"/>
        <v>2.5842295225609209</v>
      </c>
      <c r="G7" s="10" t="s">
        <v>15</v>
      </c>
      <c r="H7" s="10" t="s">
        <v>15</v>
      </c>
      <c r="I7" s="10"/>
      <c r="J7" s="10"/>
      <c r="K7" s="10"/>
      <c r="L7" s="10" t="s">
        <v>28</v>
      </c>
      <c r="N7" s="335" t="s">
        <v>32</v>
      </c>
      <c r="O7" s="336">
        <v>-27392.283737676</v>
      </c>
      <c r="P7" s="336">
        <v>100.3</v>
      </c>
      <c r="Q7" s="336">
        <v>65</v>
      </c>
      <c r="R7" s="336">
        <f t="shared" si="0"/>
        <v>775.98537500498594</v>
      </c>
      <c r="S7" s="336" t="s">
        <v>21</v>
      </c>
    </row>
    <row r="8" spans="1:19">
      <c r="A8" s="36"/>
      <c r="B8" s="49" t="s">
        <v>33</v>
      </c>
      <c r="C8" s="10">
        <v>103.805621619002</v>
      </c>
      <c r="D8" s="10">
        <v>55</v>
      </c>
      <c r="E8" s="10">
        <v>-29044.532428451999</v>
      </c>
      <c r="F8" s="10">
        <f t="shared" si="1"/>
        <v>595.10629032012559</v>
      </c>
      <c r="G8" s="10" t="s">
        <v>16</v>
      </c>
      <c r="H8" s="10" t="s">
        <v>15</v>
      </c>
      <c r="I8" s="10"/>
      <c r="J8" s="10">
        <v>58.4</v>
      </c>
      <c r="K8" s="10">
        <v>102.6</v>
      </c>
      <c r="L8" s="10" t="s">
        <v>34</v>
      </c>
      <c r="N8" s="335" t="s">
        <v>27</v>
      </c>
      <c r="O8" s="336">
        <v>-2386.0815825059999</v>
      </c>
      <c r="P8" s="336">
        <v>65</v>
      </c>
      <c r="Q8" s="336">
        <v>55</v>
      </c>
      <c r="R8" s="336">
        <f t="shared" si="0"/>
        <v>238.60815825059998</v>
      </c>
      <c r="S8" s="336" t="s">
        <v>21</v>
      </c>
    </row>
    <row r="9" spans="1:19">
      <c r="A9" s="36"/>
      <c r="B9" s="49" t="s">
        <v>35</v>
      </c>
      <c r="C9" s="10">
        <v>137.05358729018999</v>
      </c>
      <c r="D9" s="10">
        <v>55</v>
      </c>
      <c r="E9" s="10">
        <v>-1226.8881489600001</v>
      </c>
      <c r="F9" s="10">
        <f t="shared" si="1"/>
        <v>14.952279229681919</v>
      </c>
      <c r="G9" s="10" t="s">
        <v>24</v>
      </c>
      <c r="H9" s="10" t="s">
        <v>15</v>
      </c>
      <c r="I9" s="10">
        <v>6.1965162980568901E-2</v>
      </c>
      <c r="J9" s="10">
        <v>55</v>
      </c>
      <c r="K9" s="10">
        <v>137.69999999999999</v>
      </c>
      <c r="L9" s="10" t="s">
        <v>28</v>
      </c>
      <c r="N9" s="335" t="s">
        <v>29</v>
      </c>
      <c r="O9" s="336">
        <v>-4676.2043885639996</v>
      </c>
      <c r="P9" s="336">
        <v>65.150063343529993</v>
      </c>
      <c r="Q9" s="336">
        <v>55</v>
      </c>
      <c r="R9" s="336">
        <f t="shared" si="0"/>
        <v>460.70691682380254</v>
      </c>
      <c r="S9" s="336" t="s">
        <v>21</v>
      </c>
    </row>
    <row r="10" spans="1:19">
      <c r="A10" s="36"/>
      <c r="B10" s="49" t="s">
        <v>36</v>
      </c>
      <c r="C10" s="10">
        <v>192</v>
      </c>
      <c r="D10" s="10">
        <v>139.04103150819901</v>
      </c>
      <c r="E10" s="10">
        <v>-278.39160119088001</v>
      </c>
      <c r="F10" s="10">
        <f t="shared" si="1"/>
        <v>5.2567413814712065</v>
      </c>
      <c r="G10" s="10" t="s">
        <v>16</v>
      </c>
      <c r="H10" s="10" t="s">
        <v>15</v>
      </c>
      <c r="I10" s="10"/>
      <c r="J10" s="10">
        <v>139.04300000000001</v>
      </c>
      <c r="K10" s="10">
        <v>140.477</v>
      </c>
      <c r="L10" s="10" t="s">
        <v>34</v>
      </c>
      <c r="N10" s="335" t="s">
        <v>31</v>
      </c>
      <c r="O10" s="336">
        <v>-57.3123976308</v>
      </c>
      <c r="P10" s="336">
        <v>77.177750517301007</v>
      </c>
      <c r="Q10" s="336">
        <v>55</v>
      </c>
      <c r="R10" s="336">
        <f t="shared" si="0"/>
        <v>2.5842295225609209</v>
      </c>
      <c r="S10" s="336" t="s">
        <v>15</v>
      </c>
    </row>
    <row r="11" spans="1:19">
      <c r="N11" s="335" t="s">
        <v>37</v>
      </c>
      <c r="O11" s="336">
        <v>-102.52674065484</v>
      </c>
      <c r="P11" s="336">
        <v>103.805621619002</v>
      </c>
      <c r="Q11" s="336">
        <v>102.6</v>
      </c>
      <c r="R11" s="336">
        <f t="shared" si="0"/>
        <v>85.040562510574645</v>
      </c>
      <c r="S11" s="336" t="s">
        <v>16</v>
      </c>
    </row>
    <row r="12" spans="1:19">
      <c r="N12" s="335" t="s">
        <v>38</v>
      </c>
      <c r="O12" s="336">
        <v>-28536.954145920001</v>
      </c>
      <c r="P12" s="336">
        <v>102.6</v>
      </c>
      <c r="Q12" s="336">
        <v>58.4</v>
      </c>
      <c r="R12" s="336">
        <f t="shared" si="0"/>
        <v>645.63244674027158</v>
      </c>
      <c r="S12" s="336" t="s">
        <v>21</v>
      </c>
    </row>
    <row r="13" spans="1:19">
      <c r="B13" s="41" t="s">
        <v>39</v>
      </c>
      <c r="N13" s="335" t="s">
        <v>40</v>
      </c>
      <c r="O13" s="336">
        <v>-404.96128326143997</v>
      </c>
      <c r="P13" s="336">
        <v>58.4</v>
      </c>
      <c r="Q13" s="336">
        <v>55</v>
      </c>
      <c r="R13" s="336">
        <f t="shared" si="0"/>
        <v>119.10625978277652</v>
      </c>
      <c r="S13" s="336" t="s">
        <v>15</v>
      </c>
    </row>
    <row r="14" spans="1:19">
      <c r="B14" s="38" t="s">
        <v>41</v>
      </c>
      <c r="C14" s="40">
        <f>E2+E3</f>
        <v>90470.156410518117</v>
      </c>
      <c r="N14" s="335" t="s">
        <v>35</v>
      </c>
      <c r="O14" s="336">
        <v>-1226.2877325324</v>
      </c>
      <c r="P14" s="336">
        <v>137.05358729018999</v>
      </c>
      <c r="Q14" s="336">
        <v>55</v>
      </c>
      <c r="R14" s="336">
        <f t="shared" si="0"/>
        <v>14.944961860052768</v>
      </c>
      <c r="S14" s="336" t="s">
        <v>21</v>
      </c>
    </row>
    <row r="15" spans="1:19">
      <c r="B15" s="39" t="s">
        <v>42</v>
      </c>
      <c r="C15" s="40">
        <f>SUM(E4:E10)</f>
        <v>-105972.98255902367</v>
      </c>
      <c r="E15">
        <f>-C15-C14</f>
        <v>15502.826148505555</v>
      </c>
      <c r="N15" s="335" t="s">
        <v>43</v>
      </c>
      <c r="O15" s="336">
        <v>-57.575048573879997</v>
      </c>
      <c r="P15" s="336">
        <v>192</v>
      </c>
      <c r="Q15" s="336">
        <v>140.477</v>
      </c>
      <c r="R15" s="336">
        <f t="shared" si="0"/>
        <v>1.1174630470640297</v>
      </c>
      <c r="S15" s="336" t="s">
        <v>44</v>
      </c>
    </row>
    <row r="16" spans="1:19">
      <c r="B16" s="39" t="s">
        <v>45</v>
      </c>
      <c r="C16" s="40">
        <f>-C14-C15</f>
        <v>15502.826148505555</v>
      </c>
      <c r="D16" t="s">
        <v>46</v>
      </c>
      <c r="N16" s="335" t="s">
        <v>47</v>
      </c>
      <c r="O16" s="336">
        <v>-222.20862635448</v>
      </c>
      <c r="P16" s="336">
        <v>140.477</v>
      </c>
      <c r="Q16" s="336">
        <v>139.04300000000001</v>
      </c>
      <c r="R16" s="336">
        <f t="shared" si="0"/>
        <v>154.95720108401702</v>
      </c>
      <c r="S16" s="336" t="s">
        <v>21</v>
      </c>
    </row>
    <row r="17" spans="1:19">
      <c r="D17" t="s">
        <v>48</v>
      </c>
      <c r="N17" s="335" t="s">
        <v>49</v>
      </c>
      <c r="O17" s="336">
        <v>-0.69104222986679997</v>
      </c>
      <c r="P17" s="336">
        <v>139.04300000000001</v>
      </c>
      <c r="Q17" s="336">
        <v>139.04103150819901</v>
      </c>
      <c r="R17" s="336">
        <f t="shared" si="0"/>
        <v>351.05161703885898</v>
      </c>
      <c r="S17" s="336" t="s">
        <v>15</v>
      </c>
    </row>
    <row r="18" spans="1:19">
      <c r="A18" s="1"/>
      <c r="N18" s="124" t="s">
        <v>50</v>
      </c>
      <c r="O18" s="124">
        <f>SUM(O2:O17)</f>
        <v>-15499.913009913487</v>
      </c>
      <c r="P18" s="124"/>
      <c r="Q18" s="124"/>
      <c r="R18" s="124"/>
      <c r="S18" s="124"/>
    </row>
    <row r="19" spans="1:19">
      <c r="A19" s="1"/>
      <c r="N19" s="335" t="s">
        <v>51</v>
      </c>
      <c r="O19" s="309">
        <f>(C16-O18)/C16*100</f>
        <v>199.98120898367716</v>
      </c>
      <c r="P19" s="309"/>
      <c r="Q19" s="309"/>
      <c r="R19" s="309"/>
      <c r="S19" s="309"/>
    </row>
    <row r="20" spans="1:19">
      <c r="A20" s="1"/>
    </row>
    <row r="21" spans="1:19">
      <c r="A21" s="1"/>
      <c r="N21" s="41"/>
    </row>
    <row r="22" spans="1:19">
      <c r="A22" s="1"/>
    </row>
    <row r="23" spans="1:19">
      <c r="A23" s="1"/>
      <c r="B23" s="428" t="s">
        <v>52</v>
      </c>
      <c r="C23" s="428"/>
      <c r="D23" s="428"/>
      <c r="E23" s="428"/>
      <c r="F23" s="428"/>
      <c r="G23" s="428"/>
      <c r="J23" s="49"/>
      <c r="K23" s="49" t="s">
        <v>53</v>
      </c>
      <c r="L23" s="49" t="s">
        <v>11</v>
      </c>
      <c r="N23" s="328" t="s">
        <v>54</v>
      </c>
      <c r="O23" s="328" t="s">
        <v>55</v>
      </c>
      <c r="P23">
        <v>60812.813642218447</v>
      </c>
    </row>
    <row r="24" spans="1:19">
      <c r="A24" s="1"/>
      <c r="B24" s="428" t="s">
        <v>56</v>
      </c>
      <c r="C24" s="428"/>
      <c r="D24" s="428" t="s">
        <v>57</v>
      </c>
      <c r="E24" s="428" t="s">
        <v>58</v>
      </c>
      <c r="F24" s="428" t="s">
        <v>59</v>
      </c>
      <c r="G24" s="428" t="s">
        <v>60</v>
      </c>
      <c r="J24" s="49" t="s">
        <v>17</v>
      </c>
      <c r="K24" s="59">
        <v>52.665870539244999</v>
      </c>
      <c r="L24" s="59">
        <v>174.26255645950764</v>
      </c>
      <c r="N24" s="325">
        <v>0</v>
      </c>
      <c r="O24" s="326">
        <v>52.665870539244999</v>
      </c>
      <c r="P24">
        <f>N24+P23</f>
        <v>60812.813642218447</v>
      </c>
    </row>
    <row r="25" spans="1:19">
      <c r="A25" s="1"/>
      <c r="B25" s="409" t="s">
        <v>61</v>
      </c>
      <c r="C25" s="409" t="s">
        <v>62</v>
      </c>
      <c r="D25" s="428"/>
      <c r="E25" s="428"/>
      <c r="F25" s="428"/>
      <c r="G25" s="428"/>
      <c r="J25" s="49" t="s">
        <v>20</v>
      </c>
      <c r="K25" s="59">
        <v>137.5</v>
      </c>
      <c r="L25" s="59">
        <v>625.23203600214913</v>
      </c>
      <c r="N25" s="325">
        <v>14783.412274848</v>
      </c>
      <c r="O25" s="326">
        <v>137.5</v>
      </c>
      <c r="P25">
        <f>N25+$P$23</f>
        <v>75596.225917066447</v>
      </c>
    </row>
    <row r="26" spans="1:19">
      <c r="A26" s="20"/>
      <c r="B26" s="53">
        <v>52.665870539244999</v>
      </c>
      <c r="C26" s="53">
        <v>137.5</v>
      </c>
      <c r="D26" s="27" t="s">
        <v>17</v>
      </c>
      <c r="E26" s="27">
        <f>L24</f>
        <v>174.26255645950764</v>
      </c>
      <c r="F26" s="27">
        <v>0</v>
      </c>
      <c r="G26" s="27">
        <f>((C26-B26)*E26)+F26</f>
        <v>14783.412274848</v>
      </c>
      <c r="J26" s="49" t="s">
        <v>17</v>
      </c>
      <c r="K26" s="59">
        <v>137.5</v>
      </c>
      <c r="L26" s="59">
        <v>174.26255645950764</v>
      </c>
      <c r="N26" s="325">
        <v>20009.557852132013</v>
      </c>
      <c r="O26" s="326">
        <v>145.858729681705</v>
      </c>
      <c r="P26">
        <f>N26+$P$23</f>
        <v>80822.37149435046</v>
      </c>
    </row>
    <row r="27" spans="1:19">
      <c r="A27" s="20"/>
      <c r="B27" s="53">
        <v>137.5</v>
      </c>
      <c r="C27" s="53">
        <v>145.858729681705</v>
      </c>
      <c r="D27" s="27" t="s">
        <v>20</v>
      </c>
      <c r="E27" s="27">
        <f>L25</f>
        <v>625.23203600214913</v>
      </c>
      <c r="F27" s="27">
        <f>G26</f>
        <v>14783.412274848</v>
      </c>
      <c r="G27" s="27">
        <f>((C27-B27)*E27)+F27</f>
        <v>20009.557852132013</v>
      </c>
      <c r="J27" s="49" t="s">
        <v>19</v>
      </c>
      <c r="K27" s="59">
        <v>145.858729681705</v>
      </c>
      <c r="L27" s="59">
        <v>5.8589110306946015</v>
      </c>
      <c r="N27" s="325">
        <v>49128.895834603245</v>
      </c>
      <c r="O27" s="326">
        <v>192</v>
      </c>
      <c r="P27">
        <f>N27+$P$23</f>
        <v>109941.70947682169</v>
      </c>
    </row>
    <row r="28" spans="1:19">
      <c r="A28" s="20"/>
      <c r="B28" s="53">
        <v>145.858729681705</v>
      </c>
      <c r="C28" s="53">
        <v>192</v>
      </c>
      <c r="D28" s="27" t="s">
        <v>63</v>
      </c>
      <c r="E28" s="27">
        <f>L25+L27</f>
        <v>631.0909470328437</v>
      </c>
      <c r="F28" s="27">
        <f>G27</f>
        <v>20009.557852132013</v>
      </c>
      <c r="G28" s="27">
        <f>((C28-B28)*E28)+F28</f>
        <v>49128.895834603245</v>
      </c>
      <c r="J28" s="49" t="s">
        <v>19</v>
      </c>
      <c r="K28" s="59">
        <v>192</v>
      </c>
      <c r="L28" s="59">
        <v>5.8589110306946015</v>
      </c>
      <c r="N28" s="325">
        <v>51610.828764320511</v>
      </c>
      <c r="O28" s="326">
        <v>195.2</v>
      </c>
      <c r="P28">
        <f>N28+$P$23</f>
        <v>112423.64240653896</v>
      </c>
    </row>
    <row r="29" spans="1:19">
      <c r="A29" s="20"/>
      <c r="B29" s="53">
        <v>192</v>
      </c>
      <c r="C29" s="53">
        <v>195.2</v>
      </c>
      <c r="D29" s="27" t="s">
        <v>64</v>
      </c>
      <c r="E29" s="27">
        <f>L29+L30</f>
        <v>775.60404053664934</v>
      </c>
      <c r="F29" s="27">
        <f>G28</f>
        <v>49128.895834603245</v>
      </c>
      <c r="G29" s="27">
        <f>((C29-B29)*E29)+F29</f>
        <v>51610.828764320511</v>
      </c>
      <c r="J29" s="49" t="s">
        <v>26</v>
      </c>
      <c r="K29" s="59">
        <v>195.2</v>
      </c>
      <c r="L29" s="59">
        <v>150.37200453450026</v>
      </c>
      <c r="N29" s="325">
        <v>90955.66375077251</v>
      </c>
      <c r="O29" s="327">
        <v>456.85</v>
      </c>
      <c r="P29">
        <f>N29+$P$23</f>
        <v>151768.47739299096</v>
      </c>
    </row>
    <row r="30" spans="1:19">
      <c r="A30" s="20"/>
      <c r="B30" s="53">
        <v>195.2</v>
      </c>
      <c r="C30" s="54">
        <v>456.85</v>
      </c>
      <c r="D30" s="27" t="s">
        <v>26</v>
      </c>
      <c r="E30" s="27">
        <f>L31</f>
        <v>150.37200453450026</v>
      </c>
      <c r="F30" s="27">
        <f>G29</f>
        <v>51610.828764320511</v>
      </c>
      <c r="G30" s="27">
        <f>((C30-B30)*E30)+F30</f>
        <v>90955.66375077251</v>
      </c>
      <c r="J30" s="49" t="s">
        <v>20</v>
      </c>
      <c r="K30" s="59">
        <v>195.2</v>
      </c>
      <c r="L30" s="59">
        <v>625.23203600214913</v>
      </c>
    </row>
    <row r="31" spans="1:19">
      <c r="A31" s="20"/>
      <c r="B31" s="21"/>
      <c r="C31" s="52"/>
      <c r="D31" s="20"/>
      <c r="E31" s="20"/>
      <c r="F31" s="20"/>
      <c r="G31" s="20"/>
      <c r="J31" s="49" t="s">
        <v>26</v>
      </c>
      <c r="K31" s="59">
        <v>456.85</v>
      </c>
      <c r="L31" s="59">
        <v>150.37200453450026</v>
      </c>
    </row>
    <row r="32" spans="1:19">
      <c r="A32" s="20"/>
      <c r="B32" s="21"/>
      <c r="C32" s="52"/>
      <c r="D32" s="20"/>
      <c r="E32" s="20"/>
      <c r="F32" s="20"/>
      <c r="G32" s="20"/>
    </row>
    <row r="33" spans="1:15">
      <c r="A33" s="20"/>
    </row>
    <row r="34" spans="1:15">
      <c r="A34" s="20"/>
      <c r="B34" s="429" t="s">
        <v>65</v>
      </c>
      <c r="C34" s="430"/>
      <c r="D34" s="430"/>
      <c r="E34" s="430"/>
      <c r="F34" s="430"/>
      <c r="G34" s="431"/>
      <c r="J34" s="48"/>
      <c r="K34" s="48" t="s">
        <v>53</v>
      </c>
      <c r="L34" s="48" t="s">
        <v>11</v>
      </c>
      <c r="N34" s="329" t="s">
        <v>54</v>
      </c>
      <c r="O34" s="329" t="s">
        <v>55</v>
      </c>
    </row>
    <row r="35" spans="1:15">
      <c r="A35" s="20"/>
      <c r="B35" s="429" t="s">
        <v>56</v>
      </c>
      <c r="C35" s="431"/>
      <c r="D35" s="432" t="s">
        <v>57</v>
      </c>
      <c r="E35" s="432" t="s">
        <v>58</v>
      </c>
      <c r="F35" s="432" t="s">
        <v>59</v>
      </c>
      <c r="G35" s="432" t="s">
        <v>60</v>
      </c>
      <c r="J35" s="48" t="s">
        <v>27</v>
      </c>
      <c r="K35" s="16">
        <v>55</v>
      </c>
      <c r="L35" s="16">
        <v>238.60815825059998</v>
      </c>
      <c r="N35" s="330">
        <v>0</v>
      </c>
      <c r="O35" s="330">
        <v>55</v>
      </c>
    </row>
    <row r="36" spans="1:15">
      <c r="A36" s="20"/>
      <c r="B36" s="425" t="s">
        <v>61</v>
      </c>
      <c r="C36" s="425" t="s">
        <v>62</v>
      </c>
      <c r="D36" s="433"/>
      <c r="E36" s="433"/>
      <c r="F36" s="433"/>
      <c r="G36" s="433"/>
      <c r="J36" s="48" t="s">
        <v>29</v>
      </c>
      <c r="K36" s="16">
        <v>55</v>
      </c>
      <c r="L36" s="16">
        <v>460.70691682380254</v>
      </c>
      <c r="N36" s="331">
        <v>2842.2317892152942</v>
      </c>
      <c r="O36" s="332">
        <v>58.4</v>
      </c>
    </row>
    <row r="37" spans="1:15">
      <c r="A37" s="20"/>
      <c r="B37" s="55">
        <v>55</v>
      </c>
      <c r="C37" s="56">
        <v>58.4</v>
      </c>
      <c r="D37" s="55" t="s">
        <v>66</v>
      </c>
      <c r="E37" s="55">
        <f>L35+L36+L37+L38+L39</f>
        <v>835.95052623979279</v>
      </c>
      <c r="F37" s="55">
        <v>0</v>
      </c>
      <c r="G37" s="55">
        <f t="shared" ref="G37:G49" si="2">((C37-B37)*E37)+F37</f>
        <v>2842.2317892152942</v>
      </c>
      <c r="J37" s="48" t="s">
        <v>31</v>
      </c>
      <c r="K37" s="16">
        <v>55</v>
      </c>
      <c r="L37" s="16">
        <v>2.5842295225609209</v>
      </c>
      <c r="N37" s="331">
        <v>11834.578096317397</v>
      </c>
      <c r="O37" s="332">
        <v>65</v>
      </c>
    </row>
    <row r="38" spans="1:15">
      <c r="A38" s="20"/>
      <c r="B38" s="56">
        <v>58.4</v>
      </c>
      <c r="C38" s="56">
        <v>65</v>
      </c>
      <c r="D38" s="55" t="s">
        <v>67</v>
      </c>
      <c r="E38" s="55">
        <f>L35+L36+L37+L39+L41</f>
        <v>1362.4767131972878</v>
      </c>
      <c r="F38" s="55">
        <f t="shared" ref="F38:F49" si="3">G37</f>
        <v>2842.2317892152942</v>
      </c>
      <c r="G38" s="55">
        <f t="shared" si="2"/>
        <v>11834.578096317397</v>
      </c>
      <c r="J38" s="48" t="s">
        <v>40</v>
      </c>
      <c r="K38" s="16">
        <v>55</v>
      </c>
      <c r="L38" s="16">
        <v>119.10625978277652</v>
      </c>
      <c r="N38" s="331">
        <v>12119.676529264541</v>
      </c>
      <c r="O38" s="332">
        <v>65.150063343529993</v>
      </c>
    </row>
    <row r="39" spans="1:15">
      <c r="A39" s="20"/>
      <c r="B39" s="56">
        <v>65</v>
      </c>
      <c r="C39" s="56">
        <v>65.150063343529993</v>
      </c>
      <c r="D39" s="55" t="s">
        <v>68</v>
      </c>
      <c r="E39" s="55">
        <f>L36+L37+L39+L41+L43</f>
        <v>1899.8539299516738</v>
      </c>
      <c r="F39" s="55">
        <f t="shared" si="3"/>
        <v>11834.578096317397</v>
      </c>
      <c r="G39" s="55">
        <f t="shared" si="2"/>
        <v>12119.676529264541</v>
      </c>
      <c r="J39" s="48" t="s">
        <v>35</v>
      </c>
      <c r="K39" s="16">
        <v>55</v>
      </c>
      <c r="L39" s="16">
        <v>14.944961860052768</v>
      </c>
      <c r="N39" s="331">
        <v>29429.286600233499</v>
      </c>
      <c r="O39" s="332">
        <v>77.177750517301007</v>
      </c>
    </row>
    <row r="40" spans="1:15">
      <c r="A40" s="20"/>
      <c r="B40" s="56">
        <v>65.150063343529993</v>
      </c>
      <c r="C40" s="56">
        <v>77.177750517301007</v>
      </c>
      <c r="D40" s="55" t="s">
        <v>69</v>
      </c>
      <c r="E40" s="55">
        <f>L37+L39+L41+L43</f>
        <v>1439.1470131278711</v>
      </c>
      <c r="F40" s="55">
        <f t="shared" si="3"/>
        <v>12119.676529264541</v>
      </c>
      <c r="G40" s="55">
        <f t="shared" si="2"/>
        <v>29429.286600233499</v>
      </c>
      <c r="J40" s="48" t="s">
        <v>40</v>
      </c>
      <c r="K40" s="16">
        <v>58.4</v>
      </c>
      <c r="L40" s="16">
        <v>119.10625978277652</v>
      </c>
      <c r="N40" s="331">
        <v>62645.849680316009</v>
      </c>
      <c r="O40" s="332">
        <v>100.3</v>
      </c>
    </row>
    <row r="41" spans="1:15">
      <c r="A41" s="20"/>
      <c r="B41" s="56">
        <v>77.177750517301007</v>
      </c>
      <c r="C41" s="56">
        <v>100.3</v>
      </c>
      <c r="D41" s="55" t="s">
        <v>70</v>
      </c>
      <c r="E41" s="55">
        <f>L39+L41+L43</f>
        <v>1436.5627836053104</v>
      </c>
      <c r="F41" s="55">
        <f t="shared" si="3"/>
        <v>29429.286600233499</v>
      </c>
      <c r="G41" s="55">
        <f t="shared" si="2"/>
        <v>62645.849680316009</v>
      </c>
      <c r="J41" s="48" t="s">
        <v>38</v>
      </c>
      <c r="K41" s="16">
        <v>58.4</v>
      </c>
      <c r="L41" s="16">
        <v>645.63244674027158</v>
      </c>
      <c r="N41" s="331">
        <v>64478.983706164057</v>
      </c>
      <c r="O41" s="332">
        <v>102.6</v>
      </c>
    </row>
    <row r="42" spans="1:15">
      <c r="A42" s="20"/>
      <c r="B42" s="56">
        <v>100.3</v>
      </c>
      <c r="C42" s="56">
        <v>102.6</v>
      </c>
      <c r="D42" s="55" t="s">
        <v>71</v>
      </c>
      <c r="E42" s="55">
        <f>L39+L41+L47</f>
        <v>797.01479384697836</v>
      </c>
      <c r="F42" s="55">
        <f t="shared" si="3"/>
        <v>62645.849680316009</v>
      </c>
      <c r="G42" s="55">
        <f t="shared" si="2"/>
        <v>64478.983706164057</v>
      </c>
      <c r="J42" s="48" t="s">
        <v>27</v>
      </c>
      <c r="K42" s="16">
        <v>65</v>
      </c>
      <c r="L42" s="16">
        <v>238.60815825059998</v>
      </c>
      <c r="N42" s="331">
        <v>64764.020277226009</v>
      </c>
      <c r="O42" s="332">
        <v>103.805621619002</v>
      </c>
    </row>
    <row r="43" spans="1:15">
      <c r="A43" s="20"/>
      <c r="B43" s="56">
        <v>102.6</v>
      </c>
      <c r="C43" s="56">
        <v>103.805621619002</v>
      </c>
      <c r="D43" s="55" t="s">
        <v>72</v>
      </c>
      <c r="E43" s="55">
        <f>L39+L47+L49</f>
        <v>236.42290961728145</v>
      </c>
      <c r="F43" s="55">
        <f t="shared" si="3"/>
        <v>64478.983706164057</v>
      </c>
      <c r="G43" s="55">
        <f t="shared" si="2"/>
        <v>64764.020277226009</v>
      </c>
      <c r="J43" s="48" t="s">
        <v>32</v>
      </c>
      <c r="K43" s="16">
        <v>65</v>
      </c>
      <c r="L43" s="16">
        <v>775.98537500498594</v>
      </c>
      <c r="N43" s="331">
        <v>69797.175357053668</v>
      </c>
      <c r="O43" s="332">
        <v>137.05358729018999</v>
      </c>
    </row>
    <row r="44" spans="1:15">
      <c r="B44" s="56">
        <v>103.805621619002</v>
      </c>
      <c r="C44" s="56">
        <v>137.05358729018999</v>
      </c>
      <c r="D44" s="55" t="s">
        <v>73</v>
      </c>
      <c r="E44" s="55">
        <f>L39+L47</f>
        <v>151.38234710670679</v>
      </c>
      <c r="F44" s="55">
        <f t="shared" si="3"/>
        <v>64764.020277226009</v>
      </c>
      <c r="G44" s="55">
        <f t="shared" si="2"/>
        <v>69797.175357053668</v>
      </c>
      <c r="J44" s="48" t="s">
        <v>29</v>
      </c>
      <c r="K44" s="16">
        <v>65.150063343529993</v>
      </c>
      <c r="L44" s="16">
        <v>460.70691682380254</v>
      </c>
      <c r="N44" s="331">
        <v>70068.337049482405</v>
      </c>
      <c r="O44" s="333">
        <v>139.04103150819901</v>
      </c>
    </row>
    <row r="45" spans="1:15">
      <c r="B45" s="56">
        <v>137.05358729018999</v>
      </c>
      <c r="C45" s="56">
        <v>139.04103150819901</v>
      </c>
      <c r="D45" s="55" t="s">
        <v>30</v>
      </c>
      <c r="E45" s="55">
        <f>L47</f>
        <v>136.43738524665403</v>
      </c>
      <c r="F45" s="55">
        <f t="shared" si="3"/>
        <v>69797.175357053668</v>
      </c>
      <c r="G45" s="55">
        <f t="shared" si="2"/>
        <v>70068.337049482405</v>
      </c>
      <c r="J45" s="48" t="s">
        <v>31</v>
      </c>
      <c r="K45" s="16">
        <v>77.177750517301007</v>
      </c>
      <c r="L45" s="16">
        <v>2.5842295225609209</v>
      </c>
      <c r="N45" s="331">
        <v>70069.296667586474</v>
      </c>
      <c r="O45" s="332">
        <v>139.04300000000001</v>
      </c>
    </row>
    <row r="46" spans="1:15">
      <c r="B46" s="57">
        <v>139.04103150819901</v>
      </c>
      <c r="C46" s="57">
        <v>139.04300000000001</v>
      </c>
      <c r="D46" s="55" t="s">
        <v>74</v>
      </c>
      <c r="E46" s="55">
        <f>L58+L53</f>
        <v>487.48900228551304</v>
      </c>
      <c r="F46" s="55">
        <f t="shared" si="3"/>
        <v>70068.337049482405</v>
      </c>
      <c r="G46" s="55">
        <f t="shared" si="2"/>
        <v>70069.296667586474</v>
      </c>
      <c r="J46" s="48" t="s">
        <v>32</v>
      </c>
      <c r="K46" s="16">
        <v>100.3</v>
      </c>
      <c r="L46" s="16">
        <v>775.98537500498594</v>
      </c>
      <c r="N46" s="331">
        <v>70487.156504384649</v>
      </c>
      <c r="O46" s="332">
        <v>140.477</v>
      </c>
    </row>
    <row r="47" spans="1:15">
      <c r="B47" s="56">
        <v>139.04300000000001</v>
      </c>
      <c r="C47" s="56">
        <v>140.477</v>
      </c>
      <c r="D47" s="55" t="s">
        <v>75</v>
      </c>
      <c r="E47" s="55">
        <f>L58+L55</f>
        <v>291.39458633067102</v>
      </c>
      <c r="F47" s="55">
        <f t="shared" si="3"/>
        <v>70069.296667586474</v>
      </c>
      <c r="G47" s="55">
        <f t="shared" si="2"/>
        <v>70487.156504384649</v>
      </c>
      <c r="J47" s="48" t="s">
        <v>30</v>
      </c>
      <c r="K47" s="16">
        <v>100.3</v>
      </c>
      <c r="L47" s="16">
        <v>136.43738524665403</v>
      </c>
      <c r="N47" s="331">
        <v>77574.394953021882</v>
      </c>
      <c r="O47" s="332">
        <v>192</v>
      </c>
    </row>
    <row r="48" spans="1:15">
      <c r="B48" s="56">
        <v>140.477</v>
      </c>
      <c r="C48" s="56">
        <v>192</v>
      </c>
      <c r="D48" s="55" t="s">
        <v>76</v>
      </c>
      <c r="E48" s="55">
        <f>L58+L57</f>
        <v>137.55484829371807</v>
      </c>
      <c r="F48" s="55">
        <f t="shared" si="3"/>
        <v>70487.156504384649</v>
      </c>
      <c r="G48" s="55">
        <f t="shared" si="2"/>
        <v>77574.394953021882</v>
      </c>
      <c r="J48" s="48" t="s">
        <v>38</v>
      </c>
      <c r="K48" s="16">
        <v>102.6</v>
      </c>
      <c r="L48" s="16">
        <v>645.63244674027158</v>
      </c>
      <c r="N48" s="331">
        <v>105974.38634617561</v>
      </c>
      <c r="O48" s="332">
        <v>400.154028617682</v>
      </c>
    </row>
    <row r="49" spans="2:12">
      <c r="B49" s="56">
        <v>192</v>
      </c>
      <c r="C49" s="56">
        <v>400.154028617682</v>
      </c>
      <c r="D49" s="55" t="s">
        <v>30</v>
      </c>
      <c r="E49" s="55">
        <f>L58</f>
        <v>136.43738524665403</v>
      </c>
      <c r="F49" s="55">
        <f t="shared" si="3"/>
        <v>77574.394953021882</v>
      </c>
      <c r="G49" s="55">
        <f t="shared" si="2"/>
        <v>105974.38634617561</v>
      </c>
      <c r="J49" s="48" t="s">
        <v>37</v>
      </c>
      <c r="K49" s="16">
        <v>102.6</v>
      </c>
      <c r="L49" s="16">
        <v>85.040562510574645</v>
      </c>
    </row>
    <row r="50" spans="2:12">
      <c r="B50" s="20"/>
      <c r="C50" s="20"/>
      <c r="D50" s="20"/>
      <c r="E50" s="20"/>
      <c r="F50" s="20"/>
      <c r="G50" s="20"/>
      <c r="J50" s="48" t="s">
        <v>37</v>
      </c>
      <c r="K50" s="16">
        <v>103.805621619002</v>
      </c>
      <c r="L50" s="16">
        <v>85.040562510574645</v>
      </c>
    </row>
    <row r="51" spans="2:12">
      <c r="B51" s="20"/>
      <c r="C51" s="20"/>
      <c r="D51" s="20"/>
      <c r="E51" s="20"/>
      <c r="F51" s="20"/>
      <c r="G51" s="20"/>
      <c r="J51" s="48" t="s">
        <v>35</v>
      </c>
      <c r="K51" s="16">
        <v>137.05358729018999</v>
      </c>
      <c r="L51" s="16">
        <v>14.944961860052768</v>
      </c>
    </row>
    <row r="52" spans="2:12">
      <c r="J52" s="48" t="s">
        <v>49</v>
      </c>
      <c r="K52" s="16">
        <v>139.04103150819901</v>
      </c>
      <c r="L52" s="16">
        <v>351.05161703885898</v>
      </c>
    </row>
    <row r="53" spans="2:12">
      <c r="J53" s="48" t="s">
        <v>49</v>
      </c>
      <c r="K53" s="16">
        <v>139.04300000000001</v>
      </c>
      <c r="L53" s="16">
        <v>351.05161703885898</v>
      </c>
    </row>
    <row r="54" spans="2:12">
      <c r="J54" s="48" t="s">
        <v>47</v>
      </c>
      <c r="K54" s="16">
        <v>139.04300000000001</v>
      </c>
      <c r="L54" s="16">
        <v>154.95720108401702</v>
      </c>
    </row>
    <row r="55" spans="2:12">
      <c r="J55" s="48" t="s">
        <v>47</v>
      </c>
      <c r="K55" s="16">
        <v>140.477</v>
      </c>
      <c r="L55" s="16">
        <v>154.95720108401702</v>
      </c>
    </row>
    <row r="56" spans="2:12">
      <c r="J56" s="48" t="s">
        <v>43</v>
      </c>
      <c r="K56" s="16">
        <v>140.477</v>
      </c>
      <c r="L56" s="16">
        <v>1.1174630470640297</v>
      </c>
    </row>
    <row r="57" spans="2:12">
      <c r="J57" s="48" t="s">
        <v>43</v>
      </c>
      <c r="K57" s="16">
        <v>192</v>
      </c>
      <c r="L57" s="16">
        <v>1.1174630470640297</v>
      </c>
    </row>
    <row r="58" spans="2:12">
      <c r="J58" s="48" t="s">
        <v>30</v>
      </c>
      <c r="K58" s="16">
        <v>400.154028617682</v>
      </c>
      <c r="L58" s="16">
        <v>136.43738524665403</v>
      </c>
    </row>
  </sheetData>
  <sortState xmlns:xlrd2="http://schemas.microsoft.com/office/spreadsheetml/2017/richdata2" ref="J34:L58">
    <sortCondition ref="K35:K58"/>
  </sortState>
  <mergeCells count="12">
    <mergeCell ref="B34:G34"/>
    <mergeCell ref="D35:D36"/>
    <mergeCell ref="E35:E36"/>
    <mergeCell ref="F35:F36"/>
    <mergeCell ref="G35:G36"/>
    <mergeCell ref="B35:C35"/>
    <mergeCell ref="B23:G23"/>
    <mergeCell ref="B24:C24"/>
    <mergeCell ref="D24:D25"/>
    <mergeCell ref="E24:E25"/>
    <mergeCell ref="F24:F25"/>
    <mergeCell ref="G24:G25"/>
  </mergeCells>
  <phoneticPr fontId="3" type="noConversion"/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CE99A-5981-4C32-93D7-EECCE625D367}">
  <dimension ref="B2:K63"/>
  <sheetViews>
    <sheetView topLeftCell="A49" workbookViewId="0"/>
  </sheetViews>
  <sheetFormatPr defaultRowHeight="14.45"/>
  <cols>
    <col min="4" max="4" width="9.140625" style="400"/>
    <col min="6" max="6" width="9.140625" style="361"/>
    <col min="8" max="8" width="9.140625" style="404"/>
    <col min="10" max="10" width="9.140625" style="361"/>
  </cols>
  <sheetData>
    <row r="2" spans="2:11">
      <c r="B2" s="348"/>
      <c r="F2" s="419" t="s">
        <v>260</v>
      </c>
      <c r="J2" s="419" t="s">
        <v>261</v>
      </c>
      <c r="K2" s="349"/>
    </row>
    <row r="3" spans="2:11">
      <c r="B3" s="348"/>
      <c r="F3" s="419">
        <v>0</v>
      </c>
      <c r="J3" s="52">
        <f>-F63</f>
        <v>31998.19584522357</v>
      </c>
      <c r="K3" s="349"/>
    </row>
    <row r="4" spans="2:11">
      <c r="B4" s="348"/>
      <c r="D4" s="401">
        <v>456.85</v>
      </c>
      <c r="E4" s="442">
        <v>-1068.7291621241529</v>
      </c>
      <c r="F4" s="419"/>
      <c r="H4" s="405">
        <v>456.85</v>
      </c>
      <c r="I4" s="442">
        <v>-1068.7291621241529</v>
      </c>
      <c r="J4" s="419"/>
      <c r="K4" s="349"/>
    </row>
    <row r="5" spans="2:11">
      <c r="B5" s="348"/>
      <c r="D5" s="401">
        <v>380.154028617682</v>
      </c>
      <c r="E5" s="442"/>
      <c r="F5" s="419"/>
      <c r="H5" s="405">
        <v>380.154028617682</v>
      </c>
      <c r="I5" s="442"/>
      <c r="J5" s="419"/>
      <c r="K5" s="349"/>
    </row>
    <row r="6" spans="2:11">
      <c r="B6" s="348"/>
      <c r="F6" s="52">
        <f>F3+E4</f>
        <v>-1068.7291621241529</v>
      </c>
      <c r="G6" s="70"/>
      <c r="J6" s="52">
        <f>J3+I4</f>
        <v>30929.466683099417</v>
      </c>
      <c r="K6" s="349"/>
    </row>
    <row r="7" spans="2:11">
      <c r="B7" s="348"/>
      <c r="D7" s="401">
        <v>380.154028617682</v>
      </c>
      <c r="E7" s="443">
        <v>-2577.263974540816</v>
      </c>
      <c r="F7" s="419"/>
      <c r="H7" s="405">
        <v>380.154028617682</v>
      </c>
      <c r="I7" s="443">
        <v>-2577.263974540816</v>
      </c>
      <c r="J7" s="419"/>
      <c r="K7" s="349"/>
    </row>
    <row r="8" spans="2:11">
      <c r="B8" s="348"/>
      <c r="D8" s="402">
        <v>195.2</v>
      </c>
      <c r="E8" s="443"/>
      <c r="F8" s="419"/>
      <c r="H8" s="406">
        <v>195.2</v>
      </c>
      <c r="I8" s="443"/>
      <c r="J8" s="419"/>
      <c r="K8" s="349"/>
    </row>
    <row r="9" spans="2:11">
      <c r="B9" s="348"/>
      <c r="F9" s="52">
        <f>F6+E7</f>
        <v>-3645.9931366649689</v>
      </c>
      <c r="G9" s="70"/>
      <c r="J9" s="52">
        <f>J6+I7</f>
        <v>28352.202708558601</v>
      </c>
      <c r="K9" s="349"/>
    </row>
    <row r="10" spans="2:11">
      <c r="B10" s="348"/>
      <c r="D10" s="402">
        <v>195.2</v>
      </c>
      <c r="E10" s="443">
        <v>-1564.1428824175787</v>
      </c>
      <c r="F10" s="419"/>
      <c r="H10" s="406">
        <v>195.2</v>
      </c>
      <c r="I10" s="443">
        <v>-1564.1428824175787</v>
      </c>
      <c r="J10" s="419"/>
      <c r="K10" s="349"/>
    </row>
    <row r="11" spans="2:11">
      <c r="B11" s="348"/>
      <c r="D11" s="401">
        <v>192</v>
      </c>
      <c r="E11" s="443"/>
      <c r="F11" s="419"/>
      <c r="H11" s="405">
        <v>192</v>
      </c>
      <c r="I11" s="443"/>
      <c r="J11" s="419"/>
      <c r="K11" s="349"/>
    </row>
    <row r="12" spans="2:11">
      <c r="B12" s="348"/>
      <c r="F12" s="52">
        <f>F9+E10</f>
        <v>-5210.1360190825471</v>
      </c>
      <c r="G12" s="70"/>
      <c r="J12" s="52">
        <f>J9+I10</f>
        <v>26788.059826141023</v>
      </c>
      <c r="K12" s="349"/>
    </row>
    <row r="13" spans="2:11">
      <c r="B13" s="348"/>
      <c r="D13" s="401">
        <v>192</v>
      </c>
      <c r="E13" s="442">
        <v>-9893.0712357237935</v>
      </c>
      <c r="F13" s="419"/>
      <c r="H13" s="405">
        <v>192</v>
      </c>
      <c r="I13" s="442">
        <v>-9893.0712357237935</v>
      </c>
      <c r="J13" s="419"/>
      <c r="K13" s="349"/>
    </row>
    <row r="14" spans="2:11">
      <c r="B14" s="348"/>
      <c r="D14" s="401">
        <v>172</v>
      </c>
      <c r="E14" s="442"/>
      <c r="F14" s="419"/>
      <c r="H14" s="405">
        <v>172</v>
      </c>
      <c r="I14" s="442"/>
      <c r="J14" s="419"/>
      <c r="K14" s="349"/>
    </row>
    <row r="15" spans="2:11">
      <c r="B15" s="348"/>
      <c r="F15" s="52">
        <f>F12+E13</f>
        <v>-15103.207254806341</v>
      </c>
      <c r="G15" s="70"/>
      <c r="J15" s="52">
        <f>J12+I13</f>
        <v>16894.98859041723</v>
      </c>
      <c r="K15" s="349"/>
    </row>
    <row r="16" spans="2:11">
      <c r="B16" s="348"/>
      <c r="D16" s="401">
        <v>172</v>
      </c>
      <c r="E16" s="442">
        <v>-12901.660568976215</v>
      </c>
      <c r="F16" s="419"/>
      <c r="H16" s="405">
        <v>172</v>
      </c>
      <c r="I16" s="442">
        <v>-12901.660568976215</v>
      </c>
      <c r="J16" s="419"/>
      <c r="K16" s="349"/>
    </row>
    <row r="17" spans="2:11">
      <c r="B17" s="348"/>
      <c r="D17" s="401">
        <v>145.858729681705</v>
      </c>
      <c r="E17" s="442"/>
      <c r="F17" s="419"/>
      <c r="H17" s="405">
        <v>145.858729681705</v>
      </c>
      <c r="I17" s="442"/>
      <c r="J17" s="419"/>
      <c r="K17" s="349"/>
    </row>
    <row r="18" spans="2:11">
      <c r="B18" s="348"/>
      <c r="F18" s="52">
        <f>F15+E16</f>
        <v>-28004.867823782555</v>
      </c>
      <c r="G18" s="70"/>
      <c r="J18" s="52">
        <f>J15+I16</f>
        <v>3993.3280214410152</v>
      </c>
      <c r="K18" s="349"/>
    </row>
    <row r="19" spans="2:11">
      <c r="B19" s="348"/>
      <c r="D19" s="401">
        <v>145.858729681705</v>
      </c>
      <c r="E19" s="442">
        <v>-2701.1407869267855</v>
      </c>
      <c r="F19" s="419"/>
      <c r="H19" s="405">
        <v>145.858729681705</v>
      </c>
      <c r="I19" s="442">
        <v>-2701.1407869267855</v>
      </c>
      <c r="J19" s="419"/>
      <c r="K19" s="484"/>
    </row>
    <row r="20" spans="2:11">
      <c r="B20" s="348"/>
      <c r="D20" s="401">
        <v>137.5</v>
      </c>
      <c r="E20" s="442"/>
      <c r="F20" s="419"/>
      <c r="H20" s="405">
        <v>137.5</v>
      </c>
      <c r="I20" s="442"/>
      <c r="J20" s="419"/>
      <c r="K20" s="484"/>
    </row>
    <row r="21" spans="2:11">
      <c r="B21" s="348"/>
      <c r="F21" s="52">
        <f>F18+E19</f>
        <v>-30706.008610709341</v>
      </c>
      <c r="G21" s="70"/>
      <c r="J21" s="52">
        <f>J18+I19</f>
        <v>1292.1872345142297</v>
      </c>
      <c r="K21" s="349"/>
    </row>
    <row r="22" spans="2:11">
      <c r="B22" s="348"/>
      <c r="D22" s="401">
        <v>137.5</v>
      </c>
      <c r="E22" s="442">
        <v>-624.87531610623546</v>
      </c>
      <c r="F22" s="419"/>
      <c r="H22" s="405">
        <v>137.5</v>
      </c>
      <c r="I22" s="442">
        <v>-624.87531610623546</v>
      </c>
      <c r="J22" s="419"/>
      <c r="K22" s="484"/>
    </row>
    <row r="23" spans="2:11">
      <c r="B23" s="348"/>
      <c r="D23" s="401">
        <v>120.477</v>
      </c>
      <c r="E23" s="442"/>
      <c r="F23" s="419"/>
      <c r="H23" s="405">
        <v>120.477</v>
      </c>
      <c r="I23" s="442"/>
      <c r="J23" s="419"/>
      <c r="K23" s="484"/>
    </row>
    <row r="24" spans="2:11">
      <c r="B24" s="348"/>
      <c r="F24" s="52">
        <f>F21+E22</f>
        <v>-31330.883926815575</v>
      </c>
      <c r="G24" s="70"/>
      <c r="J24" s="52">
        <f>J21+I22</f>
        <v>667.3119184079942</v>
      </c>
      <c r="K24" s="349"/>
    </row>
    <row r="25" spans="2:11">
      <c r="B25" s="348"/>
      <c r="D25" s="401">
        <v>120.477</v>
      </c>
      <c r="E25" s="442">
        <v>167.96733083524799</v>
      </c>
      <c r="F25" s="419"/>
      <c r="H25" s="405">
        <v>120.477</v>
      </c>
      <c r="I25" s="442">
        <v>167.96733083524799</v>
      </c>
      <c r="J25" s="419"/>
      <c r="K25" s="349"/>
    </row>
    <row r="26" spans="2:11">
      <c r="B26" s="348"/>
      <c r="D26" s="403">
        <v>119.04300000000001</v>
      </c>
      <c r="E26" s="442"/>
      <c r="F26" s="419"/>
      <c r="H26" s="407">
        <v>119.04300000000001</v>
      </c>
      <c r="I26" s="442"/>
      <c r="J26" s="419"/>
      <c r="K26" s="349"/>
    </row>
    <row r="27" spans="2:11">
      <c r="B27" s="348"/>
      <c r="F27" s="52">
        <f>E25+F24</f>
        <v>-31162.916595980329</v>
      </c>
      <c r="G27" s="70"/>
      <c r="J27" s="52">
        <f>I25+J24</f>
        <v>835.27924924324225</v>
      </c>
      <c r="K27" s="349"/>
    </row>
    <row r="28" spans="2:11">
      <c r="B28" s="348"/>
      <c r="D28" s="403">
        <v>119.04300000000001</v>
      </c>
      <c r="E28" s="442">
        <v>0.61658369046309036</v>
      </c>
      <c r="F28" s="419"/>
      <c r="H28" s="407">
        <v>119.04300000000001</v>
      </c>
      <c r="I28" s="442">
        <v>0.61658369046309036</v>
      </c>
      <c r="J28" s="419"/>
      <c r="K28" s="349"/>
    </row>
    <row r="29" spans="2:11">
      <c r="B29" s="348"/>
      <c r="D29" s="403">
        <v>119.04103150819901</v>
      </c>
      <c r="E29" s="442"/>
      <c r="F29" s="419"/>
      <c r="H29" s="407">
        <v>119.04103150819901</v>
      </c>
      <c r="I29" s="442"/>
      <c r="J29" s="419"/>
      <c r="K29" s="349"/>
    </row>
    <row r="30" spans="2:11">
      <c r="B30" s="348"/>
      <c r="F30" s="52">
        <f>F27+E28</f>
        <v>-31162.300012289867</v>
      </c>
      <c r="G30" s="70"/>
      <c r="J30" s="52">
        <f>J27+I28</f>
        <v>835.89583293370538</v>
      </c>
      <c r="K30" s="349"/>
    </row>
    <row r="31" spans="2:11">
      <c r="B31" s="348"/>
      <c r="D31" s="403">
        <v>119.04103150819901</v>
      </c>
      <c r="E31" s="442">
        <v>-75.175417822187001</v>
      </c>
      <c r="F31" s="419"/>
      <c r="H31" s="407">
        <v>119.04103150819901</v>
      </c>
      <c r="I31" s="442">
        <v>-75.175417822187001</v>
      </c>
      <c r="J31" s="419"/>
      <c r="K31" s="349"/>
    </row>
    <row r="32" spans="2:11">
      <c r="B32" s="348"/>
      <c r="D32" s="401">
        <v>117.05358729018999</v>
      </c>
      <c r="E32" s="442"/>
      <c r="F32" s="419"/>
      <c r="H32" s="405">
        <v>117.05358729018999</v>
      </c>
      <c r="I32" s="442"/>
      <c r="J32" s="419"/>
      <c r="K32" s="349"/>
    </row>
    <row r="33" spans="2:11">
      <c r="B33" s="348"/>
      <c r="F33" s="52">
        <f>F30+E31</f>
        <v>-31237.475430112052</v>
      </c>
      <c r="G33" s="70"/>
      <c r="J33" s="52">
        <f>J30+I31</f>
        <v>760.72041511151838</v>
      </c>
      <c r="K33" s="349"/>
    </row>
    <row r="34" spans="2:11">
      <c r="B34" s="348"/>
      <c r="D34" s="401">
        <v>117.05358729018999</v>
      </c>
      <c r="E34" s="442">
        <v>-760.72041511151747</v>
      </c>
      <c r="F34" s="419"/>
      <c r="H34" s="405">
        <v>117.05358729018999</v>
      </c>
      <c r="I34" s="442">
        <v>-760.72041511151747</v>
      </c>
      <c r="J34" s="419"/>
      <c r="K34" s="349"/>
    </row>
    <row r="35" spans="2:11">
      <c r="B35" s="348"/>
      <c r="D35" s="401">
        <v>83.805621619001997</v>
      </c>
      <c r="E35" s="442"/>
      <c r="F35" s="419"/>
      <c r="H35" s="405">
        <v>83.805621619001997</v>
      </c>
      <c r="I35" s="442"/>
      <c r="J35" s="419"/>
      <c r="K35" s="349"/>
    </row>
    <row r="36" spans="2:11">
      <c r="C36" s="351" t="s">
        <v>271</v>
      </c>
      <c r="F36" s="52">
        <f>F33+E34</f>
        <v>-31998.19584522357</v>
      </c>
      <c r="G36" s="70"/>
      <c r="J36" s="52">
        <f>J33+I34</f>
        <v>9.0949470177292824E-13</v>
      </c>
      <c r="K36" s="349"/>
    </row>
    <row r="37" spans="2:11">
      <c r="B37" s="348"/>
      <c r="D37" s="401">
        <v>83.805621619001997</v>
      </c>
      <c r="E37" s="442">
        <v>74.941865611811465</v>
      </c>
      <c r="F37" s="419"/>
      <c r="H37" s="405">
        <v>83.805621619001997</v>
      </c>
      <c r="I37" s="442">
        <v>74.941865611811465</v>
      </c>
      <c r="J37" s="419"/>
      <c r="K37" s="349"/>
    </row>
    <row r="38" spans="2:11">
      <c r="B38" s="348"/>
      <c r="D38" s="401">
        <v>82.6</v>
      </c>
      <c r="E38" s="442"/>
      <c r="F38" s="419"/>
      <c r="H38" s="405">
        <v>82.6</v>
      </c>
      <c r="I38" s="442"/>
      <c r="J38" s="419"/>
      <c r="K38" s="349"/>
    </row>
    <row r="39" spans="2:11">
      <c r="B39" s="348"/>
      <c r="F39" s="52">
        <f>F36+E37</f>
        <v>-31923.25397961176</v>
      </c>
      <c r="G39" s="70"/>
      <c r="J39" s="52">
        <f>J36+I37</f>
        <v>74.941865611812375</v>
      </c>
      <c r="K39" s="349"/>
    </row>
    <row r="40" spans="2:11">
      <c r="B40" s="348"/>
      <c r="D40" s="401">
        <v>82.6</v>
      </c>
      <c r="E40" s="442">
        <v>1432.3301459911809</v>
      </c>
      <c r="F40" s="419"/>
      <c r="H40" s="405">
        <v>82.6</v>
      </c>
      <c r="I40" s="442">
        <v>1432.3301459911809</v>
      </c>
      <c r="J40" s="419"/>
      <c r="K40" s="349"/>
    </row>
    <row r="41" spans="2:11">
      <c r="B41" s="348"/>
      <c r="D41" s="401">
        <v>80.3</v>
      </c>
      <c r="E41" s="442"/>
      <c r="F41" s="419"/>
      <c r="H41" s="405">
        <v>80.3</v>
      </c>
      <c r="I41" s="442"/>
      <c r="J41" s="419"/>
      <c r="K41" s="349"/>
    </row>
    <row r="42" spans="2:11">
      <c r="B42" s="348"/>
      <c r="F42" s="52">
        <f>F39+E40</f>
        <v>-30490.923833620578</v>
      </c>
      <c r="G42" s="70"/>
      <c r="J42" s="52">
        <f>J39+I40</f>
        <v>1507.2720116029932</v>
      </c>
      <c r="K42" s="349"/>
    </row>
    <row r="43" spans="2:11">
      <c r="B43" s="348"/>
      <c r="D43" s="401">
        <v>80.3</v>
      </c>
      <c r="E43" s="442">
        <v>29187.220774132849</v>
      </c>
      <c r="F43" s="419"/>
      <c r="H43" s="405">
        <v>80.3</v>
      </c>
      <c r="I43" s="442">
        <v>29187.220774132849</v>
      </c>
      <c r="J43" s="419"/>
      <c r="K43" s="484"/>
    </row>
    <row r="44" spans="2:11">
      <c r="B44" s="348"/>
      <c r="D44" s="401">
        <v>57.177750517301007</v>
      </c>
      <c r="E44" s="442"/>
      <c r="F44" s="419"/>
      <c r="H44" s="405">
        <v>57.177750517301007</v>
      </c>
      <c r="I44" s="442"/>
      <c r="J44" s="419"/>
      <c r="K44" s="484"/>
    </row>
    <row r="45" spans="2:11">
      <c r="B45" s="348"/>
      <c r="F45" s="52">
        <f>F42+E43</f>
        <v>-1303.7030594877288</v>
      </c>
      <c r="G45" s="70"/>
      <c r="J45" s="52">
        <f>J42+I43</f>
        <v>30694.492785735842</v>
      </c>
      <c r="K45" s="349"/>
    </row>
    <row r="46" spans="2:11">
      <c r="B46" s="348"/>
      <c r="D46" s="401">
        <v>57.177750517301007</v>
      </c>
      <c r="E46" s="442">
        <v>5707.0068545962413</v>
      </c>
      <c r="F46" s="419"/>
      <c r="H46" s="405">
        <v>57.177750517301007</v>
      </c>
      <c r="I46" s="442">
        <v>5707.0068545962413</v>
      </c>
      <c r="J46" s="419"/>
      <c r="K46" s="349"/>
    </row>
    <row r="47" spans="2:11">
      <c r="B47" s="348"/>
      <c r="D47" s="401">
        <v>52.665870539244999</v>
      </c>
      <c r="E47" s="442"/>
      <c r="F47" s="419"/>
      <c r="H47" s="405">
        <v>52.665870539244999</v>
      </c>
      <c r="I47" s="442"/>
      <c r="J47" s="419"/>
      <c r="K47" s="349"/>
    </row>
    <row r="48" spans="2:11">
      <c r="B48" s="348"/>
      <c r="F48" s="52">
        <f>F45+E46</f>
        <v>4403.3037951085125</v>
      </c>
      <c r="G48" s="70"/>
      <c r="J48" s="52">
        <f>J45+I46</f>
        <v>36401.499640332084</v>
      </c>
      <c r="K48" s="349"/>
    </row>
    <row r="49" spans="2:11">
      <c r="B49" s="348"/>
      <c r="D49" s="401">
        <v>52.665870539244999</v>
      </c>
      <c r="E49" s="442">
        <v>14278.93583753822</v>
      </c>
      <c r="F49" s="419"/>
      <c r="H49" s="405">
        <v>52.665870539244999</v>
      </c>
      <c r="I49" s="442">
        <v>14278.93583753822</v>
      </c>
      <c r="J49" s="419"/>
      <c r="K49" s="349"/>
    </row>
    <row r="50" spans="2:11">
      <c r="B50" s="348"/>
      <c r="D50" s="401">
        <v>45.150063343529993</v>
      </c>
      <c r="E50" s="442"/>
      <c r="F50" s="419"/>
      <c r="H50" s="405">
        <v>45.150063343529993</v>
      </c>
      <c r="I50" s="442"/>
      <c r="J50" s="419"/>
      <c r="K50" s="349"/>
    </row>
    <row r="51" spans="2:11">
      <c r="B51" s="348"/>
      <c r="F51" s="52">
        <f>F48+E49</f>
        <v>18682.239632646731</v>
      </c>
      <c r="G51" s="70"/>
      <c r="J51" s="52">
        <f>J48+I49</f>
        <v>50680.435477870305</v>
      </c>
      <c r="K51" s="349"/>
    </row>
    <row r="52" spans="2:11">
      <c r="B52" s="348"/>
      <c r="D52" s="401">
        <v>45.150063343529993</v>
      </c>
      <c r="E52" s="442">
        <v>285.09843294714557</v>
      </c>
      <c r="F52" s="419"/>
      <c r="H52" s="405">
        <v>45.150063343529993</v>
      </c>
      <c r="I52" s="442">
        <v>285.09843294714557</v>
      </c>
      <c r="J52" s="419"/>
      <c r="K52" s="349"/>
    </row>
    <row r="53" spans="2:11">
      <c r="B53" s="348"/>
      <c r="D53" s="401">
        <v>45</v>
      </c>
      <c r="E53" s="442"/>
      <c r="F53" s="419"/>
      <c r="H53" s="405">
        <v>45</v>
      </c>
      <c r="I53" s="442"/>
      <c r="J53" s="419"/>
      <c r="K53" s="349"/>
    </row>
    <row r="54" spans="2:11">
      <c r="B54" s="348"/>
      <c r="F54" s="52">
        <f>F51+E52</f>
        <v>18967.338065593878</v>
      </c>
      <c r="G54" s="70"/>
      <c r="J54" s="52">
        <f>J51+I52</f>
        <v>50965.533910817452</v>
      </c>
      <c r="K54" s="349"/>
    </row>
    <row r="55" spans="2:11">
      <c r="B55" s="348"/>
      <c r="D55" s="401">
        <v>45</v>
      </c>
      <c r="E55" s="442">
        <v>8992.3463071021015</v>
      </c>
      <c r="F55" s="419"/>
      <c r="H55" s="405">
        <v>45</v>
      </c>
      <c r="I55" s="442">
        <v>8992.3463071021015</v>
      </c>
      <c r="J55" s="419"/>
      <c r="K55" s="349"/>
    </row>
    <row r="56" spans="2:11">
      <c r="B56" s="348"/>
      <c r="D56" s="401">
        <v>38.4</v>
      </c>
      <c r="E56" s="442"/>
      <c r="F56" s="419"/>
      <c r="H56" s="405">
        <v>38.4</v>
      </c>
      <c r="I56" s="442"/>
      <c r="J56" s="419"/>
      <c r="K56" s="349"/>
    </row>
    <row r="57" spans="2:11">
      <c r="B57" s="348"/>
      <c r="F57" s="52">
        <f>F54+E55</f>
        <v>27959.684372695978</v>
      </c>
      <c r="G57" s="70"/>
      <c r="J57" s="52">
        <f>J54+I55</f>
        <v>59957.880217919555</v>
      </c>
      <c r="K57" s="349"/>
    </row>
    <row r="58" spans="2:11">
      <c r="B58" s="348"/>
      <c r="D58" s="401">
        <v>38.4</v>
      </c>
      <c r="E58" s="442">
        <v>4632.4208248707764</v>
      </c>
      <c r="F58" s="419"/>
      <c r="H58" s="405">
        <v>38.4</v>
      </c>
      <c r="I58" s="452">
        <v>4632.4208248707764</v>
      </c>
      <c r="J58" s="419"/>
      <c r="K58" s="349"/>
    </row>
    <row r="59" spans="2:11">
      <c r="B59" s="348"/>
      <c r="D59" s="401">
        <v>35</v>
      </c>
      <c r="E59" s="442"/>
      <c r="F59" s="419"/>
      <c r="H59" s="405">
        <v>35</v>
      </c>
      <c r="I59" s="452"/>
      <c r="J59" s="419"/>
      <c r="K59" s="349"/>
    </row>
    <row r="60" spans="2:11">
      <c r="B60" s="348"/>
      <c r="F60" s="52">
        <f>F57+E58</f>
        <v>32592.105197566754</v>
      </c>
      <c r="G60" s="70"/>
      <c r="I60" s="70"/>
      <c r="J60" s="52">
        <f>J57+I58</f>
        <v>64590.301042790335</v>
      </c>
      <c r="K60" s="349"/>
    </row>
    <row r="61" spans="2:11" ht="15" thickBot="1">
      <c r="B61" s="352"/>
      <c r="E61" s="353"/>
      <c r="F61" s="408"/>
      <c r="G61" s="353"/>
      <c r="I61" s="353"/>
      <c r="J61" s="408"/>
      <c r="K61" s="354"/>
    </row>
    <row r="63" spans="2:11">
      <c r="F63" s="419">
        <f>MIN(F3:F61)</f>
        <v>-31998.19584522357</v>
      </c>
      <c r="J63" s="419"/>
    </row>
  </sheetData>
  <mergeCells count="41">
    <mergeCell ref="E55:E56"/>
    <mergeCell ref="I55:I56"/>
    <mergeCell ref="E58:E59"/>
    <mergeCell ref="I58:I59"/>
    <mergeCell ref="K43:K44"/>
    <mergeCell ref="E46:E47"/>
    <mergeCell ref="I46:I47"/>
    <mergeCell ref="E49:E50"/>
    <mergeCell ref="I49:I50"/>
    <mergeCell ref="E52:E53"/>
    <mergeCell ref="I52:I53"/>
    <mergeCell ref="E37:E38"/>
    <mergeCell ref="I37:I38"/>
    <mergeCell ref="E40:E41"/>
    <mergeCell ref="I40:I41"/>
    <mergeCell ref="E43:E44"/>
    <mergeCell ref="I43:I44"/>
    <mergeCell ref="E28:E29"/>
    <mergeCell ref="I28:I29"/>
    <mergeCell ref="E31:E32"/>
    <mergeCell ref="I31:I32"/>
    <mergeCell ref="E34:E35"/>
    <mergeCell ref="I34:I35"/>
    <mergeCell ref="K19:K20"/>
    <mergeCell ref="E22:E23"/>
    <mergeCell ref="I22:I23"/>
    <mergeCell ref="K22:K23"/>
    <mergeCell ref="E25:E26"/>
    <mergeCell ref="I25:I26"/>
    <mergeCell ref="E13:E14"/>
    <mergeCell ref="I13:I14"/>
    <mergeCell ref="E16:E17"/>
    <mergeCell ref="I16:I17"/>
    <mergeCell ref="E19:E20"/>
    <mergeCell ref="I19:I20"/>
    <mergeCell ref="E4:E5"/>
    <mergeCell ref="I4:I5"/>
    <mergeCell ref="E7:E8"/>
    <mergeCell ref="I7:I8"/>
    <mergeCell ref="E10:E11"/>
    <mergeCell ref="I10:I1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26AC6-BAF7-4C92-A9E3-E1080671B3A0}">
  <dimension ref="A2:AB39"/>
  <sheetViews>
    <sheetView topLeftCell="F1" workbookViewId="0">
      <selection activeCell="S12" sqref="S12"/>
    </sheetView>
  </sheetViews>
  <sheetFormatPr defaultRowHeight="14.45"/>
  <cols>
    <col min="2" max="2" width="14.85546875" bestFit="1" customWidth="1"/>
    <col min="3" max="3" width="12.140625" bestFit="1" customWidth="1"/>
    <col min="7" max="7" width="14.85546875" bestFit="1" customWidth="1"/>
    <col min="8" max="8" width="11.140625" bestFit="1" customWidth="1"/>
    <col min="12" max="12" width="14.85546875" bestFit="1" customWidth="1"/>
    <col min="13" max="13" width="11.140625" bestFit="1" customWidth="1"/>
    <col min="17" max="17" width="14.85546875" bestFit="1" customWidth="1"/>
    <col min="18" max="18" width="12.140625" bestFit="1" customWidth="1"/>
    <col min="21" max="21" width="12.140625" bestFit="1" customWidth="1"/>
  </cols>
  <sheetData>
    <row r="2" spans="1:28">
      <c r="A2" t="s">
        <v>199</v>
      </c>
      <c r="B2" s="259" t="s">
        <v>200</v>
      </c>
      <c r="C2" s="260"/>
      <c r="D2" s="260" t="s">
        <v>201</v>
      </c>
      <c r="E2" s="260" t="s">
        <v>129</v>
      </c>
      <c r="G2" s="259" t="s">
        <v>202</v>
      </c>
      <c r="H2" s="260"/>
      <c r="I2" s="260" t="s">
        <v>201</v>
      </c>
      <c r="J2" s="260" t="s">
        <v>129</v>
      </c>
      <c r="K2" s="41"/>
      <c r="L2" s="259" t="s">
        <v>203</v>
      </c>
      <c r="M2" s="260"/>
      <c r="N2" s="262" t="s">
        <v>204</v>
      </c>
      <c r="O2" s="262" t="s">
        <v>129</v>
      </c>
      <c r="Q2" s="259" t="s">
        <v>205</v>
      </c>
      <c r="R2" s="260"/>
      <c r="S2" s="262" t="s">
        <v>204</v>
      </c>
      <c r="T2" s="262" t="s">
        <v>129</v>
      </c>
      <c r="V2" s="223"/>
      <c r="W2" s="19"/>
      <c r="X2" s="22"/>
      <c r="Y2" s="22"/>
      <c r="AA2" t="s">
        <v>480</v>
      </c>
    </row>
    <row r="3" spans="1:28">
      <c r="B3" s="261" t="s">
        <v>206</v>
      </c>
      <c r="C3" s="261">
        <v>19097.807774577232</v>
      </c>
      <c r="D3" s="261">
        <v>102.25</v>
      </c>
      <c r="E3" s="261">
        <v>94.266066655110507</v>
      </c>
      <c r="G3" s="261" t="s">
        <v>89</v>
      </c>
      <c r="H3" s="261">
        <v>27392.283737676</v>
      </c>
      <c r="I3" s="261">
        <v>100.3</v>
      </c>
      <c r="J3" s="261">
        <v>99.430235942047148</v>
      </c>
      <c r="L3" s="261" t="s">
        <v>207</v>
      </c>
      <c r="M3" s="261">
        <v>40645.24671904093</v>
      </c>
      <c r="N3" s="263">
        <v>400.15</v>
      </c>
      <c r="O3" s="263">
        <v>355.12747846682436</v>
      </c>
      <c r="Q3" s="261" t="s">
        <v>207</v>
      </c>
      <c r="R3" s="261">
        <v>26963.776414902939</v>
      </c>
      <c r="S3" s="264">
        <v>355.13</v>
      </c>
      <c r="T3" s="263">
        <v>157.5</v>
      </c>
      <c r="V3" s="19"/>
      <c r="W3" s="19"/>
      <c r="X3" s="19"/>
      <c r="Y3" s="19"/>
      <c r="AA3" t="s">
        <v>481</v>
      </c>
    </row>
    <row r="4" spans="1:28">
      <c r="B4" s="261" t="s">
        <v>208</v>
      </c>
      <c r="C4" s="261">
        <v>5154.6864200722466</v>
      </c>
      <c r="D4" s="261">
        <v>52.67</v>
      </c>
      <c r="E4" s="261">
        <v>82.25</v>
      </c>
      <c r="G4" s="261" t="s">
        <v>209</v>
      </c>
      <c r="H4" s="270">
        <v>674.92418867640004</v>
      </c>
      <c r="I4" s="261">
        <v>78.680000000000007</v>
      </c>
      <c r="J4" s="261">
        <v>79.680000000000007</v>
      </c>
      <c r="K4" s="70"/>
      <c r="L4" s="261" t="s">
        <v>208</v>
      </c>
      <c r="M4" s="261">
        <v>6142.7551151976568</v>
      </c>
      <c r="N4" s="264">
        <v>102.25</v>
      </c>
      <c r="O4" s="263">
        <v>137.5</v>
      </c>
      <c r="Q4" s="261" t="s">
        <v>210</v>
      </c>
      <c r="R4" s="261">
        <v>36075.888477323999</v>
      </c>
      <c r="S4" s="263">
        <v>137.5</v>
      </c>
      <c r="T4" s="263">
        <v>180.62603139678251</v>
      </c>
      <c r="V4" s="19"/>
      <c r="W4" s="19"/>
      <c r="X4" s="19"/>
      <c r="Y4" s="19"/>
    </row>
    <row r="5" spans="1:28">
      <c r="B5" s="261" t="s">
        <v>137</v>
      </c>
      <c r="C5" s="261">
        <v>5154.6864200722466</v>
      </c>
      <c r="D5" s="261"/>
      <c r="E5" s="261"/>
      <c r="G5" s="261" t="s">
        <v>137</v>
      </c>
      <c r="H5" s="270">
        <v>674.92418867640004</v>
      </c>
      <c r="I5" s="261"/>
      <c r="J5" s="261"/>
      <c r="K5" s="70"/>
      <c r="L5" s="261" t="s">
        <v>137</v>
      </c>
      <c r="M5" s="261">
        <v>6142.7551151976568</v>
      </c>
      <c r="N5" s="263"/>
      <c r="O5" s="264"/>
      <c r="Q5" s="261" t="s">
        <v>137</v>
      </c>
      <c r="R5" s="261">
        <v>26963.776414902939</v>
      </c>
      <c r="S5" s="263"/>
      <c r="T5" s="264"/>
      <c r="V5" s="19"/>
      <c r="W5" s="19"/>
      <c r="X5" s="22"/>
      <c r="Y5" s="427"/>
      <c r="AA5" s="36" t="s">
        <v>15</v>
      </c>
      <c r="AB5" s="91" t="s">
        <v>81</v>
      </c>
    </row>
    <row r="6" spans="1:28">
      <c r="H6" s="70"/>
      <c r="K6" s="70"/>
      <c r="Q6" s="70"/>
      <c r="V6" s="19"/>
      <c r="W6" s="19"/>
      <c r="X6" s="19"/>
      <c r="Y6" s="19"/>
      <c r="AA6" s="36" t="s">
        <v>16</v>
      </c>
      <c r="AB6" s="92" t="s">
        <v>224</v>
      </c>
    </row>
    <row r="7" spans="1:28">
      <c r="A7" t="s">
        <v>212</v>
      </c>
      <c r="B7" s="260"/>
      <c r="C7" s="259" t="s">
        <v>200</v>
      </c>
      <c r="G7" s="260"/>
      <c r="H7" s="259" t="s">
        <v>202</v>
      </c>
      <c r="K7" s="70"/>
      <c r="L7" s="260"/>
      <c r="M7" s="259" t="s">
        <v>203</v>
      </c>
      <c r="O7" s="41"/>
      <c r="Q7" s="260"/>
      <c r="R7" s="259" t="s">
        <v>205</v>
      </c>
      <c r="V7" s="19"/>
      <c r="W7" s="223"/>
      <c r="X7" s="19"/>
      <c r="Y7" s="19"/>
      <c r="AA7" s="36" t="s">
        <v>21</v>
      </c>
      <c r="AB7" s="92" t="s">
        <v>225</v>
      </c>
    </row>
    <row r="8" spans="1:28">
      <c r="B8" s="181" t="s">
        <v>213</v>
      </c>
      <c r="C8" s="181">
        <f>C5</f>
        <v>5154.6864200722466</v>
      </c>
      <c r="G8" s="181" t="s">
        <v>213</v>
      </c>
      <c r="H8" s="181">
        <f>H5</f>
        <v>674.92418867640004</v>
      </c>
      <c r="K8" s="70"/>
      <c r="L8" s="181" t="s">
        <v>213</v>
      </c>
      <c r="M8" s="181">
        <f>M5</f>
        <v>6142.7551151976568</v>
      </c>
      <c r="Q8" s="181" t="s">
        <v>213</v>
      </c>
      <c r="R8" s="181">
        <f>R5</f>
        <v>26963.776414902939</v>
      </c>
      <c r="V8" s="19"/>
      <c r="W8" s="19"/>
      <c r="X8" s="19"/>
      <c r="Y8" s="19"/>
    </row>
    <row r="9" spans="1:28">
      <c r="B9" s="181" t="s">
        <v>214</v>
      </c>
      <c r="C9" s="184">
        <f>D3</f>
        <v>102.25</v>
      </c>
      <c r="G9" s="181" t="s">
        <v>214</v>
      </c>
      <c r="H9" s="184">
        <f>I3</f>
        <v>100.3</v>
      </c>
      <c r="L9" s="181" t="s">
        <v>214</v>
      </c>
      <c r="M9" s="184">
        <f>N3</f>
        <v>400.15</v>
      </c>
      <c r="Q9" s="181" t="s">
        <v>214</v>
      </c>
      <c r="R9" s="184">
        <f>S3</f>
        <v>355.13</v>
      </c>
      <c r="V9" s="19"/>
      <c r="W9" s="233"/>
      <c r="X9" s="19"/>
      <c r="Y9" s="19"/>
    </row>
    <row r="10" spans="1:28">
      <c r="B10" s="181" t="s">
        <v>215</v>
      </c>
      <c r="C10" s="184">
        <f>E4</f>
        <v>82.25</v>
      </c>
      <c r="G10" s="181" t="s">
        <v>215</v>
      </c>
      <c r="H10" s="184">
        <f>J4</f>
        <v>79.680000000000007</v>
      </c>
      <c r="L10" s="181" t="s">
        <v>215</v>
      </c>
      <c r="M10" s="184">
        <f>O4</f>
        <v>137.5</v>
      </c>
      <c r="Q10" s="181" t="s">
        <v>215</v>
      </c>
      <c r="R10" s="184">
        <f>T4</f>
        <v>180.62603139678251</v>
      </c>
      <c r="V10" s="19"/>
      <c r="W10" s="233"/>
      <c r="X10" s="19"/>
      <c r="Y10" s="19"/>
    </row>
    <row r="11" spans="1:28">
      <c r="B11" s="181" t="s">
        <v>216</v>
      </c>
      <c r="C11" s="184">
        <f>C9-C10</f>
        <v>20</v>
      </c>
      <c r="G11" s="181" t="s">
        <v>216</v>
      </c>
      <c r="H11" s="184">
        <f>H9-H10</f>
        <v>20.61999999999999</v>
      </c>
      <c r="L11" s="181" t="s">
        <v>216</v>
      </c>
      <c r="M11" s="184">
        <f>M9-M10</f>
        <v>262.64999999999998</v>
      </c>
      <c r="Q11" s="181" t="s">
        <v>216</v>
      </c>
      <c r="R11" s="184">
        <f>R9-R10</f>
        <v>174.50396860321749</v>
      </c>
      <c r="V11" s="19"/>
      <c r="W11" s="233"/>
      <c r="X11" s="19"/>
      <c r="Y11" s="19"/>
    </row>
    <row r="12" spans="1:28">
      <c r="B12" s="181" t="s">
        <v>217</v>
      </c>
      <c r="C12" s="184">
        <f>E3</f>
        <v>94.266066655110507</v>
      </c>
      <c r="G12" s="181" t="s">
        <v>217</v>
      </c>
      <c r="H12" s="184">
        <f>J3</f>
        <v>99.430235942047148</v>
      </c>
      <c r="L12" s="181" t="s">
        <v>217</v>
      </c>
      <c r="M12" s="184">
        <f>O3</f>
        <v>355.12747846682436</v>
      </c>
      <c r="O12" s="41"/>
      <c r="Q12" s="181" t="s">
        <v>217</v>
      </c>
      <c r="R12" s="184">
        <f>T3</f>
        <v>157.5</v>
      </c>
      <c r="V12" s="19"/>
      <c r="W12" s="233"/>
      <c r="X12" s="19"/>
      <c r="Y12" s="19"/>
    </row>
    <row r="13" spans="1:28">
      <c r="B13" s="181" t="s">
        <v>218</v>
      </c>
      <c r="C13" s="181">
        <f>D4</f>
        <v>52.67</v>
      </c>
      <c r="G13" s="181" t="s">
        <v>218</v>
      </c>
      <c r="H13" s="181">
        <f>I4</f>
        <v>78.680000000000007</v>
      </c>
      <c r="L13" s="181" t="s">
        <v>218</v>
      </c>
      <c r="M13" s="181">
        <f>N4</f>
        <v>102.25</v>
      </c>
      <c r="Q13" s="181" t="s">
        <v>218</v>
      </c>
      <c r="R13" s="181">
        <f>S4</f>
        <v>137.5</v>
      </c>
      <c r="V13" s="19"/>
      <c r="W13" s="19"/>
      <c r="X13" s="19"/>
      <c r="Y13" s="19"/>
    </row>
    <row r="14" spans="1:28">
      <c r="B14" s="181" t="s">
        <v>219</v>
      </c>
      <c r="C14" s="184">
        <f>C12-C13</f>
        <v>41.596066655110505</v>
      </c>
      <c r="D14" s="427"/>
      <c r="E14" s="427"/>
      <c r="G14" s="181" t="s">
        <v>219</v>
      </c>
      <c r="H14" s="184">
        <f>H12-H13</f>
        <v>20.750235942047141</v>
      </c>
      <c r="L14" s="181" t="s">
        <v>219</v>
      </c>
      <c r="M14" s="184">
        <f>M12-M13</f>
        <v>252.87747846682436</v>
      </c>
      <c r="Q14" s="181" t="s">
        <v>219</v>
      </c>
      <c r="R14" s="184">
        <f>R12-R13</f>
        <v>20</v>
      </c>
      <c r="V14" s="19"/>
      <c r="W14" s="233"/>
      <c r="X14" s="19"/>
      <c r="Y14" s="19"/>
    </row>
    <row r="15" spans="1:28">
      <c r="B15" s="181" t="s">
        <v>161</v>
      </c>
      <c r="C15" s="181">
        <f>(C11-C14)/LN(C11/C14)</f>
        <v>29.491810699321661</v>
      </c>
      <c r="D15" s="19"/>
      <c r="E15" s="19"/>
      <c r="G15" s="181" t="s">
        <v>161</v>
      </c>
      <c r="H15" s="181">
        <f>(H11-H14)/LN(H11/H14)</f>
        <v>20.685049639105522</v>
      </c>
      <c r="L15" s="181" t="s">
        <v>161</v>
      </c>
      <c r="M15" s="181">
        <f>(M11-M14)/LN(M11/M14)</f>
        <v>257.73286104414171</v>
      </c>
      <c r="Q15" s="181" t="s">
        <v>161</v>
      </c>
      <c r="R15" s="181">
        <f>(R11-R14)/LN(R11/R14)</f>
        <v>71.324385431020545</v>
      </c>
      <c r="V15" s="19"/>
      <c r="W15" s="19"/>
      <c r="X15" s="19"/>
      <c r="Y15" s="19"/>
    </row>
    <row r="16" spans="1:28">
      <c r="B16" s="181" t="s">
        <v>220</v>
      </c>
      <c r="C16" s="181">
        <v>250</v>
      </c>
      <c r="D16" s="19"/>
      <c r="E16" s="19"/>
      <c r="G16" s="181" t="s">
        <v>220</v>
      </c>
      <c r="H16" s="181">
        <v>900</v>
      </c>
      <c r="L16" s="181" t="s">
        <v>220</v>
      </c>
      <c r="M16" s="181">
        <v>250</v>
      </c>
      <c r="Q16" s="181" t="s">
        <v>220</v>
      </c>
      <c r="R16" s="181">
        <v>250</v>
      </c>
    </row>
    <row r="17" spans="1:21">
      <c r="B17" s="181" t="s">
        <v>221</v>
      </c>
      <c r="C17" s="181">
        <f>C8*1000/(C16*C15)</f>
        <v>699.13461369000436</v>
      </c>
      <c r="D17" s="19"/>
      <c r="E17" s="19"/>
      <c r="G17" s="181" t="s">
        <v>221</v>
      </c>
      <c r="H17" s="181">
        <f>H8*1000/(H16*H15)</f>
        <v>36.253998819430841</v>
      </c>
      <c r="L17" s="181" t="s">
        <v>221</v>
      </c>
      <c r="M17" s="181">
        <f>M8*1000/(M16*M15)</f>
        <v>95.335225633421913</v>
      </c>
      <c r="Q17" s="181" t="s">
        <v>221</v>
      </c>
      <c r="R17" s="181">
        <f>R8*1000/(R16*R15)</f>
        <v>1512.1771468177726</v>
      </c>
    </row>
    <row r="18" spans="1:21">
      <c r="B18" s="181" t="s">
        <v>148</v>
      </c>
      <c r="C18" s="181">
        <v>1703</v>
      </c>
      <c r="D18" s="19"/>
      <c r="E18" s="19"/>
      <c r="G18" s="181" t="s">
        <v>148</v>
      </c>
      <c r="H18" s="181">
        <v>1703</v>
      </c>
      <c r="L18" s="181" t="s">
        <v>148</v>
      </c>
      <c r="M18" s="181">
        <v>1703</v>
      </c>
      <c r="Q18" s="181" t="s">
        <v>148</v>
      </c>
      <c r="R18" s="181">
        <v>1703</v>
      </c>
    </row>
    <row r="19" spans="1:21">
      <c r="B19" s="181" t="s">
        <v>149</v>
      </c>
      <c r="C19" s="181">
        <v>2.81</v>
      </c>
      <c r="D19" s="19"/>
      <c r="E19" s="19"/>
      <c r="G19" s="181" t="s">
        <v>149</v>
      </c>
      <c r="H19" s="181">
        <v>2.81</v>
      </c>
      <c r="L19" s="181" t="s">
        <v>149</v>
      </c>
      <c r="M19" s="181">
        <v>2.81</v>
      </c>
      <c r="Q19" s="181" t="s">
        <v>149</v>
      </c>
      <c r="R19" s="181">
        <v>2.81</v>
      </c>
    </row>
    <row r="20" spans="1:21">
      <c r="B20" s="181" t="s">
        <v>150</v>
      </c>
      <c r="C20" s="181">
        <v>0.8</v>
      </c>
      <c r="D20" s="19"/>
      <c r="E20" s="19"/>
      <c r="G20" s="181" t="s">
        <v>150</v>
      </c>
      <c r="H20" s="181">
        <v>0.8</v>
      </c>
      <c r="L20" s="181" t="s">
        <v>150</v>
      </c>
      <c r="M20" s="181">
        <v>0.8</v>
      </c>
      <c r="Q20" s="181" t="s">
        <v>150</v>
      </c>
      <c r="R20" s="181">
        <v>0.8</v>
      </c>
    </row>
    <row r="21" spans="1:21">
      <c r="B21" s="181" t="s">
        <v>151</v>
      </c>
      <c r="C21" s="181">
        <v>0</v>
      </c>
      <c r="D21" s="19"/>
      <c r="E21" s="19"/>
      <c r="G21" s="181" t="s">
        <v>151</v>
      </c>
      <c r="H21" s="181">
        <v>0</v>
      </c>
      <c r="L21" s="181" t="s">
        <v>151</v>
      </c>
      <c r="M21" s="181">
        <v>0</v>
      </c>
      <c r="Q21" s="181" t="s">
        <v>151</v>
      </c>
      <c r="R21" s="181">
        <v>0</v>
      </c>
    </row>
    <row r="22" spans="1:21">
      <c r="B22" s="181" t="s">
        <v>152</v>
      </c>
      <c r="C22" s="181">
        <f>(C20+C21)*C19</f>
        <v>2.2480000000000002</v>
      </c>
      <c r="D22" s="19"/>
      <c r="E22" s="19"/>
      <c r="G22" s="181" t="s">
        <v>152</v>
      </c>
      <c r="H22" s="181">
        <f>(H20+H21)*H19</f>
        <v>2.2480000000000002</v>
      </c>
      <c r="L22" s="181" t="s">
        <v>152</v>
      </c>
      <c r="M22" s="181">
        <f>(M20+M21)*M19</f>
        <v>2.2480000000000002</v>
      </c>
      <c r="Q22" s="181" t="s">
        <v>152</v>
      </c>
      <c r="R22" s="181">
        <f>(R20+R21)*R19</f>
        <v>2.2480000000000002</v>
      </c>
    </row>
    <row r="23" spans="1:21">
      <c r="B23" s="10" t="s">
        <v>227</v>
      </c>
      <c r="C23" s="321">
        <f>(C18/280)*101.3*(C17^0.65)*(2.29+C22)</f>
        <v>197467.24920393058</v>
      </c>
      <c r="D23" s="322"/>
      <c r="E23" s="322"/>
      <c r="F23" s="323"/>
      <c r="G23" s="321" t="s">
        <v>227</v>
      </c>
      <c r="H23" s="321">
        <f>(H18/280)*101.3*(H17^0.65)*(2.29+H22)</f>
        <v>28847.746903834508</v>
      </c>
      <c r="I23" s="323"/>
      <c r="J23" s="323"/>
      <c r="K23" s="323"/>
      <c r="L23" s="321" t="s">
        <v>227</v>
      </c>
      <c r="M23" s="321">
        <f>(M18/280)*101.3*(M17^0.65)*(2.29+M22)</f>
        <v>54081.068399108306</v>
      </c>
      <c r="N23" s="323"/>
      <c r="O23" s="323"/>
      <c r="P23" s="323"/>
      <c r="Q23" s="321" t="s">
        <v>227</v>
      </c>
      <c r="R23" s="321">
        <f>(R18/280)*101.3*(R17^0.65)*(2.29+R22)</f>
        <v>326041.05464431853</v>
      </c>
      <c r="U23" s="323">
        <f>R23+M23+H23+C23</f>
        <v>606437.1191511919</v>
      </c>
    </row>
    <row r="24" spans="1:21">
      <c r="D24" s="19"/>
      <c r="E24" s="19"/>
    </row>
    <row r="25" spans="1:21">
      <c r="A25" s="19"/>
      <c r="B25" s="19"/>
      <c r="C25" s="223"/>
      <c r="D25" s="19"/>
      <c r="E25" s="19"/>
      <c r="F25" s="19"/>
      <c r="G25" s="19"/>
      <c r="H25" s="223"/>
      <c r="I25" s="19"/>
      <c r="J25" s="19"/>
      <c r="K25" s="233"/>
      <c r="L25" s="19"/>
      <c r="M25" s="223"/>
      <c r="N25" s="19"/>
      <c r="O25" s="223"/>
      <c r="P25" s="19"/>
      <c r="Q25" s="19"/>
      <c r="R25" s="223"/>
    </row>
    <row r="26" spans="1:21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</row>
    <row r="27" spans="1:21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</row>
    <row r="28" spans="1:21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233"/>
      <c r="R28" s="19"/>
    </row>
    <row r="29" spans="1:21">
      <c r="D29" s="19"/>
      <c r="E29" s="19"/>
      <c r="Q29" s="70"/>
    </row>
    <row r="30" spans="1:21">
      <c r="D30" s="19"/>
      <c r="E30" s="19"/>
      <c r="Q30" s="70"/>
    </row>
    <row r="31" spans="1:21">
      <c r="D31" s="19"/>
      <c r="E31" s="19"/>
    </row>
    <row r="32" spans="1:21">
      <c r="D32" s="19"/>
      <c r="E32" s="19"/>
    </row>
    <row r="33" spans="4:5">
      <c r="D33" s="19"/>
      <c r="E33" s="19"/>
    </row>
    <row r="34" spans="4:5">
      <c r="D34" s="485"/>
      <c r="E34" s="485"/>
    </row>
    <row r="35" spans="4:5">
      <c r="D35" s="19"/>
      <c r="E35" s="19"/>
    </row>
    <row r="36" spans="4:5">
      <c r="D36" s="19"/>
      <c r="E36" s="19"/>
    </row>
    <row r="37" spans="4:5">
      <c r="D37" s="19"/>
      <c r="E37" s="19"/>
    </row>
    <row r="38" spans="4:5">
      <c r="D38" s="19"/>
      <c r="E38" s="19"/>
    </row>
    <row r="39" spans="4:5">
      <c r="D39" s="19"/>
      <c r="E39" s="302"/>
    </row>
  </sheetData>
  <mergeCells count="1">
    <mergeCell ref="D34:E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4BF4E-CEB2-4B65-9B31-07A26F0CC4DF}">
  <dimension ref="A1:W81"/>
  <sheetViews>
    <sheetView workbookViewId="0"/>
  </sheetViews>
  <sheetFormatPr defaultRowHeight="14.45"/>
  <cols>
    <col min="1" max="1" width="15.5703125" bestFit="1" customWidth="1"/>
    <col min="2" max="2" width="19.5703125" bestFit="1" customWidth="1"/>
    <col min="3" max="3" width="19.5703125" style="35" bestFit="1" customWidth="1"/>
    <col min="4" max="4" width="13.42578125" bestFit="1" customWidth="1"/>
    <col min="5" max="5" width="25.42578125" bestFit="1" customWidth="1"/>
    <col min="6" max="6" width="19.140625" bestFit="1" customWidth="1"/>
    <col min="7" max="7" width="6.85546875" bestFit="1" customWidth="1"/>
    <col min="8" max="8" width="11.85546875" bestFit="1" customWidth="1"/>
    <col min="9" max="9" width="11.42578125" bestFit="1" customWidth="1"/>
    <col min="10" max="10" width="16.5703125" bestFit="1" customWidth="1"/>
    <col min="11" max="11" width="21.140625" bestFit="1" customWidth="1"/>
    <col min="13" max="13" width="16.85546875" bestFit="1" customWidth="1"/>
    <col min="14" max="14" width="13.42578125" bestFit="1" customWidth="1"/>
    <col min="15" max="17" width="11.85546875" bestFit="1" customWidth="1"/>
    <col min="19" max="19" width="10.5703125" bestFit="1" customWidth="1"/>
    <col min="21" max="21" width="10.7109375" bestFit="1" customWidth="1"/>
  </cols>
  <sheetData>
    <row r="1" spans="1:17">
      <c r="A1" s="50"/>
      <c r="B1" s="51" t="s">
        <v>0</v>
      </c>
      <c r="C1" s="51" t="s">
        <v>1</v>
      </c>
      <c r="D1" s="51" t="s">
        <v>2</v>
      </c>
      <c r="E1" s="51" t="s">
        <v>3</v>
      </c>
      <c r="F1" s="51" t="s">
        <v>4</v>
      </c>
      <c r="G1" s="51" t="s">
        <v>5</v>
      </c>
      <c r="H1" s="51" t="s">
        <v>6</v>
      </c>
      <c r="I1" s="51" t="s">
        <v>7</v>
      </c>
      <c r="J1" s="51" t="s">
        <v>8</v>
      </c>
      <c r="M1" s="42"/>
      <c r="N1" s="43" t="s">
        <v>2</v>
      </c>
      <c r="O1" s="42" t="s">
        <v>9</v>
      </c>
      <c r="P1" s="42" t="s">
        <v>10</v>
      </c>
      <c r="Q1" s="46" t="s">
        <v>11</v>
      </c>
    </row>
    <row r="2" spans="1:17">
      <c r="A2" s="48" t="s">
        <v>14</v>
      </c>
      <c r="B2" s="16">
        <v>52.665870539244999</v>
      </c>
      <c r="C2" s="47">
        <v>456.85</v>
      </c>
      <c r="D2" s="16">
        <v>90199.818812879996</v>
      </c>
      <c r="E2" s="16">
        <f t="shared" ref="E2:E10" si="0">D2/(C2-B2)</f>
        <v>223.16516715592147</v>
      </c>
      <c r="F2" s="16" t="s">
        <v>15</v>
      </c>
      <c r="G2" s="16" t="s">
        <v>16</v>
      </c>
      <c r="H2" s="16"/>
      <c r="I2" s="16">
        <v>137.5</v>
      </c>
      <c r="J2" s="16">
        <v>195.2</v>
      </c>
      <c r="K2" s="434" t="s">
        <v>77</v>
      </c>
      <c r="M2" s="44" t="s">
        <v>17</v>
      </c>
      <c r="N2" s="45">
        <v>14783.412274848</v>
      </c>
      <c r="O2" s="45">
        <v>52.665870539244999</v>
      </c>
      <c r="P2" s="45">
        <v>137.5</v>
      </c>
      <c r="Q2" s="45">
        <f t="shared" ref="Q2:Q17" si="1">N2/(P2-O2)</f>
        <v>174.26255645950764</v>
      </c>
    </row>
    <row r="3" spans="1:17">
      <c r="A3" s="48" t="s">
        <v>19</v>
      </c>
      <c r="B3" s="16">
        <v>145.858729681705</v>
      </c>
      <c r="C3" s="47">
        <v>192</v>
      </c>
      <c r="D3" s="16">
        <v>270.33759763811997</v>
      </c>
      <c r="E3" s="16">
        <f t="shared" si="0"/>
        <v>5.8589110306946015</v>
      </c>
      <c r="F3" s="16" t="s">
        <v>16</v>
      </c>
      <c r="G3" s="16" t="s">
        <v>16</v>
      </c>
      <c r="H3" s="16"/>
      <c r="I3" s="16"/>
      <c r="J3" s="16"/>
      <c r="K3" s="434"/>
      <c r="M3" s="44" t="s">
        <v>20</v>
      </c>
      <c r="N3" s="45">
        <v>36075.888477323999</v>
      </c>
      <c r="O3" s="45">
        <v>137.5</v>
      </c>
      <c r="P3" s="45">
        <v>195.2</v>
      </c>
      <c r="Q3" s="45">
        <f t="shared" si="1"/>
        <v>625.23203600214913</v>
      </c>
    </row>
    <row r="4" spans="1:17">
      <c r="A4" s="49" t="s">
        <v>23</v>
      </c>
      <c r="B4" s="10">
        <v>400.154028617682</v>
      </c>
      <c r="C4" s="72">
        <v>65</v>
      </c>
      <c r="D4" s="10">
        <v>-68303.572011719996</v>
      </c>
      <c r="E4" s="10">
        <f t="shared" si="0"/>
        <v>203.79755628608441</v>
      </c>
      <c r="F4" s="10" t="s">
        <v>16</v>
      </c>
      <c r="G4" s="10" t="s">
        <v>24</v>
      </c>
      <c r="H4" s="10">
        <v>0.32730743236845</v>
      </c>
      <c r="I4" s="10">
        <v>50.7</v>
      </c>
      <c r="J4" s="10">
        <v>100.3</v>
      </c>
      <c r="K4" s="434" t="s">
        <v>78</v>
      </c>
      <c r="M4" s="44" t="s">
        <v>26</v>
      </c>
      <c r="N4" s="45">
        <v>39344.834986451999</v>
      </c>
      <c r="O4" s="45">
        <v>195.2</v>
      </c>
      <c r="P4" s="45">
        <v>456.85</v>
      </c>
      <c r="Q4" s="45">
        <f t="shared" si="1"/>
        <v>150.37200453450026</v>
      </c>
    </row>
    <row r="5" spans="1:17">
      <c r="A5" s="49" t="s">
        <v>27</v>
      </c>
      <c r="B5" s="10">
        <v>65</v>
      </c>
      <c r="C5" s="72">
        <v>55</v>
      </c>
      <c r="D5" s="10">
        <v>-2386.0815825059999</v>
      </c>
      <c r="E5" s="10">
        <f t="shared" si="0"/>
        <v>238.60815825059998</v>
      </c>
      <c r="F5" s="10" t="s">
        <v>16</v>
      </c>
      <c r="G5" s="10" t="s">
        <v>24</v>
      </c>
      <c r="H5" s="10">
        <v>0.27556784893245401</v>
      </c>
      <c r="I5" s="10">
        <v>-36</v>
      </c>
      <c r="J5" s="10">
        <v>65</v>
      </c>
      <c r="K5" s="434"/>
      <c r="M5" s="44" t="s">
        <v>19</v>
      </c>
      <c r="N5" s="45">
        <v>270.33759763811997</v>
      </c>
      <c r="O5" s="45">
        <v>145.858729681705</v>
      </c>
      <c r="P5" s="45">
        <v>192</v>
      </c>
      <c r="Q5" s="45">
        <f t="shared" si="1"/>
        <v>5.8589110306946015</v>
      </c>
    </row>
    <row r="6" spans="1:17">
      <c r="A6" s="49" t="s">
        <v>29</v>
      </c>
      <c r="B6" s="10">
        <v>65.150063343529993</v>
      </c>
      <c r="C6" s="72">
        <v>55</v>
      </c>
      <c r="D6" s="10">
        <v>-4676.2043885639996</v>
      </c>
      <c r="E6" s="10">
        <f t="shared" si="0"/>
        <v>460.70691682380254</v>
      </c>
      <c r="F6" s="10" t="s">
        <v>16</v>
      </c>
      <c r="G6" s="10" t="s">
        <v>24</v>
      </c>
      <c r="H6" s="10">
        <v>4.9000420604651297E-3</v>
      </c>
      <c r="I6" s="10">
        <v>50.6</v>
      </c>
      <c r="J6" s="10">
        <v>65.5</v>
      </c>
      <c r="K6" s="434"/>
      <c r="M6" s="44" t="s">
        <v>30</v>
      </c>
      <c r="N6" s="45">
        <v>-40911.2996202719</v>
      </c>
      <c r="O6" s="45">
        <v>400.154028617682</v>
      </c>
      <c r="P6" s="45">
        <v>100.3</v>
      </c>
      <c r="Q6" s="45">
        <f t="shared" si="1"/>
        <v>136.43738524665403</v>
      </c>
    </row>
    <row r="7" spans="1:17">
      <c r="A7" s="49" t="s">
        <v>31</v>
      </c>
      <c r="B7" s="10">
        <v>77.177750517301007</v>
      </c>
      <c r="C7" s="72">
        <v>55</v>
      </c>
      <c r="D7" s="10">
        <v>-57.3123976308</v>
      </c>
      <c r="E7" s="10">
        <f t="shared" si="0"/>
        <v>2.5842295225609209</v>
      </c>
      <c r="F7" s="10" t="s">
        <v>15</v>
      </c>
      <c r="G7" s="10" t="s">
        <v>15</v>
      </c>
      <c r="H7" s="10"/>
      <c r="I7" s="10"/>
      <c r="J7" s="10"/>
      <c r="K7" s="434"/>
      <c r="M7" s="44" t="s">
        <v>32</v>
      </c>
      <c r="N7" s="45">
        <v>-27392.283737676</v>
      </c>
      <c r="O7" s="45">
        <v>100.3</v>
      </c>
      <c r="P7" s="45">
        <v>65</v>
      </c>
      <c r="Q7" s="45">
        <f t="shared" si="1"/>
        <v>775.98537500498594</v>
      </c>
    </row>
    <row r="8" spans="1:17">
      <c r="A8" s="49" t="s">
        <v>33</v>
      </c>
      <c r="B8" s="10">
        <v>103.805621619002</v>
      </c>
      <c r="C8" s="72">
        <v>55</v>
      </c>
      <c r="D8" s="10">
        <v>-29044.532428451999</v>
      </c>
      <c r="E8" s="10">
        <f t="shared" si="0"/>
        <v>595.10629032012559</v>
      </c>
      <c r="F8" s="10" t="s">
        <v>16</v>
      </c>
      <c r="G8" s="10" t="s">
        <v>15</v>
      </c>
      <c r="H8" s="10"/>
      <c r="I8" s="10">
        <v>58.4</v>
      </c>
      <c r="J8" s="10">
        <v>102.6</v>
      </c>
      <c r="K8" s="434"/>
      <c r="M8" s="44" t="s">
        <v>27</v>
      </c>
      <c r="N8" s="45">
        <v>-2386.0815825059999</v>
      </c>
      <c r="O8" s="45">
        <v>65</v>
      </c>
      <c r="P8" s="45">
        <v>55</v>
      </c>
      <c r="Q8" s="45">
        <f t="shared" si="1"/>
        <v>238.60815825059998</v>
      </c>
    </row>
    <row r="9" spans="1:17">
      <c r="A9" s="49" t="s">
        <v>35</v>
      </c>
      <c r="B9" s="10">
        <v>137.05358729018999</v>
      </c>
      <c r="C9" s="72">
        <v>55</v>
      </c>
      <c r="D9" s="10">
        <v>-1226.8881489600001</v>
      </c>
      <c r="E9" s="10">
        <f t="shared" si="0"/>
        <v>14.952279229681919</v>
      </c>
      <c r="F9" s="10" t="s">
        <v>24</v>
      </c>
      <c r="G9" s="10" t="s">
        <v>15</v>
      </c>
      <c r="H9" s="10">
        <v>6.1965162980568901E-2</v>
      </c>
      <c r="I9" s="10">
        <v>55</v>
      </c>
      <c r="J9" s="10">
        <v>137.69999999999999</v>
      </c>
      <c r="K9" s="434"/>
      <c r="M9" s="44" t="s">
        <v>29</v>
      </c>
      <c r="N9" s="45">
        <v>-4676.2043885639996</v>
      </c>
      <c r="O9" s="45">
        <v>65.150063343529993</v>
      </c>
      <c r="P9" s="45">
        <v>55</v>
      </c>
      <c r="Q9" s="45">
        <f t="shared" si="1"/>
        <v>460.70691682380254</v>
      </c>
    </row>
    <row r="10" spans="1:17">
      <c r="A10" s="49" t="s">
        <v>36</v>
      </c>
      <c r="B10" s="10">
        <v>192</v>
      </c>
      <c r="C10" s="72">
        <v>139.04103150819901</v>
      </c>
      <c r="D10" s="10">
        <v>-278.39160119088001</v>
      </c>
      <c r="E10" s="10">
        <f t="shared" si="0"/>
        <v>5.2567413814712065</v>
      </c>
      <c r="F10" s="10" t="s">
        <v>16</v>
      </c>
      <c r="G10" s="10" t="s">
        <v>15</v>
      </c>
      <c r="H10" s="10"/>
      <c r="I10" s="10">
        <v>139.04300000000001</v>
      </c>
      <c r="J10" s="10">
        <v>140.477</v>
      </c>
      <c r="K10" s="434"/>
      <c r="M10" s="44" t="s">
        <v>31</v>
      </c>
      <c r="N10" s="45">
        <v>-57.3123976308</v>
      </c>
      <c r="O10" s="45">
        <v>77.177750517301007</v>
      </c>
      <c r="P10" s="45">
        <v>55</v>
      </c>
      <c r="Q10" s="45">
        <f t="shared" si="1"/>
        <v>2.5842295225609209</v>
      </c>
    </row>
    <row r="11" spans="1:17">
      <c r="C11" s="419"/>
      <c r="M11" s="44" t="s">
        <v>37</v>
      </c>
      <c r="N11" s="45">
        <v>-102.52674065484</v>
      </c>
      <c r="O11" s="45">
        <v>103.805621619002</v>
      </c>
      <c r="P11" s="45">
        <v>102.6</v>
      </c>
      <c r="Q11" s="45">
        <f t="shared" si="1"/>
        <v>85.040562510574645</v>
      </c>
    </row>
    <row r="12" spans="1:17">
      <c r="A12" t="s">
        <v>39</v>
      </c>
      <c r="C12" s="419"/>
      <c r="M12" s="44" t="s">
        <v>38</v>
      </c>
      <c r="N12" s="45">
        <v>-28536.954145920001</v>
      </c>
      <c r="O12" s="45">
        <v>102.6</v>
      </c>
      <c r="P12" s="45">
        <v>58.4</v>
      </c>
      <c r="Q12" s="45">
        <f t="shared" si="1"/>
        <v>645.63244674027158</v>
      </c>
    </row>
    <row r="13" spans="1:17">
      <c r="A13" s="60" t="s">
        <v>41</v>
      </c>
      <c r="B13" s="40">
        <f>-SUM(D4:D10)</f>
        <v>105972.98255902367</v>
      </c>
      <c r="C13" s="419"/>
      <c r="I13" s="19"/>
      <c r="J13" s="19"/>
      <c r="M13" s="44" t="s">
        <v>40</v>
      </c>
      <c r="N13" s="45">
        <v>-404.96128326143997</v>
      </c>
      <c r="O13" s="45">
        <v>58.4</v>
      </c>
      <c r="P13" s="45">
        <v>55</v>
      </c>
      <c r="Q13" s="45">
        <f t="shared" si="1"/>
        <v>119.10625978277652</v>
      </c>
    </row>
    <row r="14" spans="1:17">
      <c r="A14" s="39" t="s">
        <v>42</v>
      </c>
      <c r="B14" s="40">
        <f>-(D2+D3)</f>
        <v>-90470.156410518117</v>
      </c>
      <c r="C14" s="419"/>
      <c r="G14" s="18"/>
      <c r="H14" s="63" t="s">
        <v>79</v>
      </c>
      <c r="I14" s="63" t="s">
        <v>10</v>
      </c>
      <c r="J14" s="37" t="s">
        <v>11</v>
      </c>
      <c r="M14" s="44" t="s">
        <v>35</v>
      </c>
      <c r="N14" s="45">
        <v>-1226.2877325324</v>
      </c>
      <c r="O14" s="45">
        <v>137.05358729018999</v>
      </c>
      <c r="P14" s="45">
        <v>55</v>
      </c>
      <c r="Q14" s="45">
        <f t="shared" si="1"/>
        <v>14.944961860052768</v>
      </c>
    </row>
    <row r="15" spans="1:17">
      <c r="A15" s="39" t="s">
        <v>45</v>
      </c>
      <c r="B15" s="40">
        <f>B14+B13</f>
        <v>15502.826148505555</v>
      </c>
      <c r="C15" s="419" t="s">
        <v>80</v>
      </c>
      <c r="G15" s="64" t="s">
        <v>81</v>
      </c>
      <c r="H15" s="65">
        <v>52.665870539244999</v>
      </c>
      <c r="I15" s="65">
        <v>456.85</v>
      </c>
      <c r="J15" s="66">
        <v>223.16516715592147</v>
      </c>
      <c r="M15" s="44" t="s">
        <v>43</v>
      </c>
      <c r="N15" s="45">
        <v>-57.575048573879997</v>
      </c>
      <c r="O15" s="45">
        <v>192</v>
      </c>
      <c r="P15" s="45">
        <v>140.477</v>
      </c>
      <c r="Q15" s="45">
        <f t="shared" si="1"/>
        <v>1.1174630470640297</v>
      </c>
    </row>
    <row r="16" spans="1:17">
      <c r="C16" s="419"/>
      <c r="G16" s="64" t="s">
        <v>82</v>
      </c>
      <c r="H16" s="65">
        <v>145.858729681705</v>
      </c>
      <c r="I16" s="65">
        <v>192</v>
      </c>
      <c r="J16" s="66">
        <v>5.8589110306946015</v>
      </c>
      <c r="M16" s="44" t="s">
        <v>47</v>
      </c>
      <c r="N16" s="45">
        <v>-222.20862635448</v>
      </c>
      <c r="O16" s="45">
        <v>140.477</v>
      </c>
      <c r="P16" s="45">
        <v>139.04300000000001</v>
      </c>
      <c r="Q16" s="45">
        <f t="shared" si="1"/>
        <v>154.95720108401702</v>
      </c>
    </row>
    <row r="17" spans="1:17">
      <c r="A17" s="125"/>
      <c r="B17" s="125" t="s">
        <v>83</v>
      </c>
      <c r="C17" s="411" t="s">
        <v>84</v>
      </c>
      <c r="D17" s="125" t="s">
        <v>85</v>
      </c>
      <c r="E17" s="125" t="s">
        <v>86</v>
      </c>
      <c r="G17" s="73" t="s">
        <v>87</v>
      </c>
      <c r="H17" s="74">
        <v>380.154028617682</v>
      </c>
      <c r="I17" s="68">
        <v>45</v>
      </c>
      <c r="J17" s="69">
        <v>203.79755628608441</v>
      </c>
      <c r="M17" s="44" t="s">
        <v>49</v>
      </c>
      <c r="N17" s="45">
        <v>-0.69104222986679997</v>
      </c>
      <c r="O17" s="45">
        <v>139.04300000000001</v>
      </c>
      <c r="P17" s="45">
        <v>139.04103150819901</v>
      </c>
      <c r="Q17" s="45">
        <f t="shared" si="1"/>
        <v>351.05161703885898</v>
      </c>
    </row>
    <row r="18" spans="1:17">
      <c r="A18" s="124" t="s">
        <v>81</v>
      </c>
      <c r="B18" s="126" t="s">
        <v>88</v>
      </c>
      <c r="C18" s="127">
        <v>0</v>
      </c>
      <c r="D18" s="128">
        <f>(I15-H17)*J15</f>
        <v>17115.869273720771</v>
      </c>
      <c r="E18" s="128">
        <f t="shared" ref="E18:E29" si="2">C18-D18</f>
        <v>-17115.869273720771</v>
      </c>
      <c r="G18" s="67" t="s">
        <v>89</v>
      </c>
      <c r="H18" s="68">
        <v>45</v>
      </c>
      <c r="I18" s="68">
        <v>35</v>
      </c>
      <c r="J18" s="69">
        <v>238.60815825059998</v>
      </c>
      <c r="M18" s="39" t="s">
        <v>50</v>
      </c>
      <c r="N18" s="39">
        <f>SUM(N2:N17)</f>
        <v>-15499.913009913487</v>
      </c>
      <c r="O18" s="39"/>
      <c r="P18" s="39"/>
      <c r="Q18" s="39"/>
    </row>
    <row r="19" spans="1:17">
      <c r="A19" s="124" t="s">
        <v>90</v>
      </c>
      <c r="B19" s="126" t="s">
        <v>91</v>
      </c>
      <c r="C19" s="129">
        <f>(H17-I16)*J17</f>
        <v>38345.331237665589</v>
      </c>
      <c r="D19" s="128">
        <f>(H17-I16)*J15</f>
        <v>41989.425247525032</v>
      </c>
      <c r="E19" s="128">
        <f t="shared" si="2"/>
        <v>-3644.0940098594438</v>
      </c>
      <c r="G19" s="67" t="s">
        <v>92</v>
      </c>
      <c r="H19" s="68">
        <v>45.15006334353</v>
      </c>
      <c r="I19" s="68">
        <v>35</v>
      </c>
      <c r="J19" s="69">
        <v>460.70691682380254</v>
      </c>
      <c r="M19" s="58" t="s">
        <v>93</v>
      </c>
      <c r="N19">
        <f>(B15-N18)/B15*100</f>
        <v>199.98120898367716</v>
      </c>
    </row>
    <row r="20" spans="1:17">
      <c r="A20" s="124" t="s">
        <v>94</v>
      </c>
      <c r="B20" s="126" t="s">
        <v>95</v>
      </c>
      <c r="C20" s="127">
        <f>(I16-H23)*J17</f>
        <v>4075.9511257216882</v>
      </c>
      <c r="D20" s="128">
        <f>(I16-H23)*(J15+J16)</f>
        <v>4580.4815637323209</v>
      </c>
      <c r="E20" s="128">
        <f t="shared" si="2"/>
        <v>-504.53043801063268</v>
      </c>
      <c r="G20" s="67" t="s">
        <v>96</v>
      </c>
      <c r="H20" s="68">
        <v>57.177750517301</v>
      </c>
      <c r="I20" s="68">
        <v>35</v>
      </c>
      <c r="J20" s="69">
        <v>2.5842295225609209</v>
      </c>
    </row>
    <row r="21" spans="1:17">
      <c r="A21" s="124" t="s">
        <v>97</v>
      </c>
      <c r="B21" s="126" t="s">
        <v>98</v>
      </c>
      <c r="C21" s="127">
        <f>(H23-H16)*(J17+J23)</f>
        <v>5464.94490652888</v>
      </c>
      <c r="D21" s="128">
        <f>(H23-H16)*(J15+J16)</f>
        <v>5986.9803372746601</v>
      </c>
      <c r="E21" s="128">
        <f t="shared" si="2"/>
        <v>-522.0354307457801</v>
      </c>
      <c r="G21" s="67" t="s">
        <v>99</v>
      </c>
      <c r="H21" s="68">
        <v>83.805621619001997</v>
      </c>
      <c r="I21" s="68">
        <v>35</v>
      </c>
      <c r="J21" s="69">
        <v>595.10629032012559</v>
      </c>
    </row>
    <row r="22" spans="1:17">
      <c r="A22" s="124" t="s">
        <v>100</v>
      </c>
      <c r="B22" s="126" t="s">
        <v>101</v>
      </c>
      <c r="C22" s="127">
        <f>(H16-I23)*(J17+J23)</f>
        <v>5606.3550567227867</v>
      </c>
      <c r="D22" s="128">
        <f>(H16-I23)*(J15+J16)</f>
        <v>6141.8986032741095</v>
      </c>
      <c r="E22" s="128">
        <f t="shared" si="2"/>
        <v>-535.54354655132283</v>
      </c>
      <c r="G22" s="67" t="s">
        <v>102</v>
      </c>
      <c r="H22" s="68">
        <v>117.05358729018999</v>
      </c>
      <c r="I22" s="68">
        <v>35</v>
      </c>
      <c r="J22" s="69">
        <v>14.952279229681919</v>
      </c>
    </row>
    <row r="23" spans="1:17">
      <c r="A23" s="124" t="s">
        <v>103</v>
      </c>
      <c r="B23" s="126" t="s">
        <v>104</v>
      </c>
      <c r="C23" s="127">
        <f>(I23-H22)*J17</f>
        <v>405.0362748851428</v>
      </c>
      <c r="D23" s="128">
        <f>(I23-H22)*J15</f>
        <v>443.52832112504876</v>
      </c>
      <c r="E23" s="128">
        <f t="shared" si="2"/>
        <v>-38.49204623990596</v>
      </c>
      <c r="G23" s="67" t="s">
        <v>105</v>
      </c>
      <c r="H23" s="68">
        <v>172</v>
      </c>
      <c r="I23" s="68">
        <v>119.041031508199</v>
      </c>
      <c r="J23" s="69">
        <v>5.2567413814712065</v>
      </c>
    </row>
    <row r="24" spans="1:17">
      <c r="A24" s="124" t="s">
        <v>106</v>
      </c>
      <c r="B24" s="126" t="s">
        <v>107</v>
      </c>
      <c r="C24" s="127">
        <f>(H22-H21)*(J17+J22)</f>
        <v>7272.9870218062206</v>
      </c>
      <c r="D24" s="128">
        <f>(H22-H21)*J15</f>
        <v>7419.7878166050086</v>
      </c>
      <c r="E24" s="128">
        <f t="shared" si="2"/>
        <v>-146.80079479878805</v>
      </c>
    </row>
    <row r="25" spans="1:17">
      <c r="A25" s="125" t="s">
        <v>108</v>
      </c>
      <c r="B25" s="126" t="s">
        <v>109</v>
      </c>
      <c r="C25" s="127">
        <f>(H21-H20)*(J17+J21+J22)</f>
        <v>21671.256014087878</v>
      </c>
      <c r="D25" s="128">
        <f>(H21-H20)*J15</f>
        <v>5942.4133054174335</v>
      </c>
      <c r="E25" s="128">
        <f t="shared" si="2"/>
        <v>15728.842708670443</v>
      </c>
    </row>
    <row r="26" spans="1:17">
      <c r="A26" s="125" t="s">
        <v>110</v>
      </c>
      <c r="B26" s="126" t="s">
        <v>111</v>
      </c>
      <c r="C26" s="127">
        <f>(H20-H15)*(J17+J20+J21+J22)</f>
        <v>3683.68089261873</v>
      </c>
      <c r="D26" s="128">
        <f>(H20-H15)*J15</f>
        <v>1006.8944494903227</v>
      </c>
      <c r="E26" s="128">
        <f t="shared" si="2"/>
        <v>2676.7864431284074</v>
      </c>
    </row>
    <row r="27" spans="1:17">
      <c r="A27" s="124" t="s">
        <v>112</v>
      </c>
      <c r="B27" s="126" t="s">
        <v>113</v>
      </c>
      <c r="C27" s="127">
        <f>(H15-H19)*(J17+J20+J21+J22)</f>
        <v>6136.2082976751708</v>
      </c>
      <c r="D27" s="128">
        <v>0</v>
      </c>
      <c r="E27" s="128">
        <f t="shared" si="2"/>
        <v>6136.2082976751708</v>
      </c>
    </row>
    <row r="28" spans="1:17">
      <c r="A28" s="124" t="s">
        <v>114</v>
      </c>
      <c r="B28" s="126" t="s">
        <v>115</v>
      </c>
      <c r="C28" s="127">
        <f>(H19-H18)*(J17+J19+J20+J21+J22)</f>
        <v>191.65298984388858</v>
      </c>
      <c r="D28" s="128">
        <v>0</v>
      </c>
      <c r="E28" s="128">
        <f t="shared" si="2"/>
        <v>191.65298984388858</v>
      </c>
    </row>
    <row r="29" spans="1:17">
      <c r="A29" s="124" t="s">
        <v>116</v>
      </c>
      <c r="B29" s="126" t="s">
        <v>117</v>
      </c>
      <c r="C29" s="127">
        <f>(I17-I18)*(J18+J19+J20+J21+J22)</f>
        <v>13119.578741467711</v>
      </c>
      <c r="D29" s="128">
        <v>0</v>
      </c>
      <c r="E29" s="128">
        <f t="shared" si="2"/>
        <v>13119.578741467711</v>
      </c>
    </row>
    <row r="30" spans="1:17">
      <c r="C30" s="419"/>
      <c r="E30">
        <f>SUM(E18:E29)</f>
        <v>15345.703640858977</v>
      </c>
    </row>
    <row r="32" spans="1:17">
      <c r="C32" s="419" t="s">
        <v>118</v>
      </c>
      <c r="E32" t="s">
        <v>119</v>
      </c>
      <c r="G32" s="36"/>
      <c r="H32" s="37" t="s">
        <v>79</v>
      </c>
      <c r="I32" s="37" t="s">
        <v>10</v>
      </c>
      <c r="J32" s="37" t="s">
        <v>11</v>
      </c>
      <c r="L32" t="s">
        <v>120</v>
      </c>
    </row>
    <row r="33" spans="1:23">
      <c r="A33" s="1" t="s">
        <v>53</v>
      </c>
      <c r="C33" s="52">
        <v>0</v>
      </c>
      <c r="E33" s="71">
        <v>22507.365539926599</v>
      </c>
      <c r="G33" s="75" t="s">
        <v>81</v>
      </c>
      <c r="H33" s="78">
        <v>52.665870539244999</v>
      </c>
      <c r="I33" s="78">
        <v>456.85</v>
      </c>
      <c r="J33" s="66">
        <v>223.16516715592147</v>
      </c>
      <c r="L33" t="s">
        <v>121</v>
      </c>
    </row>
    <row r="34" spans="1:23">
      <c r="A34" s="71">
        <v>456.85</v>
      </c>
      <c r="B34" s="435">
        <v>-17115.869273720771</v>
      </c>
      <c r="C34" s="52"/>
      <c r="D34" s="435">
        <v>-17115.869273720771</v>
      </c>
      <c r="E34" s="71"/>
      <c r="G34" s="75" t="s">
        <v>82</v>
      </c>
      <c r="H34" s="78">
        <v>145.858729681705</v>
      </c>
      <c r="I34" s="78">
        <v>192</v>
      </c>
      <c r="J34" s="66">
        <v>5.8589110306946015</v>
      </c>
    </row>
    <row r="35" spans="1:23">
      <c r="A35" s="71">
        <v>380.15</v>
      </c>
      <c r="B35" s="435"/>
      <c r="C35" s="52"/>
      <c r="D35" s="435"/>
      <c r="E35" s="71"/>
      <c r="G35" s="76" t="s">
        <v>87</v>
      </c>
      <c r="H35" s="79">
        <v>400.154028617682</v>
      </c>
      <c r="I35" s="79">
        <v>65</v>
      </c>
      <c r="J35" s="69">
        <v>203.79755628608441</v>
      </c>
    </row>
    <row r="36" spans="1:23">
      <c r="C36" s="52">
        <f>C33+B34</f>
        <v>-17115.869273720771</v>
      </c>
      <c r="D36" s="419"/>
      <c r="E36" s="71">
        <f>E33+D34</f>
        <v>5391.4962662058279</v>
      </c>
      <c r="G36" s="77" t="s">
        <v>89</v>
      </c>
      <c r="H36" s="79">
        <v>65</v>
      </c>
      <c r="I36" s="79">
        <v>55</v>
      </c>
      <c r="J36" s="69">
        <v>238.60815825059998</v>
      </c>
    </row>
    <row r="37" spans="1:23">
      <c r="A37" s="71">
        <v>380.15</v>
      </c>
      <c r="B37" s="435">
        <v>-3644.0940098594438</v>
      </c>
      <c r="C37" s="52"/>
      <c r="D37" s="435">
        <v>-3644.0940098594438</v>
      </c>
      <c r="E37" s="71"/>
      <c r="G37" s="77" t="s">
        <v>92</v>
      </c>
      <c r="H37" s="79">
        <v>65.150063343529993</v>
      </c>
      <c r="I37" s="79">
        <v>55</v>
      </c>
      <c r="J37" s="69">
        <v>460.70691682380254</v>
      </c>
    </row>
    <row r="38" spans="1:23">
      <c r="A38" s="71">
        <v>192</v>
      </c>
      <c r="B38" s="435"/>
      <c r="C38" s="52"/>
      <c r="D38" s="435"/>
      <c r="E38" s="71"/>
      <c r="G38" s="77" t="s">
        <v>96</v>
      </c>
      <c r="H38" s="79">
        <v>77.177750517301007</v>
      </c>
      <c r="I38" s="79">
        <v>55</v>
      </c>
      <c r="J38" s="69">
        <v>2.5842295225609209</v>
      </c>
    </row>
    <row r="39" spans="1:23">
      <c r="C39" s="52">
        <f>C36+B37</f>
        <v>-20759.963283580215</v>
      </c>
      <c r="D39" s="419"/>
      <c r="E39" s="71">
        <f>E36+D37</f>
        <v>1747.4022563463841</v>
      </c>
      <c r="G39" s="77" t="s">
        <v>99</v>
      </c>
      <c r="H39" s="79">
        <v>103.805621619002</v>
      </c>
      <c r="I39" s="79">
        <v>55</v>
      </c>
      <c r="J39" s="69">
        <v>595.10629032012559</v>
      </c>
    </row>
    <row r="40" spans="1:23">
      <c r="A40" s="71">
        <v>192</v>
      </c>
      <c r="B40" s="435">
        <v>-504.53043801063268</v>
      </c>
      <c r="C40" s="52"/>
      <c r="D40" s="435">
        <v>-504.53043801063268</v>
      </c>
      <c r="E40" s="71"/>
      <c r="G40" s="77" t="s">
        <v>102</v>
      </c>
      <c r="H40" s="79">
        <v>137.05358729018999</v>
      </c>
      <c r="I40" s="79">
        <v>55</v>
      </c>
      <c r="J40" s="69">
        <v>14.952279229681919</v>
      </c>
    </row>
    <row r="41" spans="1:23">
      <c r="A41" s="71">
        <v>172</v>
      </c>
      <c r="B41" s="435"/>
      <c r="C41" s="52"/>
      <c r="D41" s="435"/>
      <c r="E41" s="71"/>
      <c r="G41" s="77" t="s">
        <v>105</v>
      </c>
      <c r="H41" s="79">
        <v>192</v>
      </c>
      <c r="I41" s="79">
        <v>139.04103150819901</v>
      </c>
      <c r="J41" s="69">
        <v>5.2567413814712065</v>
      </c>
    </row>
    <row r="42" spans="1:23">
      <c r="C42" s="52">
        <f>C39+B40</f>
        <v>-21264.493721590847</v>
      </c>
      <c r="D42" s="419"/>
      <c r="E42" s="71">
        <f>E39+D40</f>
        <v>1242.8718183357514</v>
      </c>
      <c r="H42" s="70"/>
      <c r="I42" s="70"/>
    </row>
    <row r="43" spans="1:23">
      <c r="A43" s="71">
        <v>172</v>
      </c>
      <c r="B43" s="435">
        <v>-522.0354307457801</v>
      </c>
      <c r="C43" s="52"/>
      <c r="D43" s="435">
        <v>-522.0354307457801</v>
      </c>
      <c r="E43" s="71"/>
      <c r="H43" t="s">
        <v>122</v>
      </c>
      <c r="N43" t="s">
        <v>123</v>
      </c>
    </row>
    <row r="44" spans="1:23" ht="15" thickBot="1">
      <c r="A44" s="71">
        <v>145.85</v>
      </c>
      <c r="B44" s="435"/>
      <c r="C44" s="52"/>
      <c r="D44" s="435"/>
      <c r="E44" s="71"/>
      <c r="F44" s="419"/>
      <c r="G44" s="419"/>
      <c r="H44" s="419"/>
      <c r="I44" s="419"/>
      <c r="J44" s="419"/>
      <c r="M44" s="1" t="s">
        <v>124</v>
      </c>
      <c r="N44" s="419"/>
      <c r="O44" s="419"/>
      <c r="P44" s="419"/>
      <c r="Q44" s="419"/>
      <c r="R44" s="419"/>
      <c r="S44" s="419"/>
      <c r="U44" s="410" t="s">
        <v>11</v>
      </c>
    </row>
    <row r="45" spans="1:23" ht="15" thickBot="1">
      <c r="C45" s="52">
        <f>C42+B43</f>
        <v>-21786.529152336625</v>
      </c>
      <c r="D45" s="419"/>
      <c r="E45" s="71">
        <f>E42+D43</f>
        <v>720.83638758997131</v>
      </c>
      <c r="F45" s="96">
        <v>456.85</v>
      </c>
      <c r="G45" s="95"/>
      <c r="H45" s="95"/>
      <c r="I45" s="97"/>
      <c r="J45" s="97">
        <f>H65</f>
        <v>167.96020236892696</v>
      </c>
      <c r="K45" s="105">
        <f>H70</f>
        <v>164.39283119492723</v>
      </c>
      <c r="L45" s="81">
        <f>H75</f>
        <v>163.14536231464103</v>
      </c>
      <c r="M45" s="99" t="s">
        <v>81</v>
      </c>
      <c r="N45" s="95"/>
      <c r="O45" s="95"/>
      <c r="P45" s="97"/>
      <c r="Q45" s="95"/>
      <c r="R45" s="95"/>
      <c r="S45" s="116">
        <v>52.665870539244999</v>
      </c>
      <c r="U45" s="91">
        <v>223.16516715592147</v>
      </c>
    </row>
    <row r="46" spans="1:23" ht="15" thickBot="1">
      <c r="A46" s="71">
        <v>145.85</v>
      </c>
      <c r="B46" s="435">
        <v>-535.54354655132283</v>
      </c>
      <c r="C46" s="52"/>
      <c r="D46" s="435">
        <v>-535.54354655132283</v>
      </c>
      <c r="E46" s="71"/>
      <c r="F46" s="419"/>
      <c r="G46" s="84">
        <v>192</v>
      </c>
      <c r="H46" s="85">
        <v>145.858729681705</v>
      </c>
      <c r="I46" s="98"/>
      <c r="J46" s="98"/>
      <c r="K46" s="106"/>
      <c r="M46" s="75" t="s">
        <v>82</v>
      </c>
      <c r="N46" s="419"/>
      <c r="O46" s="419"/>
      <c r="P46" s="98"/>
      <c r="Q46" s="419"/>
      <c r="R46" s="419"/>
      <c r="S46" s="419"/>
      <c r="U46" s="91">
        <v>5.8589110306946015</v>
      </c>
    </row>
    <row r="47" spans="1:23" ht="15" thickBot="1">
      <c r="A47" s="71">
        <v>119.04</v>
      </c>
      <c r="B47" s="435"/>
      <c r="C47" s="52"/>
      <c r="D47" s="435"/>
      <c r="E47" s="71"/>
      <c r="F47" s="419"/>
      <c r="G47" s="94">
        <v>400.154028617682</v>
      </c>
      <c r="H47" s="95"/>
      <c r="I47" s="97"/>
      <c r="J47" s="97"/>
      <c r="K47" s="105"/>
      <c r="L47" s="100"/>
      <c r="M47" s="82" t="s">
        <v>87</v>
      </c>
      <c r="N47" s="412"/>
      <c r="O47" s="412"/>
      <c r="P47" s="102"/>
      <c r="Q47" s="87">
        <v>65</v>
      </c>
      <c r="R47" s="419"/>
      <c r="S47" s="419"/>
      <c r="U47" s="92">
        <v>203.79755628608441</v>
      </c>
      <c r="V47">
        <v>1</v>
      </c>
    </row>
    <row r="48" spans="1:23" ht="15" thickBot="1">
      <c r="C48" s="52">
        <f>C45+B46</f>
        <v>-22322.072698887947</v>
      </c>
      <c r="D48" s="419"/>
      <c r="E48" s="71">
        <f>E45+D46</f>
        <v>185.29284103864848</v>
      </c>
      <c r="F48" s="419"/>
      <c r="G48" s="419"/>
      <c r="H48" s="419"/>
      <c r="I48" s="419"/>
      <c r="J48" s="98"/>
      <c r="K48" s="106"/>
      <c r="M48" s="77" t="s">
        <v>89</v>
      </c>
      <c r="N48" s="419"/>
      <c r="O48" s="419"/>
      <c r="P48" s="98"/>
      <c r="Q48" s="118">
        <v>65</v>
      </c>
      <c r="R48" s="88">
        <v>55</v>
      </c>
      <c r="S48" s="419"/>
      <c r="U48" s="92">
        <v>238.60815825059998</v>
      </c>
      <c r="W48" t="s">
        <v>125</v>
      </c>
    </row>
    <row r="49" spans="1:23" ht="15" thickBot="1">
      <c r="A49" s="71">
        <v>119.04</v>
      </c>
      <c r="B49" s="435">
        <v>-38.49204623990596</v>
      </c>
      <c r="C49" s="52"/>
      <c r="D49" s="435">
        <v>-38.49204623990596</v>
      </c>
      <c r="E49" s="71"/>
      <c r="F49" s="419"/>
      <c r="G49" s="419"/>
      <c r="H49" s="419"/>
      <c r="I49" s="419"/>
      <c r="J49" s="98"/>
      <c r="K49" s="106"/>
      <c r="M49" s="77" t="s">
        <v>92</v>
      </c>
      <c r="N49" s="419"/>
      <c r="O49" s="419"/>
      <c r="P49" s="119">
        <v>65.150063343529993</v>
      </c>
      <c r="Q49" s="90"/>
      <c r="R49" s="88">
        <v>55</v>
      </c>
      <c r="S49" s="419"/>
      <c r="U49" s="92">
        <v>460.70691682380254</v>
      </c>
      <c r="W49" t="s">
        <v>125</v>
      </c>
    </row>
    <row r="50" spans="1:23" ht="15" thickBot="1">
      <c r="A50" s="71">
        <v>117.05</v>
      </c>
      <c r="B50" s="435"/>
      <c r="C50" s="52"/>
      <c r="D50" s="435"/>
      <c r="E50" s="71"/>
      <c r="F50" s="419"/>
      <c r="G50" s="419"/>
      <c r="H50" s="419"/>
      <c r="I50" s="419"/>
      <c r="J50" s="98"/>
      <c r="K50" s="106"/>
      <c r="M50" s="77" t="s">
        <v>96</v>
      </c>
      <c r="N50" s="419"/>
      <c r="O50" s="89">
        <v>77.177750517301007</v>
      </c>
      <c r="P50" s="108"/>
      <c r="Q50" s="90"/>
      <c r="R50" s="88">
        <v>55</v>
      </c>
      <c r="S50" s="419"/>
      <c r="U50" s="92">
        <v>2.5842295225609209</v>
      </c>
      <c r="V50">
        <v>2</v>
      </c>
    </row>
    <row r="51" spans="1:23" ht="15" thickBot="1">
      <c r="C51" s="52">
        <f>B49+C48</f>
        <v>-22360.564745127853</v>
      </c>
      <c r="D51" s="419"/>
      <c r="E51" s="71">
        <f>D49+E48</f>
        <v>146.80079479874252</v>
      </c>
      <c r="F51" s="419"/>
      <c r="G51" s="419"/>
      <c r="H51" s="419"/>
      <c r="I51" s="86">
        <v>103.805621619002</v>
      </c>
      <c r="J51" s="102"/>
      <c r="K51" s="107"/>
      <c r="L51" s="81"/>
      <c r="M51" s="83" t="s">
        <v>99</v>
      </c>
      <c r="N51" s="117"/>
      <c r="O51" s="117"/>
      <c r="P51" s="97">
        <f>O64</f>
        <v>72.130935318468431</v>
      </c>
      <c r="Q51" s="90"/>
      <c r="R51" s="88">
        <v>55</v>
      </c>
      <c r="S51" s="419"/>
      <c r="U51" s="92">
        <v>595.10629032012559</v>
      </c>
      <c r="W51" t="s">
        <v>125</v>
      </c>
    </row>
    <row r="52" spans="1:23" ht="15" thickBot="1">
      <c r="A52" s="71">
        <v>117.05</v>
      </c>
      <c r="B52" s="435">
        <v>-146.80079479878805</v>
      </c>
      <c r="C52" s="52"/>
      <c r="D52" s="435">
        <v>-146.80079479878805</v>
      </c>
      <c r="E52" s="71"/>
      <c r="F52" s="419"/>
      <c r="G52" s="419"/>
      <c r="H52" s="94">
        <v>137.05358729018999</v>
      </c>
      <c r="I52" s="95"/>
      <c r="J52" s="97"/>
      <c r="K52" s="105"/>
      <c r="L52" s="100"/>
      <c r="M52" s="83" t="s">
        <v>102</v>
      </c>
      <c r="N52" s="412"/>
      <c r="O52" s="412"/>
      <c r="P52" s="412"/>
      <c r="Q52" s="412"/>
      <c r="R52" s="87">
        <v>55</v>
      </c>
      <c r="S52" s="419"/>
      <c r="U52" s="92">
        <v>14.952279229681919</v>
      </c>
      <c r="V52">
        <v>3</v>
      </c>
    </row>
    <row r="53" spans="1:23" ht="15" thickBot="1">
      <c r="A53" s="71">
        <v>83.81</v>
      </c>
      <c r="B53" s="435"/>
      <c r="C53" s="52"/>
      <c r="D53" s="435"/>
      <c r="E53" s="71"/>
      <c r="G53" s="103">
        <v>192</v>
      </c>
      <c r="H53" s="104">
        <v>139.04103150819901</v>
      </c>
      <c r="I53" s="110"/>
      <c r="J53" s="111"/>
      <c r="K53" s="112"/>
      <c r="M53" s="77" t="s">
        <v>105</v>
      </c>
      <c r="U53" s="92">
        <v>5.2567413814712065</v>
      </c>
    </row>
    <row r="54" spans="1:23">
      <c r="C54" s="52">
        <f>C51+B52</f>
        <v>-22507.365539926643</v>
      </c>
      <c r="D54" s="419"/>
      <c r="E54" s="71">
        <f>E51+D52</f>
        <v>-4.553157850750722E-11</v>
      </c>
    </row>
    <row r="55" spans="1:23">
      <c r="A55" s="71">
        <v>83.81</v>
      </c>
      <c r="B55" s="435">
        <v>15728.842708670443</v>
      </c>
      <c r="C55" s="52"/>
      <c r="D55" s="435">
        <v>15728.842708670443</v>
      </c>
      <c r="E55" s="71"/>
    </row>
    <row r="56" spans="1:23">
      <c r="A56" s="71">
        <v>57.18</v>
      </c>
      <c r="B56" s="435"/>
      <c r="C56" s="52"/>
      <c r="D56" s="435"/>
      <c r="E56" s="71"/>
      <c r="F56" t="s">
        <v>126</v>
      </c>
      <c r="M56" t="s">
        <v>127</v>
      </c>
    </row>
    <row r="57" spans="1:23">
      <c r="C57" s="52">
        <f>B55+C54</f>
        <v>-6778.5228312561994</v>
      </c>
      <c r="D57" s="419"/>
      <c r="E57" s="71">
        <f>D55+E54</f>
        <v>15728.842708670398</v>
      </c>
      <c r="F57" s="37" t="s">
        <v>87</v>
      </c>
      <c r="G57" s="92">
        <v>203.79755628608441</v>
      </c>
      <c r="H57" s="436" t="s">
        <v>81</v>
      </c>
      <c r="I57" s="439">
        <v>223.16516715592147</v>
      </c>
      <c r="M57" s="410" t="s">
        <v>81</v>
      </c>
      <c r="N57" s="91">
        <v>223.16516715592147</v>
      </c>
      <c r="O57" s="37" t="s">
        <v>99</v>
      </c>
      <c r="P57" s="92">
        <v>595.10629032012559</v>
      </c>
    </row>
    <row r="58" spans="1:23">
      <c r="A58" s="71">
        <v>57.18</v>
      </c>
      <c r="B58" s="435">
        <v>2676.7864431284074</v>
      </c>
      <c r="C58" s="52"/>
      <c r="D58" s="435">
        <v>2676.7864431284074</v>
      </c>
      <c r="E58" s="71"/>
      <c r="F58" s="37" t="s">
        <v>102</v>
      </c>
      <c r="G58" s="92">
        <v>14.952279229681919</v>
      </c>
      <c r="H58" s="437"/>
      <c r="I58" s="440"/>
      <c r="M58" s="423"/>
      <c r="N58" s="113"/>
      <c r="O58" s="93"/>
      <c r="P58" s="114"/>
    </row>
    <row r="59" spans="1:23">
      <c r="A59" s="71">
        <v>52.67</v>
      </c>
      <c r="B59" s="435"/>
      <c r="C59" s="52"/>
      <c r="D59" s="435"/>
      <c r="E59" s="71"/>
      <c r="F59" s="37" t="s">
        <v>105</v>
      </c>
      <c r="G59" s="92">
        <v>5.2567413814712065</v>
      </c>
      <c r="H59" s="438"/>
      <c r="I59" s="441"/>
      <c r="M59" s="423"/>
      <c r="N59" s="113"/>
      <c r="O59" s="93"/>
      <c r="P59" s="115"/>
    </row>
    <row r="60" spans="1:23">
      <c r="C60" s="52">
        <f>C57+B58</f>
        <v>-4101.7363881277925</v>
      </c>
      <c r="D60" s="419"/>
      <c r="E60" s="71">
        <f>E57+D58</f>
        <v>18405.629151798807</v>
      </c>
      <c r="F60" s="419"/>
      <c r="G60" s="62"/>
    </row>
    <row r="61" spans="1:23">
      <c r="A61" s="71">
        <v>52.67</v>
      </c>
      <c r="B61" s="435">
        <v>6136.2082976751708</v>
      </c>
      <c r="C61" s="52"/>
      <c r="D61" s="435">
        <v>6136.2082976751708</v>
      </c>
      <c r="E61" s="71"/>
      <c r="F61" s="410" t="s">
        <v>105</v>
      </c>
      <c r="G61" s="92">
        <v>5.2567413814712065</v>
      </c>
      <c r="H61" s="410" t="s">
        <v>82</v>
      </c>
      <c r="I61" s="91">
        <v>5.8589110306946015</v>
      </c>
    </row>
    <row r="62" spans="1:23">
      <c r="A62" s="71">
        <v>45.15</v>
      </c>
      <c r="B62" s="435"/>
      <c r="C62" s="52"/>
      <c r="D62" s="435"/>
      <c r="E62" s="71"/>
      <c r="M62" s="41" t="s">
        <v>128</v>
      </c>
      <c r="O62" s="93" t="s">
        <v>129</v>
      </c>
    </row>
    <row r="63" spans="1:23">
      <c r="C63" s="52">
        <f>B61+C60</f>
        <v>2034.4719095473783</v>
      </c>
      <c r="D63" s="419"/>
      <c r="E63" s="71">
        <f>D61+E60</f>
        <v>24541.837449473976</v>
      </c>
      <c r="M63" s="419" t="s">
        <v>81</v>
      </c>
      <c r="N63">
        <f>(A55-S45)*U45</f>
        <v>6950.2848570350488</v>
      </c>
      <c r="O63">
        <v>52.67</v>
      </c>
    </row>
    <row r="64" spans="1:23">
      <c r="A64" s="71">
        <v>45.15</v>
      </c>
      <c r="B64" s="435">
        <v>191.65298984388858</v>
      </c>
      <c r="C64" s="52"/>
      <c r="D64" s="435">
        <v>191.65298984388858</v>
      </c>
      <c r="E64" s="71"/>
      <c r="F64" s="41" t="s">
        <v>128</v>
      </c>
      <c r="H64" t="s">
        <v>129</v>
      </c>
      <c r="M64" s="419" t="s">
        <v>99</v>
      </c>
      <c r="N64">
        <f>(A55-R51)*P57</f>
        <v>17145.01222412282</v>
      </c>
      <c r="O64">
        <f>83.81-(N65/P57)</f>
        <v>72.130935318468431</v>
      </c>
    </row>
    <row r="65" spans="1:15">
      <c r="A65" s="71">
        <v>45</v>
      </c>
      <c r="B65" s="435"/>
      <c r="C65" s="52"/>
      <c r="D65" s="435"/>
      <c r="E65" s="71"/>
      <c r="F65" s="93" t="s">
        <v>81</v>
      </c>
      <c r="G65">
        <f>(F45-A55)*I57</f>
        <v>83249.533955844949</v>
      </c>
      <c r="H65">
        <f>F45-(G66/I57)</f>
        <v>167.96020236892696</v>
      </c>
      <c r="M65" s="419" t="s">
        <v>130</v>
      </c>
      <c r="N65">
        <f>MIN(N63:N64)</f>
        <v>6950.2848570350488</v>
      </c>
    </row>
    <row r="66" spans="1:15">
      <c r="C66" s="52">
        <f>C63+B64</f>
        <v>2226.1248993912668</v>
      </c>
      <c r="D66" s="419"/>
      <c r="E66" s="71">
        <f>E63+D64</f>
        <v>24733.490439317866</v>
      </c>
      <c r="F66" s="427" t="s">
        <v>87</v>
      </c>
      <c r="G66">
        <f>(G47-A55)*G57</f>
        <v>64470.139977978746</v>
      </c>
      <c r="H66">
        <v>83.81</v>
      </c>
    </row>
    <row r="67" spans="1:15">
      <c r="A67" s="71">
        <v>45</v>
      </c>
      <c r="B67" s="435">
        <v>13119.578741467711</v>
      </c>
      <c r="C67" s="52"/>
      <c r="D67" s="435">
        <v>13119.578741467711</v>
      </c>
      <c r="E67" s="71"/>
      <c r="F67" s="427" t="s">
        <v>131</v>
      </c>
      <c r="G67">
        <f>MIN(G65:G66)</f>
        <v>64470.139977978746</v>
      </c>
      <c r="M67" s="427" t="s">
        <v>132</v>
      </c>
      <c r="N67" t="s">
        <v>87</v>
      </c>
      <c r="O67">
        <f>(A55-Q47)*U47</f>
        <v>3833.4320337412482</v>
      </c>
    </row>
    <row r="68" spans="1:15">
      <c r="A68" s="71">
        <v>35</v>
      </c>
      <c r="B68" s="435"/>
      <c r="C68" s="52"/>
      <c r="D68" s="435"/>
      <c r="E68" s="71"/>
      <c r="N68" t="s">
        <v>89</v>
      </c>
      <c r="O68">
        <f>(Q48-R48)*U48</f>
        <v>2386.0815825059999</v>
      </c>
    </row>
    <row r="69" spans="1:15">
      <c r="C69" s="52">
        <f>C66+B67</f>
        <v>15345.703640858977</v>
      </c>
      <c r="D69" s="419"/>
      <c r="E69" s="71">
        <f>E66+D67</f>
        <v>37853.069180785576</v>
      </c>
      <c r="F69" s="101" t="s">
        <v>133</v>
      </c>
      <c r="H69" t="s">
        <v>129</v>
      </c>
      <c r="N69" t="s">
        <v>92</v>
      </c>
      <c r="O69">
        <f>(P49-R49)*U49</f>
        <v>4676.2043885639996</v>
      </c>
    </row>
    <row r="70" spans="1:15">
      <c r="C70" s="419"/>
      <c r="F70" s="427" t="s">
        <v>81</v>
      </c>
      <c r="G70">
        <f>(J45-A53)*I57</f>
        <v>18779.393977866202</v>
      </c>
      <c r="H70">
        <f>J45-(G71/I57)</f>
        <v>164.39283119492723</v>
      </c>
      <c r="N70" t="s">
        <v>96</v>
      </c>
      <c r="O70">
        <f>(O50-R50)*U50</f>
        <v>57.3123976308</v>
      </c>
    </row>
    <row r="71" spans="1:15">
      <c r="C71" s="419"/>
      <c r="F71" s="427" t="s">
        <v>102</v>
      </c>
      <c r="G71">
        <f>(H52-A55)*G58</f>
        <v>796.11298435286403</v>
      </c>
      <c r="H71">
        <f>83.81</f>
        <v>83.81</v>
      </c>
      <c r="N71" t="s">
        <v>99</v>
      </c>
      <c r="O71">
        <f>(P51-R51)*U51</f>
        <v>10194.727367087768</v>
      </c>
    </row>
    <row r="72" spans="1:15">
      <c r="C72" s="419"/>
      <c r="F72" s="427" t="s">
        <v>134</v>
      </c>
      <c r="G72">
        <f>MIN(G70:G71)</f>
        <v>796.11298435286403</v>
      </c>
      <c r="N72" t="s">
        <v>102</v>
      </c>
      <c r="O72">
        <f>(A55-R52)*U52</f>
        <v>430.77516460713611</v>
      </c>
    </row>
    <row r="73" spans="1:15">
      <c r="C73" s="419">
        <f>MIN(C36:C69)</f>
        <v>-22507.365539926643</v>
      </c>
      <c r="O73">
        <f>SUM(O67:O72)</f>
        <v>21578.532934136954</v>
      </c>
    </row>
    <row r="74" spans="1:15">
      <c r="C74" s="419"/>
      <c r="F74" s="101" t="s">
        <v>135</v>
      </c>
      <c r="H74" t="s">
        <v>129</v>
      </c>
    </row>
    <row r="75" spans="1:15">
      <c r="C75" s="419"/>
      <c r="F75" s="427" t="s">
        <v>136</v>
      </c>
      <c r="G75" s="70">
        <f>(K45-A55)*I57</f>
        <v>17983.280993513337</v>
      </c>
      <c r="H75">
        <f>K45-(G76/I57)</f>
        <v>163.14536231464103</v>
      </c>
    </row>
    <row r="76" spans="1:15">
      <c r="C76" s="419"/>
      <c r="F76" s="427" t="s">
        <v>105</v>
      </c>
      <c r="G76" s="70">
        <f>(G53-H53)*U53</f>
        <v>278.39160119088001</v>
      </c>
      <c r="H76">
        <v>139.04</v>
      </c>
    </row>
    <row r="77" spans="1:15">
      <c r="C77" s="419"/>
      <c r="F77" s="427" t="s">
        <v>137</v>
      </c>
      <c r="G77" s="70">
        <f>MIN(G75:G76)</f>
        <v>278.39160119088001</v>
      </c>
    </row>
    <row r="79" spans="1:15">
      <c r="C79" s="419"/>
      <c r="F79" s="427" t="s">
        <v>138</v>
      </c>
      <c r="G79">
        <f>(G46-H46)*I61+(L45-A55)*U45</f>
        <v>17975.226989960578</v>
      </c>
      <c r="M79" t="s">
        <v>139</v>
      </c>
      <c r="N79">
        <f>G79</f>
        <v>17975.226989960578</v>
      </c>
    </row>
    <row r="80" spans="1:15">
      <c r="C80" s="419"/>
      <c r="F80" s="427" t="s">
        <v>140</v>
      </c>
      <c r="G80">
        <f>(I51-A55)*U51</f>
        <v>11899.520204329181</v>
      </c>
      <c r="M80" t="s">
        <v>141</v>
      </c>
      <c r="N80">
        <f>G80+O73</f>
        <v>33478.053138466137</v>
      </c>
    </row>
    <row r="81" spans="6:7">
      <c r="F81" s="427" t="s">
        <v>142</v>
      </c>
      <c r="G81" s="70">
        <f>G67+G72+G77</f>
        <v>65544.644563522481</v>
      </c>
    </row>
  </sheetData>
  <sortState xmlns:xlrd2="http://schemas.microsoft.com/office/spreadsheetml/2017/richdata2" ref="G14:H22">
    <sortCondition ref="G13"/>
  </sortState>
  <mergeCells count="28">
    <mergeCell ref="H57:H59"/>
    <mergeCell ref="I57:I59"/>
    <mergeCell ref="D52:D53"/>
    <mergeCell ref="D55:D56"/>
    <mergeCell ref="D58:D59"/>
    <mergeCell ref="D67:D68"/>
    <mergeCell ref="D34:D35"/>
    <mergeCell ref="D37:D38"/>
    <mergeCell ref="D40:D41"/>
    <mergeCell ref="D43:D44"/>
    <mergeCell ref="D46:D47"/>
    <mergeCell ref="D49:D50"/>
    <mergeCell ref="K2:K3"/>
    <mergeCell ref="K4:K10"/>
    <mergeCell ref="B64:B65"/>
    <mergeCell ref="B67:B68"/>
    <mergeCell ref="B34:B35"/>
    <mergeCell ref="B37:B38"/>
    <mergeCell ref="B40:B41"/>
    <mergeCell ref="B43:B44"/>
    <mergeCell ref="B46:B47"/>
    <mergeCell ref="B49:B50"/>
    <mergeCell ref="B52:B53"/>
    <mergeCell ref="B55:B56"/>
    <mergeCell ref="B58:B59"/>
    <mergeCell ref="B61:B62"/>
    <mergeCell ref="D61:D62"/>
    <mergeCell ref="D64:D65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B8E6A-C56C-496A-B50A-78B67A5025A7}">
  <dimension ref="A2:Y107"/>
  <sheetViews>
    <sheetView topLeftCell="K1" zoomScale="70" zoomScaleNormal="70" workbookViewId="0">
      <selection activeCell="H107" sqref="H107"/>
    </sheetView>
  </sheetViews>
  <sheetFormatPr defaultRowHeight="14.45"/>
  <cols>
    <col min="1" max="1" width="11.7109375" bestFit="1" customWidth="1"/>
    <col min="2" max="2" width="32.28515625" bestFit="1" customWidth="1"/>
    <col min="3" max="4" width="16.42578125" bestFit="1" customWidth="1"/>
    <col min="5" max="5" width="26.42578125" bestFit="1" customWidth="1"/>
    <col min="6" max="6" width="15.42578125" bestFit="1" customWidth="1"/>
    <col min="7" max="7" width="19.42578125" bestFit="1" customWidth="1"/>
    <col min="8" max="8" width="27.5703125" bestFit="1" customWidth="1"/>
    <col min="9" max="9" width="15.42578125" bestFit="1" customWidth="1"/>
    <col min="10" max="10" width="14" bestFit="1" customWidth="1"/>
    <col min="11" max="11" width="26.42578125" bestFit="1" customWidth="1"/>
    <col min="12" max="12" width="20.5703125" bestFit="1" customWidth="1"/>
    <col min="13" max="13" width="14" bestFit="1" customWidth="1"/>
    <col min="14" max="14" width="26.42578125" bestFit="1" customWidth="1"/>
    <col min="15" max="15" width="14" bestFit="1" customWidth="1"/>
    <col min="17" max="17" width="26.42578125" bestFit="1" customWidth="1"/>
    <col min="18" max="18" width="14.42578125" bestFit="1" customWidth="1"/>
    <col min="20" max="20" width="26.42578125" bestFit="1" customWidth="1"/>
    <col min="21" max="21" width="14.42578125" bestFit="1" customWidth="1"/>
  </cols>
  <sheetData>
    <row r="2" spans="2:21">
      <c r="B2" s="476" t="s">
        <v>81</v>
      </c>
      <c r="C2" s="477"/>
      <c r="E2" s="288" t="s">
        <v>82</v>
      </c>
      <c r="F2" s="288"/>
      <c r="H2" s="289" t="s">
        <v>143</v>
      </c>
      <c r="I2" s="289"/>
      <c r="K2" s="288" t="s">
        <v>144</v>
      </c>
      <c r="L2" s="288"/>
      <c r="N2" s="289" t="s">
        <v>145</v>
      </c>
      <c r="O2" s="289"/>
      <c r="Q2" s="289" t="s">
        <v>146</v>
      </c>
      <c r="R2" s="289"/>
      <c r="T2" s="474" t="s">
        <v>147</v>
      </c>
      <c r="U2" s="475"/>
    </row>
    <row r="3" spans="2:21">
      <c r="B3" s="290" t="s">
        <v>148</v>
      </c>
      <c r="C3" s="290">
        <v>1703</v>
      </c>
      <c r="E3" s="290" t="s">
        <v>148</v>
      </c>
      <c r="F3" s="290">
        <v>1703</v>
      </c>
      <c r="H3" s="181" t="s">
        <v>148</v>
      </c>
      <c r="I3" s="181">
        <v>1703</v>
      </c>
      <c r="K3" s="181" t="s">
        <v>148</v>
      </c>
      <c r="L3" s="181">
        <v>1703</v>
      </c>
      <c r="N3" s="181" t="s">
        <v>148</v>
      </c>
      <c r="O3" s="181">
        <v>1703</v>
      </c>
      <c r="Q3" s="181" t="s">
        <v>148</v>
      </c>
      <c r="R3" s="181">
        <v>1703</v>
      </c>
      <c r="T3" s="365" t="s">
        <v>148</v>
      </c>
      <c r="U3" s="365">
        <v>1703</v>
      </c>
    </row>
    <row r="4" spans="2:21">
      <c r="B4" s="181" t="s">
        <v>149</v>
      </c>
      <c r="C4" s="181">
        <v>2.81</v>
      </c>
      <c r="E4" s="181" t="s">
        <v>149</v>
      </c>
      <c r="F4" s="181">
        <v>2.81</v>
      </c>
      <c r="H4" s="181" t="s">
        <v>149</v>
      </c>
      <c r="I4" s="181">
        <v>2.81</v>
      </c>
      <c r="K4" s="181" t="s">
        <v>149</v>
      </c>
      <c r="L4" s="181">
        <v>2.81</v>
      </c>
      <c r="N4" s="181" t="s">
        <v>149</v>
      </c>
      <c r="O4" s="181">
        <v>2.81</v>
      </c>
      <c r="Q4" s="181" t="s">
        <v>149</v>
      </c>
      <c r="R4" s="181">
        <v>2.81</v>
      </c>
      <c r="T4" s="365" t="s">
        <v>149</v>
      </c>
      <c r="U4" s="365">
        <v>2.81</v>
      </c>
    </row>
    <row r="5" spans="2:21">
      <c r="B5" s="181" t="s">
        <v>150</v>
      </c>
      <c r="C5" s="181">
        <v>0.8</v>
      </c>
      <c r="E5" s="181" t="s">
        <v>150</v>
      </c>
      <c r="F5" s="181">
        <v>0.8</v>
      </c>
      <c r="H5" s="181" t="s">
        <v>150</v>
      </c>
      <c r="I5" s="181">
        <v>0.8</v>
      </c>
      <c r="K5" s="181" t="s">
        <v>150</v>
      </c>
      <c r="L5" s="181">
        <v>0.8</v>
      </c>
      <c r="N5" s="181" t="s">
        <v>150</v>
      </c>
      <c r="O5" s="181">
        <v>0.8</v>
      </c>
      <c r="Q5" s="181" t="s">
        <v>150</v>
      </c>
      <c r="R5" s="181">
        <v>0.8</v>
      </c>
      <c r="T5" s="365" t="s">
        <v>150</v>
      </c>
      <c r="U5" s="365">
        <v>0.8</v>
      </c>
    </row>
    <row r="6" spans="2:21">
      <c r="B6" s="181" t="s">
        <v>151</v>
      </c>
      <c r="C6" s="181">
        <v>0</v>
      </c>
      <c r="E6" s="181" t="s">
        <v>151</v>
      </c>
      <c r="F6" s="181">
        <v>0</v>
      </c>
      <c r="H6" s="181" t="s">
        <v>151</v>
      </c>
      <c r="I6" s="181">
        <v>0</v>
      </c>
      <c r="K6" s="181" t="s">
        <v>151</v>
      </c>
      <c r="L6" s="181">
        <v>0</v>
      </c>
      <c r="N6" s="181" t="s">
        <v>151</v>
      </c>
      <c r="O6" s="181">
        <v>0</v>
      </c>
      <c r="Q6" s="181" t="s">
        <v>151</v>
      </c>
      <c r="R6" s="181">
        <v>0</v>
      </c>
      <c r="T6" s="365" t="s">
        <v>151</v>
      </c>
      <c r="U6" s="365">
        <v>0</v>
      </c>
    </row>
    <row r="7" spans="2:21">
      <c r="B7" s="181" t="s">
        <v>152</v>
      </c>
      <c r="C7" s="181">
        <f>(C5+C6)*C4</f>
        <v>2.2480000000000002</v>
      </c>
      <c r="E7" s="181" t="s">
        <v>152</v>
      </c>
      <c r="F7" s="181">
        <f>(F5+F6)*F4</f>
        <v>2.2480000000000002</v>
      </c>
      <c r="H7" s="181" t="s">
        <v>152</v>
      </c>
      <c r="I7" s="181">
        <f>(I5+I6)*I4</f>
        <v>2.2480000000000002</v>
      </c>
      <c r="K7" s="181" t="s">
        <v>152</v>
      </c>
      <c r="L7" s="181">
        <f>(L5+L6)*L4</f>
        <v>2.2480000000000002</v>
      </c>
      <c r="N7" s="181" t="s">
        <v>152</v>
      </c>
      <c r="O7" s="181">
        <f>(O5+O6)*O4</f>
        <v>2.2480000000000002</v>
      </c>
      <c r="Q7" s="181" t="s">
        <v>152</v>
      </c>
      <c r="R7" s="181">
        <f>(R5+R6)*R4</f>
        <v>2.2480000000000002</v>
      </c>
      <c r="T7" s="365" t="s">
        <v>152</v>
      </c>
      <c r="U7" s="365">
        <v>2.2480000000000002</v>
      </c>
    </row>
    <row r="8" spans="2:21">
      <c r="B8" s="48" t="s">
        <v>153</v>
      </c>
      <c r="C8" s="337">
        <f>-34521.58</f>
        <v>-34521.58</v>
      </c>
      <c r="E8" s="48" t="s">
        <v>153</v>
      </c>
      <c r="F8" s="338">
        <v>-2386.0815825059999</v>
      </c>
      <c r="H8" s="291" t="s">
        <v>153</v>
      </c>
      <c r="I8" s="363">
        <v>-4656.438924</v>
      </c>
      <c r="K8" s="48" t="s">
        <v>153</v>
      </c>
      <c r="L8" s="364">
        <v>-57.066167319999998</v>
      </c>
      <c r="N8" s="48" t="s">
        <v>153</v>
      </c>
      <c r="O8" s="48">
        <f>-5888.15</f>
        <v>-5888.15</v>
      </c>
      <c r="Q8" s="48" t="s">
        <v>153</v>
      </c>
      <c r="R8" s="48">
        <v>-1226.90678022</v>
      </c>
      <c r="T8" s="364" t="s">
        <v>153</v>
      </c>
      <c r="U8" s="376">
        <v>-278.37965500000001</v>
      </c>
    </row>
    <row r="9" spans="2:21">
      <c r="B9" s="36" t="s">
        <v>154</v>
      </c>
      <c r="C9" s="36">
        <v>600</v>
      </c>
      <c r="E9" s="36" t="s">
        <v>154</v>
      </c>
      <c r="F9" s="36">
        <v>600</v>
      </c>
      <c r="H9" s="36" t="s">
        <v>154</v>
      </c>
      <c r="I9" s="36">
        <v>600</v>
      </c>
      <c r="K9" s="36" t="s">
        <v>154</v>
      </c>
      <c r="L9" s="36">
        <v>600</v>
      </c>
      <c r="N9" s="36" t="s">
        <v>154</v>
      </c>
      <c r="O9" s="36">
        <v>600</v>
      </c>
      <c r="Q9" s="36" t="s">
        <v>154</v>
      </c>
      <c r="R9" s="36">
        <v>600</v>
      </c>
      <c r="T9" s="374" t="s">
        <v>154</v>
      </c>
      <c r="U9" s="374">
        <v>600</v>
      </c>
    </row>
    <row r="10" spans="2:21">
      <c r="B10" s="48" t="s">
        <v>155</v>
      </c>
      <c r="C10" s="48">
        <v>30</v>
      </c>
      <c r="E10" s="48" t="s">
        <v>155</v>
      </c>
      <c r="F10" s="48">
        <v>30</v>
      </c>
      <c r="H10" s="48" t="s">
        <v>155</v>
      </c>
      <c r="I10" s="48">
        <v>30</v>
      </c>
      <c r="K10" s="48" t="s">
        <v>155</v>
      </c>
      <c r="L10" s="48">
        <v>30</v>
      </c>
      <c r="N10" s="48" t="s">
        <v>155</v>
      </c>
      <c r="O10" s="48">
        <v>30</v>
      </c>
      <c r="Q10" s="48" t="s">
        <v>155</v>
      </c>
      <c r="R10" s="48">
        <v>30</v>
      </c>
      <c r="T10" s="364" t="s">
        <v>155</v>
      </c>
      <c r="U10" s="364">
        <v>30</v>
      </c>
    </row>
    <row r="11" spans="2:21">
      <c r="B11" s="48" t="s">
        <v>156</v>
      </c>
      <c r="C11" s="48">
        <v>45</v>
      </c>
      <c r="E11" s="48" t="s">
        <v>156</v>
      </c>
      <c r="F11" s="48">
        <v>45</v>
      </c>
      <c r="H11" s="48" t="s">
        <v>156</v>
      </c>
      <c r="I11" s="48">
        <v>45</v>
      </c>
      <c r="K11" s="48" t="s">
        <v>156</v>
      </c>
      <c r="L11" s="48">
        <v>45</v>
      </c>
      <c r="N11" s="48" t="s">
        <v>156</v>
      </c>
      <c r="O11" s="48">
        <v>45</v>
      </c>
      <c r="Q11" s="48" t="s">
        <v>156</v>
      </c>
      <c r="R11" s="48">
        <v>45</v>
      </c>
      <c r="T11" s="364" t="s">
        <v>156</v>
      </c>
      <c r="U11" s="364">
        <v>45</v>
      </c>
    </row>
    <row r="12" spans="2:21">
      <c r="B12" s="48" t="s">
        <v>157</v>
      </c>
      <c r="C12" s="48">
        <v>400.17155186105202</v>
      </c>
      <c r="E12" s="48" t="s">
        <v>157</v>
      </c>
      <c r="F12" s="48">
        <v>65</v>
      </c>
      <c r="H12" s="48" t="s">
        <v>157</v>
      </c>
      <c r="I12" s="48">
        <v>65</v>
      </c>
      <c r="K12" s="48" t="s">
        <v>157</v>
      </c>
      <c r="L12" s="48">
        <v>65</v>
      </c>
      <c r="N12" s="48" t="s">
        <v>157</v>
      </c>
      <c r="O12" s="48">
        <v>65</v>
      </c>
      <c r="Q12" s="48" t="s">
        <v>157</v>
      </c>
      <c r="R12" s="48">
        <v>65</v>
      </c>
      <c r="T12" s="364" t="s">
        <v>157</v>
      </c>
      <c r="U12" s="364">
        <v>65</v>
      </c>
    </row>
    <row r="13" spans="2:21">
      <c r="B13" s="48" t="s">
        <v>158</v>
      </c>
      <c r="C13" s="48">
        <v>65</v>
      </c>
      <c r="E13" s="48" t="s">
        <v>158</v>
      </c>
      <c r="F13" s="48">
        <v>55</v>
      </c>
      <c r="H13" s="48" t="s">
        <v>158</v>
      </c>
      <c r="I13" s="48">
        <v>55</v>
      </c>
      <c r="K13" s="48" t="s">
        <v>158</v>
      </c>
      <c r="L13" s="48">
        <v>55</v>
      </c>
      <c r="N13" s="48" t="s">
        <v>158</v>
      </c>
      <c r="O13" s="48">
        <v>55</v>
      </c>
      <c r="Q13" s="48" t="s">
        <v>158</v>
      </c>
      <c r="R13" s="48">
        <v>55</v>
      </c>
      <c r="T13" s="364" t="s">
        <v>158</v>
      </c>
      <c r="U13" s="364">
        <v>55</v>
      </c>
    </row>
    <row r="14" spans="2:21">
      <c r="B14" s="181" t="s">
        <v>159</v>
      </c>
      <c r="C14" s="181">
        <f>C12-C11</f>
        <v>355.17155186105202</v>
      </c>
      <c r="E14" s="181" t="s">
        <v>159</v>
      </c>
      <c r="F14" s="181">
        <f>F12-F11</f>
        <v>20</v>
      </c>
      <c r="H14" s="181" t="s">
        <v>159</v>
      </c>
      <c r="I14" s="181">
        <f>I12-I11</f>
        <v>20</v>
      </c>
      <c r="K14" s="181" t="s">
        <v>159</v>
      </c>
      <c r="L14" s="181">
        <f>L12-L11</f>
        <v>20</v>
      </c>
      <c r="N14" s="181" t="s">
        <v>159</v>
      </c>
      <c r="O14" s="181">
        <f>O12-O11</f>
        <v>20</v>
      </c>
      <c r="Q14" s="181" t="s">
        <v>159</v>
      </c>
      <c r="R14" s="181">
        <f>R12-R11</f>
        <v>20</v>
      </c>
      <c r="T14" s="365" t="s">
        <v>159</v>
      </c>
      <c r="U14" s="365">
        <v>20</v>
      </c>
    </row>
    <row r="15" spans="2:21">
      <c r="B15" s="181" t="s">
        <v>160</v>
      </c>
      <c r="C15" s="181">
        <f>ABS(C10-C13)</f>
        <v>35</v>
      </c>
      <c r="E15" s="181" t="s">
        <v>160</v>
      </c>
      <c r="F15" s="181">
        <f>ABS(F10-F13)</f>
        <v>25</v>
      </c>
      <c r="H15" s="181" t="s">
        <v>160</v>
      </c>
      <c r="I15" s="181">
        <f>ABS(I10-I13)</f>
        <v>25</v>
      </c>
      <c r="K15" s="181" t="s">
        <v>160</v>
      </c>
      <c r="L15" s="181">
        <f>ABS(L10-L13)</f>
        <v>25</v>
      </c>
      <c r="N15" s="181" t="s">
        <v>160</v>
      </c>
      <c r="O15" s="181">
        <f>ABS(O10-O13)</f>
        <v>25</v>
      </c>
      <c r="Q15" s="181" t="s">
        <v>160</v>
      </c>
      <c r="R15" s="181">
        <f>ABS(R10-R13)</f>
        <v>25</v>
      </c>
      <c r="T15" s="365" t="s">
        <v>160</v>
      </c>
      <c r="U15" s="365">
        <v>25</v>
      </c>
    </row>
    <row r="16" spans="2:21">
      <c r="B16" s="181" t="s">
        <v>161</v>
      </c>
      <c r="C16" s="181">
        <f>(C14-C15)/LN(C14/C15)</f>
        <v>138.16858658317861</v>
      </c>
      <c r="E16" s="181" t="s">
        <v>161</v>
      </c>
      <c r="F16" s="181">
        <f>(F14-F15)/LN(F14/F15)</f>
        <v>22.407100588622754</v>
      </c>
      <c r="H16" s="181" t="s">
        <v>161</v>
      </c>
      <c r="I16" s="181">
        <f>(I14-I15)/LN(I14/I15)</f>
        <v>22.407100588622754</v>
      </c>
      <c r="K16" s="181" t="s">
        <v>161</v>
      </c>
      <c r="L16" s="181">
        <f>(L14-L15)/LN(L14/L15)</f>
        <v>22.407100588622754</v>
      </c>
      <c r="N16" s="181" t="s">
        <v>161</v>
      </c>
      <c r="O16" s="181">
        <f>(O14-O15)/LN(O14/O15)</f>
        <v>22.407100588622754</v>
      </c>
      <c r="Q16" s="181" t="s">
        <v>161</v>
      </c>
      <c r="R16" s="181">
        <f>(R14-R15)/LN(R14/R15)</f>
        <v>22.407100588622754</v>
      </c>
      <c r="T16" s="365" t="s">
        <v>161</v>
      </c>
      <c r="U16" s="365">
        <v>22.407100589999999</v>
      </c>
    </row>
    <row r="17" spans="2:21">
      <c r="B17" s="181" t="s">
        <v>162</v>
      </c>
      <c r="C17" s="181">
        <f>ABS(C8*C16/C9)</f>
        <v>7949.6631920302116</v>
      </c>
      <c r="E17" s="181" t="s">
        <v>162</v>
      </c>
      <c r="F17" s="181">
        <f>ABS(F8*F16/F9)</f>
        <v>89.108616719786838</v>
      </c>
      <c r="H17" s="181" t="s">
        <v>162</v>
      </c>
      <c r="I17" s="181">
        <f>ABS(I8*I16/I9)</f>
        <v>173.89549225807716</v>
      </c>
      <c r="K17" s="181" t="s">
        <v>162</v>
      </c>
      <c r="L17" s="181">
        <f>ABS(L8*L16/L9)</f>
        <v>2.1311455855773609</v>
      </c>
      <c r="N17" s="181" t="s">
        <v>162</v>
      </c>
      <c r="O17" s="181">
        <f>ABS(O8*O16/O9)</f>
        <v>219.89394888483176</v>
      </c>
      <c r="Q17" s="181" t="s">
        <v>162</v>
      </c>
      <c r="R17" s="181">
        <f>ABS(R8*R16/R9)</f>
        <v>45.819039395421349</v>
      </c>
      <c r="T17" s="365" t="s">
        <v>162</v>
      </c>
      <c r="U17" s="365">
        <v>10.396134890000001</v>
      </c>
    </row>
    <row r="18" spans="2:21">
      <c r="B18" s="181" t="s">
        <v>163</v>
      </c>
      <c r="C18" s="181">
        <v>10.7639</v>
      </c>
      <c r="E18" s="181" t="s">
        <v>163</v>
      </c>
      <c r="F18" s="181">
        <v>10.7639</v>
      </c>
      <c r="H18" s="181" t="s">
        <v>163</v>
      </c>
      <c r="I18" s="181">
        <v>10.7639</v>
      </c>
      <c r="K18" s="181" t="s">
        <v>163</v>
      </c>
      <c r="L18" s="181">
        <v>10.7639</v>
      </c>
      <c r="N18" s="181" t="s">
        <v>163</v>
      </c>
      <c r="O18" s="181">
        <v>10.7639</v>
      </c>
      <c r="Q18" s="181" t="s">
        <v>163</v>
      </c>
      <c r="R18" s="181">
        <v>10.7639</v>
      </c>
      <c r="T18" s="365" t="s">
        <v>163</v>
      </c>
      <c r="U18" s="365">
        <v>10.7639</v>
      </c>
    </row>
    <row r="19" spans="2:21">
      <c r="B19" s="181" t="s">
        <v>164</v>
      </c>
      <c r="C19" s="181">
        <f>C17*C18</f>
        <v>85569.379632693992</v>
      </c>
      <c r="E19" s="181" t="s">
        <v>164</v>
      </c>
      <c r="F19" s="181">
        <f>F17*F18</f>
        <v>959.15623951011355</v>
      </c>
      <c r="H19" s="181" t="s">
        <v>164</v>
      </c>
      <c r="I19" s="181">
        <f>I17*I18</f>
        <v>1871.7936891167167</v>
      </c>
      <c r="K19" s="181" t="s">
        <v>164</v>
      </c>
      <c r="L19" s="181">
        <f>L17*L18</f>
        <v>22.939437968596152</v>
      </c>
      <c r="N19" s="181" t="s">
        <v>164</v>
      </c>
      <c r="O19" s="181">
        <f>O17*O18</f>
        <v>2366.9164764014404</v>
      </c>
      <c r="Q19" s="181" t="s">
        <v>164</v>
      </c>
      <c r="R19" s="181">
        <f>R17*R18</f>
        <v>493.19155814837586</v>
      </c>
      <c r="T19" s="365" t="s">
        <v>164</v>
      </c>
      <c r="U19" s="365">
        <v>111.9029563</v>
      </c>
    </row>
    <row r="20" spans="2:21">
      <c r="B20" s="181" t="s">
        <v>165</v>
      </c>
      <c r="C20" s="181">
        <f>(C3/280)*101.2*(C19^0.65)*(2.29+C7)</f>
        <v>4488575.8645579237</v>
      </c>
      <c r="E20" s="181" t="s">
        <v>165</v>
      </c>
      <c r="F20" s="181">
        <f>(F3/280)*101.2*(F19^0.65)*(2.29+F7)</f>
        <v>242286.77112686096</v>
      </c>
      <c r="H20" s="181" t="s">
        <v>165</v>
      </c>
      <c r="I20" s="181">
        <f>(I3/280)*101.2*(I19^0.65)*(2.29+I7)</f>
        <v>374170.29541894345</v>
      </c>
      <c r="K20" s="181" t="s">
        <v>165</v>
      </c>
      <c r="L20" s="181">
        <f>(L3/280)*101.2*(L19^0.65)*(2.29+L7)</f>
        <v>21403.284447221296</v>
      </c>
      <c r="N20" s="181" t="s">
        <v>165</v>
      </c>
      <c r="O20" s="181">
        <f>(O3/280)*101.2*(O19^0.65)*(2.29+O7)</f>
        <v>435833.41783329262</v>
      </c>
      <c r="Q20" s="181" t="s">
        <v>165</v>
      </c>
      <c r="R20" s="181">
        <f>(R3/280)*101.2*(R19^0.65)*(2.29+R7)</f>
        <v>157239.54662980727</v>
      </c>
      <c r="T20" s="365" t="s">
        <v>165</v>
      </c>
      <c r="U20" s="365">
        <v>59958.206660000003</v>
      </c>
    </row>
    <row r="21" spans="2:21">
      <c r="B21" s="292" t="s">
        <v>166</v>
      </c>
      <c r="C21" s="299">
        <f>C20/3</f>
        <v>1496191.9548526413</v>
      </c>
      <c r="E21" s="292" t="s">
        <v>166</v>
      </c>
      <c r="F21" s="292">
        <f>F20/3</f>
        <v>80762.25704228699</v>
      </c>
      <c r="H21" s="293" t="s">
        <v>166</v>
      </c>
      <c r="I21" s="293">
        <f>I20/3</f>
        <v>124723.43180631449</v>
      </c>
      <c r="K21" s="292" t="s">
        <v>166</v>
      </c>
      <c r="L21" s="292">
        <f>L20/3</f>
        <v>7134.4281490737658</v>
      </c>
      <c r="N21" s="292" t="s">
        <v>166</v>
      </c>
      <c r="O21" s="292">
        <f>O20/3</f>
        <v>145277.80594443087</v>
      </c>
      <c r="Q21" s="292" t="s">
        <v>166</v>
      </c>
      <c r="R21" s="292">
        <f>R20/3</f>
        <v>52413.18220993576</v>
      </c>
      <c r="T21" s="366" t="s">
        <v>166</v>
      </c>
      <c r="U21" s="366">
        <v>19986.068889999999</v>
      </c>
    </row>
    <row r="22" spans="2:21">
      <c r="B22" s="473" t="s">
        <v>167</v>
      </c>
      <c r="C22" s="473"/>
      <c r="E22" s="473" t="s">
        <v>167</v>
      </c>
      <c r="F22" s="473"/>
      <c r="H22" s="473" t="s">
        <v>167</v>
      </c>
      <c r="I22" s="473"/>
      <c r="K22" s="473" t="s">
        <v>167</v>
      </c>
      <c r="L22" s="473"/>
      <c r="N22" s="473" t="s">
        <v>167</v>
      </c>
      <c r="O22" s="473"/>
      <c r="Q22" s="473" t="s">
        <v>167</v>
      </c>
      <c r="R22" s="473"/>
      <c r="T22" s="375" t="s">
        <v>168</v>
      </c>
      <c r="U22" s="362">
        <v>931.43</v>
      </c>
    </row>
    <row r="23" spans="2:21">
      <c r="B23" s="28" t="s">
        <v>169</v>
      </c>
      <c r="C23" s="28">
        <v>63</v>
      </c>
      <c r="E23" s="28" t="s">
        <v>169</v>
      </c>
      <c r="F23" s="28">
        <v>63</v>
      </c>
      <c r="H23" s="28" t="s">
        <v>169</v>
      </c>
      <c r="I23" s="28">
        <v>63</v>
      </c>
      <c r="K23" s="28" t="s">
        <v>169</v>
      </c>
      <c r="L23" s="28">
        <v>63</v>
      </c>
      <c r="N23" s="28" t="s">
        <v>169</v>
      </c>
      <c r="O23" s="28">
        <v>63</v>
      </c>
      <c r="Q23" s="28" t="s">
        <v>169</v>
      </c>
      <c r="R23" s="28">
        <v>63</v>
      </c>
    </row>
    <row r="24" spans="2:21">
      <c r="B24" s="28" t="s">
        <v>170</v>
      </c>
      <c r="C24" s="28">
        <v>7211</v>
      </c>
      <c r="E24" s="28" t="s">
        <v>170</v>
      </c>
      <c r="F24" s="28">
        <v>7211</v>
      </c>
      <c r="H24" s="28" t="s">
        <v>170</v>
      </c>
      <c r="I24" s="28">
        <v>7211</v>
      </c>
      <c r="K24" s="28" t="s">
        <v>170</v>
      </c>
      <c r="L24" s="28">
        <v>7211</v>
      </c>
      <c r="N24" s="28" t="s">
        <v>170</v>
      </c>
      <c r="O24" s="28">
        <v>7211</v>
      </c>
      <c r="Q24" s="28" t="s">
        <v>170</v>
      </c>
      <c r="R24" s="28">
        <v>7211</v>
      </c>
    </row>
    <row r="25" spans="2:21">
      <c r="B25" s="28" t="s">
        <v>171</v>
      </c>
      <c r="C25" s="28">
        <v>3600</v>
      </c>
      <c r="E25" s="28" t="s">
        <v>171</v>
      </c>
      <c r="F25" s="28">
        <v>3600</v>
      </c>
      <c r="H25" s="28" t="s">
        <v>171</v>
      </c>
      <c r="I25" s="28">
        <v>3600</v>
      </c>
      <c r="K25" s="28" t="s">
        <v>171</v>
      </c>
      <c r="L25" s="28">
        <v>3600</v>
      </c>
      <c r="N25" s="28" t="s">
        <v>171</v>
      </c>
      <c r="O25" s="28">
        <v>3600</v>
      </c>
      <c r="Q25" s="28" t="s">
        <v>171</v>
      </c>
      <c r="R25" s="28">
        <v>3600</v>
      </c>
    </row>
    <row r="26" spans="2:21">
      <c r="B26" s="28" t="s">
        <v>172</v>
      </c>
      <c r="C26" s="28">
        <f>8.12*10^-6</f>
        <v>8.1199999999999985E-6</v>
      </c>
      <c r="E26" s="28" t="s">
        <v>172</v>
      </c>
      <c r="F26" s="28">
        <f>8.12*10^-6</f>
        <v>8.1199999999999985E-6</v>
      </c>
      <c r="H26" s="28" t="s">
        <v>172</v>
      </c>
      <c r="I26" s="28">
        <f>8.12*10^-6</f>
        <v>8.1199999999999985E-6</v>
      </c>
      <c r="K26" s="28" t="s">
        <v>172</v>
      </c>
      <c r="L26" s="28">
        <f>8.12*10^-6</f>
        <v>8.1199999999999985E-6</v>
      </c>
      <c r="N26" s="28" t="s">
        <v>172</v>
      </c>
      <c r="O26" s="28">
        <f>8.12*10^-6</f>
        <v>8.1199999999999985E-6</v>
      </c>
      <c r="Q26" s="28" t="s">
        <v>172</v>
      </c>
      <c r="R26" s="28">
        <f>8.12*10^-6</f>
        <v>8.1199999999999985E-6</v>
      </c>
    </row>
    <row r="27" spans="2:21">
      <c r="B27" s="39" t="s">
        <v>168</v>
      </c>
      <c r="C27" s="294">
        <f>(-C8/C23)*C24*C25*C26</f>
        <v>115505.89260831998</v>
      </c>
      <c r="E27" s="39" t="s">
        <v>168</v>
      </c>
      <c r="F27" s="294">
        <f>(-F8/F23)*F24*F25*F26</f>
        <v>7983.5999112331529</v>
      </c>
      <c r="H27" s="39" t="s">
        <v>168</v>
      </c>
      <c r="I27" s="294">
        <f>(-I8/I23)*I24*I25*I26</f>
        <v>15579.997621567292</v>
      </c>
      <c r="K27" s="39" t="s">
        <v>168</v>
      </c>
      <c r="L27" s="294">
        <f>(-L8/L23)*L24*L25*L26</f>
        <v>190.93791750065725</v>
      </c>
      <c r="N27" s="39" t="s">
        <v>168</v>
      </c>
      <c r="O27" s="294">
        <f>(-O8/O23)*O24*O25*O26</f>
        <v>19701.184637599992</v>
      </c>
      <c r="Q27" s="39" t="s">
        <v>168</v>
      </c>
      <c r="R27" s="294">
        <f>(-R8/R23)*R24*R25*R26</f>
        <v>4105.1123035652181</v>
      </c>
    </row>
    <row r="30" spans="2:21">
      <c r="B30" s="289" t="s">
        <v>87</v>
      </c>
      <c r="C30" s="289"/>
      <c r="E30" s="288" t="s">
        <v>89</v>
      </c>
      <c r="F30" s="288"/>
      <c r="H30" s="341" t="s">
        <v>173</v>
      </c>
      <c r="I30" s="342">
        <v>0.04</v>
      </c>
      <c r="K30" s="324" t="s">
        <v>174</v>
      </c>
      <c r="L30" s="324" t="s">
        <v>175</v>
      </c>
      <c r="M30" s="324" t="s">
        <v>176</v>
      </c>
      <c r="N30" s="324" t="s">
        <v>177</v>
      </c>
      <c r="O30" s="324" t="s">
        <v>174</v>
      </c>
    </row>
    <row r="31" spans="2:21">
      <c r="B31" s="181" t="s">
        <v>148</v>
      </c>
      <c r="C31" s="181">
        <v>1703</v>
      </c>
      <c r="E31" s="181" t="s">
        <v>148</v>
      </c>
      <c r="F31" s="181">
        <v>1703</v>
      </c>
      <c r="H31" s="341" t="s">
        <v>178</v>
      </c>
      <c r="I31" s="342">
        <f>I30/I32</f>
        <v>5.3640883583801133E-2</v>
      </c>
      <c r="K31" s="292">
        <v>253</v>
      </c>
      <c r="L31" s="292">
        <v>713.4</v>
      </c>
      <c r="M31" s="292">
        <v>4.5199999999999996</v>
      </c>
      <c r="N31" s="292">
        <v>600</v>
      </c>
      <c r="O31" s="292">
        <v>253</v>
      </c>
    </row>
    <row r="32" spans="2:21">
      <c r="B32" s="181" t="s">
        <v>149</v>
      </c>
      <c r="C32" s="181">
        <v>0</v>
      </c>
      <c r="E32" s="181" t="s">
        <v>149</v>
      </c>
      <c r="F32" s="181">
        <v>2.81</v>
      </c>
      <c r="H32" s="341" t="s">
        <v>179</v>
      </c>
      <c r="I32" s="343">
        <v>0.74569987158227002</v>
      </c>
      <c r="K32" s="292">
        <v>207</v>
      </c>
      <c r="L32" s="292">
        <v>822.7</v>
      </c>
      <c r="M32" s="292">
        <v>3.72</v>
      </c>
      <c r="N32" s="292">
        <v>250</v>
      </c>
      <c r="O32" s="292">
        <v>207</v>
      </c>
    </row>
    <row r="33" spans="2:15">
      <c r="B33" s="181" t="s">
        <v>150</v>
      </c>
      <c r="C33" s="181">
        <v>1</v>
      </c>
      <c r="E33" s="181" t="s">
        <v>150</v>
      </c>
      <c r="F33" s="181">
        <v>1.35</v>
      </c>
      <c r="H33" s="341" t="s">
        <v>180</v>
      </c>
      <c r="I33" s="342">
        <v>0.12</v>
      </c>
      <c r="K33" s="292">
        <v>186</v>
      </c>
      <c r="L33" s="292">
        <v>857.7</v>
      </c>
      <c r="M33" s="292">
        <v>3.4</v>
      </c>
      <c r="N33" s="292">
        <v>150</v>
      </c>
      <c r="O33" s="292">
        <v>186</v>
      </c>
    </row>
    <row r="34" spans="2:15">
      <c r="B34" s="181" t="s">
        <v>151</v>
      </c>
      <c r="C34" s="181">
        <v>0</v>
      </c>
      <c r="E34" s="181" t="s">
        <v>151</v>
      </c>
      <c r="F34" s="181">
        <v>0</v>
      </c>
      <c r="H34" s="341"/>
      <c r="I34" s="342">
        <f>I31/I33</f>
        <v>0.44700736319834278</v>
      </c>
      <c r="K34" s="292">
        <v>147</v>
      </c>
      <c r="L34" s="292">
        <v>914.1</v>
      </c>
      <c r="M34" s="292">
        <v>2.8</v>
      </c>
      <c r="N34" s="292">
        <v>50</v>
      </c>
      <c r="O34" s="292">
        <v>147</v>
      </c>
    </row>
    <row r="35" spans="2:15">
      <c r="B35" s="181" t="s">
        <v>152</v>
      </c>
      <c r="C35" s="181">
        <f>C32+C33+C34</f>
        <v>1</v>
      </c>
      <c r="E35" s="181" t="s">
        <v>152</v>
      </c>
      <c r="F35" s="181">
        <f>(F33+F34)*F32</f>
        <v>3.7935000000000003</v>
      </c>
      <c r="H35" s="341" t="s">
        <v>181</v>
      </c>
      <c r="I35" s="342">
        <v>0.5</v>
      </c>
      <c r="K35" s="292">
        <v>120</v>
      </c>
      <c r="L35" s="292">
        <v>948.1</v>
      </c>
      <c r="M35" s="292">
        <v>2.2799999999999998</v>
      </c>
      <c r="N35" s="292">
        <v>15</v>
      </c>
      <c r="O35" s="292">
        <v>120</v>
      </c>
    </row>
    <row r="36" spans="2:15">
      <c r="B36" s="295" t="s">
        <v>153</v>
      </c>
      <c r="C36" s="295">
        <v>51942.2</v>
      </c>
      <c r="E36" s="48" t="s">
        <v>153</v>
      </c>
      <c r="F36" s="48">
        <v>270.32719762692</v>
      </c>
      <c r="H36" s="341"/>
      <c r="I36" s="342"/>
    </row>
    <row r="37" spans="2:15">
      <c r="B37" s="295" t="s">
        <v>182</v>
      </c>
      <c r="C37" s="295">
        <f>C46</f>
        <v>177.2341431362612</v>
      </c>
      <c r="E37" s="48"/>
      <c r="F37" s="48"/>
      <c r="H37" s="341" t="s">
        <v>183</v>
      </c>
      <c r="I37" s="342">
        <f>I35*I34</f>
        <v>0.22350368159917139</v>
      </c>
    </row>
    <row r="38" spans="2:15">
      <c r="B38" s="181" t="s">
        <v>154</v>
      </c>
      <c r="C38" s="181">
        <v>900</v>
      </c>
      <c r="E38" s="36" t="s">
        <v>154</v>
      </c>
      <c r="F38" s="36">
        <v>900</v>
      </c>
    </row>
    <row r="39" spans="2:15">
      <c r="B39" s="181" t="s">
        <v>184</v>
      </c>
      <c r="C39" s="181">
        <f>L61</f>
        <v>0</v>
      </c>
      <c r="E39" s="48" t="s">
        <v>184</v>
      </c>
      <c r="F39" s="48">
        <f>F57</f>
        <v>253</v>
      </c>
    </row>
    <row r="40" spans="2:15">
      <c r="B40" s="181" t="s">
        <v>157</v>
      </c>
      <c r="C40" s="181">
        <v>52.670388643251002</v>
      </c>
      <c r="E40" s="48" t="s">
        <v>157</v>
      </c>
      <c r="F40" s="48">
        <v>145.88304626480601</v>
      </c>
    </row>
    <row r="41" spans="2:15">
      <c r="B41" s="181" t="s">
        <v>158</v>
      </c>
      <c r="C41" s="181">
        <v>456.85</v>
      </c>
      <c r="E41" s="48" t="s">
        <v>158</v>
      </c>
      <c r="F41" s="48">
        <v>192</v>
      </c>
    </row>
    <row r="42" spans="2:15">
      <c r="B42" s="181" t="s">
        <v>159</v>
      </c>
      <c r="C42" s="181">
        <f>C40-C39</f>
        <v>52.670388643251002</v>
      </c>
      <c r="E42" s="181" t="s">
        <v>159</v>
      </c>
      <c r="F42" s="181">
        <f>F40-F39</f>
        <v>-107.11695373519399</v>
      </c>
      <c r="N42" s="339"/>
    </row>
    <row r="43" spans="2:15">
      <c r="B43" s="181" t="s">
        <v>160</v>
      </c>
      <c r="C43" s="181">
        <f>C41-C39</f>
        <v>456.85</v>
      </c>
      <c r="E43" s="181" t="s">
        <v>160</v>
      </c>
      <c r="F43" s="181">
        <f>F41-F39</f>
        <v>-61</v>
      </c>
      <c r="N43" s="61"/>
    </row>
    <row r="44" spans="2:15">
      <c r="B44" s="181" t="s">
        <v>185</v>
      </c>
      <c r="C44" s="181">
        <f>4</f>
        <v>4</v>
      </c>
      <c r="E44" s="181" t="s">
        <v>161</v>
      </c>
      <c r="F44" s="181">
        <f>(F42-F43)/LN(F42/F43)</f>
        <v>-81.905988416846029</v>
      </c>
      <c r="N44" s="61"/>
    </row>
    <row r="45" spans="2:15">
      <c r="B45" s="296" t="s">
        <v>186</v>
      </c>
      <c r="C45" s="301">
        <v>3.4121416331280002E-3</v>
      </c>
      <c r="E45" s="181" t="s">
        <v>162</v>
      </c>
      <c r="F45" s="181">
        <f>ABS(F36*F44/F38)</f>
        <v>24.601573686209949</v>
      </c>
      <c r="N45" s="61"/>
    </row>
    <row r="46" spans="2:15">
      <c r="B46" s="181" t="s">
        <v>182</v>
      </c>
      <c r="C46" s="181">
        <f>C36*C45</f>
        <v>177.2341431362612</v>
      </c>
      <c r="E46" s="181" t="s">
        <v>163</v>
      </c>
      <c r="F46" s="181">
        <v>10.7639</v>
      </c>
      <c r="N46" s="61"/>
    </row>
    <row r="47" spans="2:15">
      <c r="B47" s="181" t="s">
        <v>187</v>
      </c>
      <c r="C47" s="181">
        <v>7211</v>
      </c>
      <c r="E47" s="181" t="s">
        <v>164</v>
      </c>
      <c r="F47" s="181">
        <f>F45*F46</f>
        <v>264.80887900099526</v>
      </c>
      <c r="N47" s="61"/>
    </row>
    <row r="48" spans="2:15">
      <c r="B48" s="181" t="s">
        <v>188</v>
      </c>
      <c r="C48" s="181">
        <f>C44*C46*C47</f>
        <v>5112141.624622318</v>
      </c>
      <c r="E48" s="293" t="s">
        <v>165</v>
      </c>
      <c r="F48" s="293">
        <f>(F31/280)*101.2*(F47^0.65)*(2.29+F35)</f>
        <v>140700.87373507852</v>
      </c>
      <c r="N48" s="61"/>
    </row>
    <row r="49" spans="2:14">
      <c r="B49" s="293" t="s">
        <v>165</v>
      </c>
      <c r="C49" s="293">
        <f>(C31/280)*5520*((C37)^0.85)*(1.27+C35)</f>
        <v>6212792.2720247237</v>
      </c>
      <c r="E49" s="293" t="s">
        <v>166</v>
      </c>
      <c r="F49" s="293">
        <f>F48/3</f>
        <v>46900.291245026172</v>
      </c>
      <c r="N49" s="61"/>
    </row>
    <row r="50" spans="2:14">
      <c r="B50" s="293" t="s">
        <v>166</v>
      </c>
      <c r="C50" s="293">
        <f>C49/3</f>
        <v>2070930.7573415746</v>
      </c>
    </row>
    <row r="51" spans="2:14">
      <c r="E51" s="424" t="s">
        <v>189</v>
      </c>
      <c r="F51" s="424"/>
    </row>
    <row r="52" spans="2:14">
      <c r="E52" s="48" t="s">
        <v>190</v>
      </c>
      <c r="F52" s="295">
        <f>3412.142*F36</f>
        <v>922394.78476511396</v>
      </c>
    </row>
    <row r="53" spans="2:14">
      <c r="E53" s="181" t="s">
        <v>191</v>
      </c>
      <c r="F53" s="181">
        <f>IF(F40&gt;F41,F40,F41)</f>
        <v>192</v>
      </c>
    </row>
    <row r="54" spans="2:14">
      <c r="E54" s="181" t="s">
        <v>192</v>
      </c>
      <c r="F54" s="181">
        <f>F53+20</f>
        <v>212</v>
      </c>
    </row>
    <row r="55" spans="2:14">
      <c r="E55" s="181" t="s">
        <v>175</v>
      </c>
      <c r="F55" s="181">
        <f>IF(F54&lt;$K$35,$L$35,IF(F54&lt;$K$34,$L$34,IF(F54&lt;$K$33,$L$33,IF(F54&lt;$K$32,$L$32,IF(F54&lt;$K$31,$L$31,0)))))</f>
        <v>713.4</v>
      </c>
      <c r="H55" s="419"/>
      <c r="I55" s="419"/>
    </row>
    <row r="56" spans="2:14">
      <c r="E56" s="181" t="s">
        <v>193</v>
      </c>
      <c r="F56" s="181">
        <f>VLOOKUP(F55,$L$31:$N$35,2,FALSE)</f>
        <v>4.5199999999999996</v>
      </c>
    </row>
    <row r="57" spans="2:14">
      <c r="E57" s="296" t="s">
        <v>194</v>
      </c>
      <c r="F57" s="340">
        <f>VLOOKUP(F55,$L$31:$O$35,4,FALSE)</f>
        <v>253</v>
      </c>
    </row>
    <row r="58" spans="2:14">
      <c r="E58" s="181" t="s">
        <v>195</v>
      </c>
      <c r="F58" s="181">
        <f>VLOOKUP(F55,$L$31:$N$35,3,FALSE)</f>
        <v>600</v>
      </c>
    </row>
    <row r="59" spans="2:14">
      <c r="E59" s="181" t="s">
        <v>196</v>
      </c>
      <c r="F59" s="181">
        <f>F52/F55</f>
        <v>1292.9559640666021</v>
      </c>
    </row>
    <row r="60" spans="2:14">
      <c r="E60" s="181" t="s">
        <v>197</v>
      </c>
      <c r="F60" s="181">
        <f>F56*(F59/1000)</f>
        <v>5.8441609575810407</v>
      </c>
    </row>
    <row r="61" spans="2:14">
      <c r="E61" s="16" t="s">
        <v>189</v>
      </c>
      <c r="F61" s="16">
        <f>F60*7211</f>
        <v>42142.244665116887</v>
      </c>
    </row>
    <row r="66" spans="1:25">
      <c r="B66" t="s">
        <v>198</v>
      </c>
    </row>
    <row r="68" spans="1:25">
      <c r="A68" t="s">
        <v>199</v>
      </c>
      <c r="B68" s="259" t="s">
        <v>200</v>
      </c>
      <c r="C68" s="260"/>
      <c r="D68" s="260" t="s">
        <v>201</v>
      </c>
      <c r="E68" s="260" t="s">
        <v>129</v>
      </c>
      <c r="G68" s="259" t="s">
        <v>202</v>
      </c>
      <c r="H68" s="260"/>
      <c r="I68" s="260" t="s">
        <v>201</v>
      </c>
      <c r="J68" s="260" t="s">
        <v>129</v>
      </c>
      <c r="K68" s="41"/>
      <c r="L68" s="259" t="s">
        <v>203</v>
      </c>
      <c r="M68" s="260"/>
      <c r="N68" s="262" t="s">
        <v>204</v>
      </c>
      <c r="O68" s="262" t="s">
        <v>129</v>
      </c>
      <c r="Q68" s="259" t="s">
        <v>205</v>
      </c>
      <c r="R68" s="260"/>
      <c r="S68" s="262" t="s">
        <v>204</v>
      </c>
      <c r="T68" s="262" t="s">
        <v>129</v>
      </c>
    </row>
    <row r="69" spans="1:25">
      <c r="B69" s="261" t="s">
        <v>206</v>
      </c>
      <c r="C69" s="261">
        <v>19097.807774577232</v>
      </c>
      <c r="D69" s="261">
        <v>102.25</v>
      </c>
      <c r="E69" s="261">
        <v>94.266066655110507</v>
      </c>
      <c r="G69" s="261" t="s">
        <v>89</v>
      </c>
      <c r="H69" s="261">
        <v>27392.283737676</v>
      </c>
      <c r="I69" s="261">
        <v>100.3</v>
      </c>
      <c r="J69" s="261">
        <v>99.430235942047148</v>
      </c>
      <c r="L69" s="261" t="s">
        <v>207</v>
      </c>
      <c r="M69" s="261">
        <v>40645.24671904093</v>
      </c>
      <c r="N69" s="263">
        <v>400.15</v>
      </c>
      <c r="O69" s="263">
        <v>355.12747846682436</v>
      </c>
      <c r="Q69" s="261" t="s">
        <v>207</v>
      </c>
      <c r="R69" s="261">
        <v>26963.776414902939</v>
      </c>
      <c r="S69" s="264">
        <v>355.13</v>
      </c>
      <c r="T69" s="263">
        <v>157.5</v>
      </c>
    </row>
    <row r="70" spans="1:25">
      <c r="B70" s="261" t="s">
        <v>208</v>
      </c>
      <c r="C70" s="261">
        <v>5154.6864200722466</v>
      </c>
      <c r="D70" s="261">
        <v>52.67</v>
      </c>
      <c r="E70" s="261">
        <v>82.25</v>
      </c>
      <c r="G70" s="261" t="s">
        <v>209</v>
      </c>
      <c r="H70" s="270">
        <v>674.92418867640004</v>
      </c>
      <c r="I70" s="261">
        <v>78.680000000000007</v>
      </c>
      <c r="J70" s="261">
        <v>79.680000000000007</v>
      </c>
      <c r="K70" s="70"/>
      <c r="L70" s="261" t="s">
        <v>208</v>
      </c>
      <c r="M70" s="261">
        <v>6142.7551151976568</v>
      </c>
      <c r="N70" s="264">
        <v>102.25</v>
      </c>
      <c r="O70" s="263">
        <v>137.5</v>
      </c>
      <c r="Q70" s="261" t="s">
        <v>210</v>
      </c>
      <c r="R70" s="261">
        <v>36075.888477323999</v>
      </c>
      <c r="S70" s="263">
        <v>137.5</v>
      </c>
      <c r="T70" s="263">
        <v>180.62603139678251</v>
      </c>
    </row>
    <row r="71" spans="1:25">
      <c r="B71" s="261" t="s">
        <v>137</v>
      </c>
      <c r="C71" s="261">
        <v>5154.6864200722466</v>
      </c>
      <c r="D71" s="261"/>
      <c r="E71" s="261"/>
      <c r="G71" s="261" t="s">
        <v>137</v>
      </c>
      <c r="H71" s="270">
        <v>674.92418867640004</v>
      </c>
      <c r="I71" s="261"/>
      <c r="J71" s="261"/>
      <c r="K71" s="70"/>
      <c r="L71" s="261" t="s">
        <v>137</v>
      </c>
      <c r="M71" s="261">
        <v>6142.7551151976568</v>
      </c>
      <c r="N71" s="263"/>
      <c r="O71" s="264"/>
      <c r="Q71" s="261" t="s">
        <v>137</v>
      </c>
      <c r="R71" s="261">
        <v>26963.776414902939</v>
      </c>
      <c r="S71" s="263"/>
      <c r="T71" s="264"/>
    </row>
    <row r="72" spans="1:25">
      <c r="H72" s="70"/>
      <c r="K72" s="70"/>
      <c r="Q72" s="70"/>
    </row>
    <row r="73" spans="1:25">
      <c r="X73" s="36" t="s">
        <v>211</v>
      </c>
      <c r="Y73" s="298"/>
    </row>
    <row r="74" spans="1:25">
      <c r="A74" t="s">
        <v>212</v>
      </c>
      <c r="B74" s="260"/>
      <c r="C74" s="259" t="s">
        <v>200</v>
      </c>
      <c r="G74" s="260"/>
      <c r="H74" s="344" t="s">
        <v>202</v>
      </c>
      <c r="K74" s="70"/>
      <c r="L74" s="260"/>
      <c r="M74" s="259" t="s">
        <v>203</v>
      </c>
      <c r="O74" s="41"/>
      <c r="Q74" s="260"/>
      <c r="R74" s="259" t="s">
        <v>205</v>
      </c>
      <c r="X74" s="435" t="s">
        <v>87</v>
      </c>
      <c r="Y74" s="141" t="s">
        <v>81</v>
      </c>
    </row>
    <row r="75" spans="1:25">
      <c r="B75" s="181" t="s">
        <v>213</v>
      </c>
      <c r="C75" s="181">
        <f>C71</f>
        <v>5154.6864200722466</v>
      </c>
      <c r="G75" s="290" t="s">
        <v>213</v>
      </c>
      <c r="H75" s="181">
        <f>H71</f>
        <v>674.92418867640004</v>
      </c>
      <c r="K75" s="70"/>
      <c r="L75" s="290" t="s">
        <v>213</v>
      </c>
      <c r="M75" s="290">
        <f>M71</f>
        <v>6142.7551151976568</v>
      </c>
      <c r="Q75" s="290" t="s">
        <v>213</v>
      </c>
      <c r="R75" s="290">
        <f>R71</f>
        <v>26963.776414902939</v>
      </c>
      <c r="X75" s="435"/>
      <c r="Y75" s="141" t="s">
        <v>82</v>
      </c>
    </row>
    <row r="76" spans="1:25">
      <c r="B76" s="181" t="s">
        <v>214</v>
      </c>
      <c r="C76" s="184">
        <f>D69</f>
        <v>102.25</v>
      </c>
      <c r="G76" s="181" t="s">
        <v>214</v>
      </c>
      <c r="H76" s="184">
        <f>I69</f>
        <v>100.3</v>
      </c>
      <c r="L76" s="181" t="s">
        <v>214</v>
      </c>
      <c r="M76" s="184">
        <f>N69</f>
        <v>400.15</v>
      </c>
      <c r="Q76" s="181" t="s">
        <v>214</v>
      </c>
      <c r="R76" s="184">
        <f>S69</f>
        <v>355.13</v>
      </c>
      <c r="X76" s="435"/>
      <c r="Y76" s="141" t="s">
        <v>143</v>
      </c>
    </row>
    <row r="77" spans="1:25">
      <c r="B77" s="181" t="s">
        <v>215</v>
      </c>
      <c r="C77" s="184">
        <f>E70</f>
        <v>82.25</v>
      </c>
      <c r="G77" s="181" t="s">
        <v>215</v>
      </c>
      <c r="H77" s="184">
        <f>J70</f>
        <v>79.680000000000007</v>
      </c>
      <c r="L77" s="181" t="s">
        <v>215</v>
      </c>
      <c r="M77" s="184">
        <f>O70</f>
        <v>137.5</v>
      </c>
      <c r="Q77" s="181" t="s">
        <v>215</v>
      </c>
      <c r="R77" s="184">
        <f>T70</f>
        <v>180.62603139678251</v>
      </c>
      <c r="X77" s="410" t="s">
        <v>89</v>
      </c>
      <c r="Y77" s="141" t="s">
        <v>144</v>
      </c>
    </row>
    <row r="78" spans="1:25">
      <c r="B78" s="181" t="s">
        <v>216</v>
      </c>
      <c r="C78" s="184">
        <f>C76-C77</f>
        <v>20</v>
      </c>
      <c r="G78" s="181" t="s">
        <v>216</v>
      </c>
      <c r="H78" s="184">
        <f>H76-H77</f>
        <v>20.61999999999999</v>
      </c>
      <c r="L78" s="181" t="s">
        <v>216</v>
      </c>
      <c r="M78" s="184">
        <f>M76-M77</f>
        <v>262.64999999999998</v>
      </c>
      <c r="Q78" s="181" t="s">
        <v>216</v>
      </c>
      <c r="R78" s="184">
        <f>R76-R77</f>
        <v>174.50396860321749</v>
      </c>
      <c r="X78" s="455" t="s">
        <v>81</v>
      </c>
      <c r="Y78" s="142" t="s">
        <v>87</v>
      </c>
    </row>
    <row r="79" spans="1:25">
      <c r="B79" s="181" t="s">
        <v>217</v>
      </c>
      <c r="C79" s="184">
        <f>E69</f>
        <v>94.266066655110507</v>
      </c>
      <c r="G79" s="181" t="s">
        <v>217</v>
      </c>
      <c r="H79" s="184">
        <f>J69</f>
        <v>99.430235942047148</v>
      </c>
      <c r="L79" s="181" t="s">
        <v>217</v>
      </c>
      <c r="M79" s="184">
        <f>O69</f>
        <v>355.12747846682436</v>
      </c>
      <c r="O79" s="41"/>
      <c r="Q79" s="181" t="s">
        <v>217</v>
      </c>
      <c r="R79" s="184">
        <f>T69</f>
        <v>157.5</v>
      </c>
      <c r="X79" s="456"/>
      <c r="Y79" s="142" t="s">
        <v>89</v>
      </c>
    </row>
    <row r="80" spans="1:25">
      <c r="B80" s="181" t="s">
        <v>218</v>
      </c>
      <c r="C80" s="181">
        <f>D70</f>
        <v>52.67</v>
      </c>
      <c r="G80" s="181" t="s">
        <v>218</v>
      </c>
      <c r="H80" s="181">
        <f>I70</f>
        <v>78.680000000000007</v>
      </c>
      <c r="L80" s="181" t="s">
        <v>218</v>
      </c>
      <c r="M80" s="181">
        <f>N70</f>
        <v>102.25</v>
      </c>
      <c r="Q80" s="181" t="s">
        <v>218</v>
      </c>
      <c r="R80" s="181">
        <f>S70</f>
        <v>137.5</v>
      </c>
      <c r="X80" s="410" t="s">
        <v>82</v>
      </c>
      <c r="Y80" s="142" t="s">
        <v>92</v>
      </c>
    </row>
    <row r="81" spans="1:25">
      <c r="B81" s="181" t="s">
        <v>219</v>
      </c>
      <c r="C81" s="184">
        <f>C79-C80</f>
        <v>41.596066655110505</v>
      </c>
      <c r="D81" s="419"/>
      <c r="E81" s="419"/>
      <c r="G81" s="181" t="s">
        <v>219</v>
      </c>
      <c r="H81" s="184">
        <f>H79-H80</f>
        <v>20.750235942047141</v>
      </c>
      <c r="L81" s="181" t="s">
        <v>219</v>
      </c>
      <c r="M81" s="184">
        <f>M79-M80</f>
        <v>252.87747846682436</v>
      </c>
      <c r="Q81" s="181" t="s">
        <v>219</v>
      </c>
      <c r="R81" s="184">
        <f>R79-R80</f>
        <v>20</v>
      </c>
      <c r="X81" s="410" t="s">
        <v>143</v>
      </c>
      <c r="Y81" s="142" t="s">
        <v>96</v>
      </c>
    </row>
    <row r="82" spans="1:25">
      <c r="B82" s="181" t="s">
        <v>161</v>
      </c>
      <c r="C82" s="181">
        <f>(C78-C81)/LN(C78/C81)</f>
        <v>29.491810699321661</v>
      </c>
      <c r="G82" s="181" t="s">
        <v>161</v>
      </c>
      <c r="H82" s="181">
        <f>(H78-H81)/LN(H78/H81)</f>
        <v>20.685049639105522</v>
      </c>
      <c r="L82" s="181" t="s">
        <v>161</v>
      </c>
      <c r="M82" s="181">
        <f>(M78-M81)/LN(M78/M81)</f>
        <v>257.73286104414171</v>
      </c>
      <c r="Q82" s="181" t="s">
        <v>161</v>
      </c>
      <c r="R82" s="181">
        <f>(R78-R81)/LN(R78/R81)</f>
        <v>71.324385431020545</v>
      </c>
      <c r="X82" s="410" t="s">
        <v>144</v>
      </c>
      <c r="Y82" s="142" t="s">
        <v>99</v>
      </c>
    </row>
    <row r="83" spans="1:25">
      <c r="B83" s="181" t="s">
        <v>220</v>
      </c>
      <c r="C83" s="181">
        <v>250</v>
      </c>
      <c r="G83" s="181" t="s">
        <v>220</v>
      </c>
      <c r="H83" s="181">
        <v>900</v>
      </c>
      <c r="L83" s="181" t="s">
        <v>220</v>
      </c>
      <c r="M83" s="181">
        <v>250</v>
      </c>
      <c r="Q83" s="181" t="s">
        <v>220</v>
      </c>
      <c r="R83" s="181">
        <v>250</v>
      </c>
      <c r="X83" s="455" t="s">
        <v>145</v>
      </c>
      <c r="Y83" s="142" t="s">
        <v>102</v>
      </c>
    </row>
    <row r="84" spans="1:25">
      <c r="B84" s="181" t="s">
        <v>221</v>
      </c>
      <c r="C84" s="181">
        <f>C75*1000/(C83*C82)</f>
        <v>699.13461369000436</v>
      </c>
      <c r="G84" s="181" t="s">
        <v>221</v>
      </c>
      <c r="H84" s="181">
        <f>H75*1000/(H83*H82)</f>
        <v>36.253998819430841</v>
      </c>
      <c r="L84" s="181" t="s">
        <v>221</v>
      </c>
      <c r="M84" s="181">
        <f>M75*1000/(M83*M82)</f>
        <v>95.335225633421913</v>
      </c>
      <c r="Q84" s="181" t="s">
        <v>221</v>
      </c>
      <c r="R84" s="181">
        <f>R75*1000/(R83*R82)</f>
        <v>1512.1771468177726</v>
      </c>
      <c r="X84" s="457"/>
      <c r="Y84" s="142" t="s">
        <v>105</v>
      </c>
    </row>
    <row r="85" spans="1:25">
      <c r="B85" s="181" t="s">
        <v>148</v>
      </c>
      <c r="C85" s="181">
        <v>1703</v>
      </c>
      <c r="G85" s="181" t="s">
        <v>148</v>
      </c>
      <c r="H85" s="181">
        <v>1703</v>
      </c>
      <c r="L85" s="181" t="s">
        <v>148</v>
      </c>
      <c r="M85" s="181">
        <v>1703</v>
      </c>
      <c r="Q85" s="181" t="s">
        <v>148</v>
      </c>
      <c r="R85" s="181">
        <v>1703</v>
      </c>
      <c r="X85" s="456"/>
      <c r="Y85" s="142" t="s">
        <v>222</v>
      </c>
    </row>
    <row r="86" spans="1:25">
      <c r="B86" s="181" t="s">
        <v>149</v>
      </c>
      <c r="C86" s="181">
        <v>2.81</v>
      </c>
      <c r="G86" s="181" t="s">
        <v>149</v>
      </c>
      <c r="H86" s="181">
        <v>2.81</v>
      </c>
      <c r="L86" s="181" t="s">
        <v>149</v>
      </c>
      <c r="M86" s="181">
        <v>2.81</v>
      </c>
      <c r="Q86" s="181" t="s">
        <v>149</v>
      </c>
      <c r="R86" s="181">
        <v>2.81</v>
      </c>
      <c r="X86" s="410" t="s">
        <v>146</v>
      </c>
      <c r="Y86" s="142" t="s">
        <v>223</v>
      </c>
    </row>
    <row r="87" spans="1:25">
      <c r="B87" s="181" t="s">
        <v>150</v>
      </c>
      <c r="C87" s="181">
        <v>0.8</v>
      </c>
      <c r="D87" s="19"/>
      <c r="E87" s="19"/>
      <c r="G87" s="181" t="s">
        <v>150</v>
      </c>
      <c r="H87" s="181">
        <v>0.8</v>
      </c>
      <c r="L87" s="181" t="s">
        <v>150</v>
      </c>
      <c r="M87" s="181">
        <v>0.8</v>
      </c>
      <c r="Q87" s="181" t="s">
        <v>150</v>
      </c>
      <c r="R87" s="181">
        <v>0.8</v>
      </c>
      <c r="X87" s="455" t="s">
        <v>147</v>
      </c>
      <c r="Y87" s="142" t="s">
        <v>224</v>
      </c>
    </row>
    <row r="88" spans="1:25">
      <c r="B88" s="181" t="s">
        <v>151</v>
      </c>
      <c r="C88" s="181">
        <v>0</v>
      </c>
      <c r="D88" s="19"/>
      <c r="E88" s="19"/>
      <c r="G88" s="181" t="s">
        <v>151</v>
      </c>
      <c r="H88" s="181">
        <v>0</v>
      </c>
      <c r="L88" s="181" t="s">
        <v>151</v>
      </c>
      <c r="M88" s="181">
        <v>0</v>
      </c>
      <c r="Q88" s="181" t="s">
        <v>151</v>
      </c>
      <c r="R88" s="181">
        <v>0</v>
      </c>
      <c r="X88" s="457"/>
      <c r="Y88" s="142" t="s">
        <v>225</v>
      </c>
    </row>
    <row r="89" spans="1:25">
      <c r="B89" s="181" t="s">
        <v>152</v>
      </c>
      <c r="C89" s="181">
        <f>(C87+C88)*C86</f>
        <v>2.2480000000000002</v>
      </c>
      <c r="D89" s="19"/>
      <c r="E89" s="19"/>
      <c r="G89" s="181" t="s">
        <v>152</v>
      </c>
      <c r="H89" s="181">
        <f>(H87+H88)*H86</f>
        <v>2.2480000000000002</v>
      </c>
      <c r="L89" s="181" t="s">
        <v>152</v>
      </c>
      <c r="M89" s="181">
        <f>(M87+M88)*M86</f>
        <v>2.2480000000000002</v>
      </c>
      <c r="Q89" s="181" t="s">
        <v>152</v>
      </c>
      <c r="R89" s="181">
        <f>(R87+R88)*R86</f>
        <v>2.2480000000000002</v>
      </c>
      <c r="X89" s="456"/>
      <c r="Y89" s="142" t="s">
        <v>226</v>
      </c>
    </row>
    <row r="90" spans="1:25">
      <c r="B90" s="10" t="s">
        <v>227</v>
      </c>
      <c r="C90" s="321">
        <f>(C85/280)*101.3*(C84^0.65)*(2.29+C89)</f>
        <v>197467.24920393058</v>
      </c>
      <c r="D90" s="323"/>
      <c r="E90" s="323"/>
      <c r="F90" s="323"/>
      <c r="G90" s="321" t="s">
        <v>227</v>
      </c>
      <c r="H90" s="321">
        <f>(H85/280)*101.3*(H84^0.65)*(2.29+H89)</f>
        <v>28847.746903834508</v>
      </c>
      <c r="I90" s="323"/>
      <c r="J90" s="323"/>
      <c r="K90" s="323"/>
      <c r="L90" s="321" t="s">
        <v>227</v>
      </c>
      <c r="M90" s="321">
        <f>(M85/280)*101.3*(M84^0.65)*(2.29+M89)</f>
        <v>54081.068399108306</v>
      </c>
      <c r="N90" s="323"/>
      <c r="O90" s="323"/>
      <c r="P90" s="323"/>
      <c r="Q90" s="321" t="s">
        <v>227</v>
      </c>
      <c r="R90" s="321">
        <f>(R85/280)*101.3*(R84^0.65)*(2.29+R89)</f>
        <v>326041.05464431853</v>
      </c>
      <c r="U90" s="323">
        <f>R90+M90+H90+C90</f>
        <v>606437.1191511919</v>
      </c>
    </row>
    <row r="91" spans="1:25">
      <c r="B91" s="10" t="s">
        <v>228</v>
      </c>
      <c r="C91" s="321">
        <f>C90/3</f>
        <v>65822.416401310198</v>
      </c>
      <c r="D91" s="323"/>
      <c r="E91" s="323"/>
      <c r="F91" s="323"/>
      <c r="G91" s="10" t="s">
        <v>228</v>
      </c>
      <c r="H91" s="321">
        <f>H90/3</f>
        <v>9615.9156346115033</v>
      </c>
      <c r="I91" s="323"/>
      <c r="J91" s="323"/>
      <c r="K91" s="323"/>
      <c r="L91" s="10" t="s">
        <v>228</v>
      </c>
      <c r="M91" s="321">
        <f>M90/3</f>
        <v>18027.022799702769</v>
      </c>
      <c r="N91" s="323"/>
      <c r="O91" s="323"/>
      <c r="P91" s="323"/>
      <c r="Q91" s="10" t="s">
        <v>228</v>
      </c>
      <c r="R91" s="321">
        <f>R90/3</f>
        <v>108680.35154810618</v>
      </c>
      <c r="U91" s="323">
        <f>R91+M91+H91+C91</f>
        <v>202145.70638373063</v>
      </c>
    </row>
    <row r="94" spans="1:25">
      <c r="A94" t="s">
        <v>229</v>
      </c>
      <c r="B94" s="367" t="s">
        <v>230</v>
      </c>
      <c r="C94" s="368" t="s">
        <v>231</v>
      </c>
      <c r="D94" s="368" t="s">
        <v>232</v>
      </c>
      <c r="E94" s="368" t="s">
        <v>233</v>
      </c>
      <c r="F94" s="368" t="s">
        <v>234</v>
      </c>
      <c r="G94" s="368" t="s">
        <v>235</v>
      </c>
      <c r="H94" s="368" t="s">
        <v>236</v>
      </c>
    </row>
    <row r="95" spans="1:25">
      <c r="B95" s="377" t="s">
        <v>87</v>
      </c>
      <c r="C95" s="378">
        <v>3309843.1680000001</v>
      </c>
      <c r="D95" s="378">
        <v>2070930.7573415746</v>
      </c>
      <c r="E95" s="378">
        <f>C95-D95</f>
        <v>1238912.4106584254</v>
      </c>
      <c r="F95" s="378">
        <v>8875268.6809999999</v>
      </c>
      <c r="G95" s="378">
        <f>C48</f>
        <v>5112141.624622318</v>
      </c>
      <c r="H95" s="378">
        <f>F95-G95</f>
        <v>3763127.0563776819</v>
      </c>
    </row>
    <row r="96" spans="1:25">
      <c r="B96" s="377" t="s">
        <v>89</v>
      </c>
      <c r="C96" s="378">
        <v>46900.291250000002</v>
      </c>
      <c r="D96" s="378">
        <v>46900.291245026172</v>
      </c>
      <c r="E96" s="378">
        <f t="shared" ref="E96:E102" si="0">C96-D96</f>
        <v>4.9738300731405616E-6</v>
      </c>
      <c r="F96" s="378">
        <v>42143.518680000001</v>
      </c>
      <c r="G96" s="378">
        <v>42143.518680000001</v>
      </c>
      <c r="H96" s="378">
        <f t="shared" ref="H96:H102" si="1">F96-G96</f>
        <v>0</v>
      </c>
    </row>
    <row r="97" spans="2:8">
      <c r="B97" s="377" t="s">
        <v>81</v>
      </c>
      <c r="C97" s="378">
        <v>2331538.16</v>
      </c>
      <c r="D97" s="378">
        <v>1496191.9548526413</v>
      </c>
      <c r="E97" s="378">
        <f t="shared" si="0"/>
        <v>835346.20514735882</v>
      </c>
      <c r="F97" s="378">
        <v>228558.18</v>
      </c>
      <c r="G97" s="378">
        <f>C27</f>
        <v>115505.89260831998</v>
      </c>
      <c r="H97" s="378">
        <f t="shared" si="1"/>
        <v>113052.28739168002</v>
      </c>
    </row>
    <row r="98" spans="2:8">
      <c r="B98" s="377" t="s">
        <v>82</v>
      </c>
      <c r="C98" s="378">
        <v>80802.111050000007</v>
      </c>
      <c r="D98" s="378">
        <v>80762.25704228699</v>
      </c>
      <c r="E98" s="378">
        <f t="shared" si="0"/>
        <v>39.854007713016472</v>
      </c>
      <c r="F98" s="378">
        <v>7989.66</v>
      </c>
      <c r="G98" s="378">
        <v>7989.66</v>
      </c>
      <c r="H98" s="378">
        <f t="shared" si="1"/>
        <v>0</v>
      </c>
    </row>
    <row r="99" spans="2:8">
      <c r="B99" s="377" t="s">
        <v>143</v>
      </c>
      <c r="C99" s="378">
        <v>124723.43180000001</v>
      </c>
      <c r="D99" s="378">
        <v>124723.43180000001</v>
      </c>
      <c r="E99" s="378">
        <f t="shared" si="0"/>
        <v>0</v>
      </c>
      <c r="F99" s="378">
        <v>15580</v>
      </c>
      <c r="G99" s="378">
        <v>15580</v>
      </c>
      <c r="H99" s="378">
        <f t="shared" si="1"/>
        <v>0</v>
      </c>
    </row>
    <row r="100" spans="2:8">
      <c r="B100" s="377" t="s">
        <v>144</v>
      </c>
      <c r="C100" s="378">
        <v>7134.4281490000003</v>
      </c>
      <c r="D100" s="378">
        <v>7134.4281490000003</v>
      </c>
      <c r="E100" s="378">
        <f t="shared" si="0"/>
        <v>0</v>
      </c>
      <c r="F100" s="378">
        <v>190.94</v>
      </c>
      <c r="G100" s="378">
        <v>190.94</v>
      </c>
      <c r="H100" s="378">
        <f t="shared" si="1"/>
        <v>0</v>
      </c>
    </row>
    <row r="101" spans="2:8">
      <c r="B101" s="377" t="s">
        <v>145</v>
      </c>
      <c r="C101" s="378">
        <v>409960.23469999997</v>
      </c>
      <c r="D101" s="378">
        <v>145277.80594443087</v>
      </c>
      <c r="E101" s="378">
        <f t="shared" si="0"/>
        <v>264682.4287555691</v>
      </c>
      <c r="F101" s="378">
        <v>97192.91</v>
      </c>
      <c r="G101" s="378">
        <f>O27</f>
        <v>19701.184637599992</v>
      </c>
      <c r="H101" s="378">
        <f t="shared" si="1"/>
        <v>77491.725362400015</v>
      </c>
    </row>
    <row r="102" spans="2:8">
      <c r="B102" s="377" t="s">
        <v>146</v>
      </c>
      <c r="C102" s="378">
        <v>52413.182209999999</v>
      </c>
      <c r="D102" s="378">
        <v>52413.182209999999</v>
      </c>
      <c r="E102" s="378">
        <f t="shared" si="0"/>
        <v>0</v>
      </c>
      <c r="F102" s="378">
        <v>4105.1099999999997</v>
      </c>
      <c r="G102" s="378">
        <v>4105.1099999999997</v>
      </c>
      <c r="H102" s="378">
        <f t="shared" si="1"/>
        <v>0</v>
      </c>
    </row>
    <row r="103" spans="2:8">
      <c r="B103" s="377" t="s">
        <v>147</v>
      </c>
      <c r="C103" s="379">
        <v>19986.068889999999</v>
      </c>
      <c r="D103" s="378">
        <f>U21</f>
        <v>19986.068889999999</v>
      </c>
      <c r="E103" s="378">
        <f>C103-D103</f>
        <v>0</v>
      </c>
      <c r="F103" s="380">
        <v>931.43</v>
      </c>
      <c r="G103" s="381">
        <f>U22</f>
        <v>931.43</v>
      </c>
      <c r="H103" s="378">
        <f t="shared" ref="H103" si="2">F103-G103</f>
        <v>0</v>
      </c>
    </row>
    <row r="104" spans="2:8">
      <c r="B104" s="377" t="s">
        <v>237</v>
      </c>
      <c r="C104" s="379" t="s">
        <v>238</v>
      </c>
      <c r="D104" s="378">
        <f>U91</f>
        <v>202145.70638373063</v>
      </c>
      <c r="E104" s="378">
        <f>U91</f>
        <v>202145.70638373063</v>
      </c>
      <c r="F104" s="383">
        <v>0</v>
      </c>
      <c r="G104" s="384">
        <v>0</v>
      </c>
      <c r="H104" s="384">
        <f>F104-G104</f>
        <v>0</v>
      </c>
    </row>
    <row r="105" spans="2:8">
      <c r="B105" s="369" t="s">
        <v>239</v>
      </c>
      <c r="C105" s="382">
        <f>SUM(C95:C103)</f>
        <v>6383301.076049</v>
      </c>
      <c r="D105" s="382">
        <f t="shared" ref="D105:G105" si="3">SUM(D95:D103)</f>
        <v>4044320.1774749602</v>
      </c>
      <c r="E105" s="382">
        <f>SUM(E95:E103)-E104</f>
        <v>2136835.1921903095</v>
      </c>
      <c r="F105" s="382">
        <f t="shared" si="3"/>
        <v>9271960.4296799991</v>
      </c>
      <c r="G105" s="382">
        <f t="shared" si="3"/>
        <v>5318289.3605482383</v>
      </c>
      <c r="H105" s="382">
        <f>SUM(H95:H103)</f>
        <v>3953671.0691317618</v>
      </c>
    </row>
    <row r="106" spans="2:8">
      <c r="B106" s="385" t="s">
        <v>240</v>
      </c>
      <c r="C106" s="386"/>
      <c r="D106" s="387"/>
      <c r="E106" s="387"/>
      <c r="F106" s="387"/>
      <c r="G106" s="388"/>
      <c r="H106" s="389">
        <f>H105+E105</f>
        <v>6090506.2613220718</v>
      </c>
    </row>
    <row r="107" spans="2:8">
      <c r="B107" s="61"/>
    </row>
  </sheetData>
  <mergeCells count="12">
    <mergeCell ref="X78:X79"/>
    <mergeCell ref="X83:X85"/>
    <mergeCell ref="X87:X89"/>
    <mergeCell ref="Q22:R22"/>
    <mergeCell ref="X74:X76"/>
    <mergeCell ref="N22:O22"/>
    <mergeCell ref="T2:U2"/>
    <mergeCell ref="B22:C22"/>
    <mergeCell ref="B2:C2"/>
    <mergeCell ref="E22:F22"/>
    <mergeCell ref="H22:I22"/>
    <mergeCell ref="K22:L22"/>
  </mergeCells>
  <phoneticPr fontId="13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0CC7C-80D9-4813-93A4-757D97184388}">
  <dimension ref="A1:AJ109"/>
  <sheetViews>
    <sheetView topLeftCell="O46" zoomScale="70" zoomScaleNormal="70" workbookViewId="0">
      <selection activeCell="I8" sqref="I8"/>
    </sheetView>
  </sheetViews>
  <sheetFormatPr defaultRowHeight="14.45"/>
  <cols>
    <col min="1" max="1" width="12" bestFit="1" customWidth="1"/>
    <col min="2" max="2" width="13.42578125" bestFit="1" customWidth="1"/>
    <col min="3" max="3" width="6.42578125" bestFit="1" customWidth="1"/>
    <col min="4" max="4" width="9" bestFit="1" customWidth="1"/>
    <col min="5" max="5" width="13.85546875" bestFit="1" customWidth="1"/>
    <col min="6" max="6" width="9" bestFit="1" customWidth="1"/>
    <col min="7" max="7" width="14.85546875" bestFit="1" customWidth="1"/>
    <col min="8" max="8" width="9.5703125" bestFit="1" customWidth="1"/>
    <col min="9" max="9" width="4.42578125" bestFit="1" customWidth="1"/>
    <col min="10" max="10" width="11.85546875" bestFit="1" customWidth="1"/>
    <col min="11" max="11" width="8.42578125" bestFit="1" customWidth="1"/>
    <col min="12" max="12" width="10.5703125" bestFit="1" customWidth="1"/>
    <col min="14" max="14" width="10.5703125" bestFit="1" customWidth="1"/>
    <col min="15" max="15" width="10.140625" customWidth="1"/>
    <col min="16" max="16" width="15.5703125" bestFit="1" customWidth="1"/>
    <col min="17" max="17" width="11.85546875" bestFit="1" customWidth="1"/>
    <col min="18" max="18" width="16.85546875" bestFit="1" customWidth="1"/>
    <col min="19" max="19" width="10.140625" bestFit="1" customWidth="1"/>
    <col min="20" max="20" width="10.7109375" bestFit="1" customWidth="1"/>
    <col min="21" max="21" width="25.42578125" bestFit="1" customWidth="1"/>
    <col min="22" max="22" width="10.42578125" bestFit="1" customWidth="1"/>
    <col min="23" max="23" width="36.28515625" bestFit="1" customWidth="1"/>
    <col min="24" max="24" width="15.140625" bestFit="1" customWidth="1"/>
    <col min="25" max="25" width="11.42578125" bestFit="1" customWidth="1"/>
    <col min="26" max="26" width="36.28515625" bestFit="1" customWidth="1"/>
    <col min="27" max="27" width="14.140625" bestFit="1" customWidth="1"/>
    <col min="28" max="28" width="13.42578125" bestFit="1" customWidth="1"/>
    <col min="30" max="30" width="12.42578125" bestFit="1" customWidth="1"/>
    <col min="34" max="34" width="15.7109375" bestFit="1" customWidth="1"/>
    <col min="35" max="35" width="15" bestFit="1" customWidth="1"/>
  </cols>
  <sheetData>
    <row r="1" spans="1:22">
      <c r="A1" s="42"/>
      <c r="B1" s="43" t="s">
        <v>2</v>
      </c>
      <c r="C1" s="42" t="s">
        <v>9</v>
      </c>
      <c r="D1" s="42" t="s">
        <v>10</v>
      </c>
      <c r="E1" s="46" t="s">
        <v>11</v>
      </c>
      <c r="G1" s="300" t="s">
        <v>12</v>
      </c>
      <c r="H1" s="42" t="s">
        <v>211</v>
      </c>
      <c r="I1" s="122"/>
      <c r="J1" s="122" t="s">
        <v>79</v>
      </c>
      <c r="K1" s="122" t="s">
        <v>10</v>
      </c>
      <c r="L1" s="122" t="s">
        <v>11</v>
      </c>
      <c r="M1" s="313" t="s">
        <v>12</v>
      </c>
      <c r="N1" s="9"/>
      <c r="P1" s="411" t="s">
        <v>241</v>
      </c>
      <c r="Q1" s="458" t="s">
        <v>83</v>
      </c>
      <c r="R1" s="458"/>
      <c r="S1" s="411" t="s">
        <v>84</v>
      </c>
      <c r="T1" s="411" t="s">
        <v>85</v>
      </c>
      <c r="U1" s="411" t="s">
        <v>86</v>
      </c>
      <c r="V1" s="411" t="s">
        <v>242</v>
      </c>
    </row>
    <row r="2" spans="1:22">
      <c r="A2" s="44" t="s">
        <v>17</v>
      </c>
      <c r="B2" s="130">
        <v>14783.412274848</v>
      </c>
      <c r="C2" s="130">
        <v>52.665870539244999</v>
      </c>
      <c r="D2" s="130">
        <v>137.5</v>
      </c>
      <c r="E2" s="130">
        <f t="shared" ref="E2:E17" si="0">B2/(D2-C2)</f>
        <v>174.26255645950764</v>
      </c>
      <c r="G2" s="36" t="s">
        <v>15</v>
      </c>
      <c r="H2" s="435" t="s">
        <v>87</v>
      </c>
      <c r="I2" s="123" t="s">
        <v>81</v>
      </c>
      <c r="J2" s="123">
        <v>52.665870539244999</v>
      </c>
      <c r="K2" s="123">
        <v>137.5</v>
      </c>
      <c r="L2" s="123">
        <v>174.26255645950764</v>
      </c>
      <c r="M2" s="313" t="s">
        <v>15</v>
      </c>
      <c r="N2" s="9"/>
      <c r="O2">
        <v>1</v>
      </c>
      <c r="P2" s="125" t="s">
        <v>243</v>
      </c>
      <c r="Q2" s="418">
        <v>456.85</v>
      </c>
      <c r="R2" s="418">
        <v>380.154028617682</v>
      </c>
      <c r="S2" s="134">
        <f>(Q2-R2)*L6</f>
        <v>10464.197794355676</v>
      </c>
      <c r="T2" s="134">
        <f>(Q2-R2)*L4</f>
        <v>11532.926956479829</v>
      </c>
      <c r="U2" s="131">
        <f t="shared" ref="U2:U20" si="1">S2-T2</f>
        <v>-1068.7291621241529</v>
      </c>
      <c r="V2" s="128">
        <f t="shared" ref="V2:V20" si="2">IF(S2&lt;T2,S2,T2)</f>
        <v>10464.197794355676</v>
      </c>
    </row>
    <row r="3" spans="1:22">
      <c r="A3" s="44" t="s">
        <v>20</v>
      </c>
      <c r="B3" s="130">
        <v>36075.888477323999</v>
      </c>
      <c r="C3" s="130">
        <v>137.5</v>
      </c>
      <c r="D3" s="130">
        <v>195.2</v>
      </c>
      <c r="E3" s="130">
        <f t="shared" si="0"/>
        <v>625.23203600214913</v>
      </c>
      <c r="G3" s="36" t="s">
        <v>21</v>
      </c>
      <c r="H3" s="435"/>
      <c r="I3" s="123" t="s">
        <v>82</v>
      </c>
      <c r="J3" s="123">
        <v>137.5</v>
      </c>
      <c r="K3" s="123">
        <v>195.2</v>
      </c>
      <c r="L3" s="123">
        <v>625.23203600214913</v>
      </c>
      <c r="M3" s="313" t="s">
        <v>21</v>
      </c>
      <c r="N3" s="9"/>
      <c r="O3">
        <v>2</v>
      </c>
      <c r="P3" s="125" t="s">
        <v>243</v>
      </c>
      <c r="Q3" s="418">
        <v>380.154028617682</v>
      </c>
      <c r="R3" s="132">
        <v>195.2</v>
      </c>
      <c r="S3" s="134">
        <f>(Q3-R3)*L6</f>
        <v>25234.644055431356</v>
      </c>
      <c r="T3" s="134">
        <f>(Q3-R3)*L4</f>
        <v>27811.908029972172</v>
      </c>
      <c r="U3" s="131">
        <f t="shared" si="1"/>
        <v>-2577.263974540816</v>
      </c>
      <c r="V3" s="128">
        <f t="shared" si="2"/>
        <v>25234.644055431356</v>
      </c>
    </row>
    <row r="4" spans="1:22">
      <c r="A4" s="44" t="s">
        <v>26</v>
      </c>
      <c r="B4" s="130">
        <v>39344.834986451999</v>
      </c>
      <c r="C4" s="130">
        <v>195.2</v>
      </c>
      <c r="D4" s="130">
        <v>456.85</v>
      </c>
      <c r="E4" s="130">
        <f t="shared" si="0"/>
        <v>150.37200453450026</v>
      </c>
      <c r="G4" s="36" t="s">
        <v>16</v>
      </c>
      <c r="H4" s="435"/>
      <c r="I4" s="123" t="s">
        <v>143</v>
      </c>
      <c r="J4" s="123">
        <v>195.2</v>
      </c>
      <c r="K4" s="123">
        <v>456.85</v>
      </c>
      <c r="L4" s="123">
        <v>150.37200453450026</v>
      </c>
      <c r="M4" s="313" t="s">
        <v>16</v>
      </c>
      <c r="N4" s="9"/>
      <c r="O4">
        <v>3</v>
      </c>
      <c r="P4" s="125" t="s">
        <v>244</v>
      </c>
      <c r="Q4" s="132">
        <v>195.2</v>
      </c>
      <c r="R4" s="418">
        <v>192</v>
      </c>
      <c r="S4" s="134">
        <f>(Q4-R4)*L6</f>
        <v>436.59963278929138</v>
      </c>
      <c r="T4" s="134">
        <f>(Q4-R4)*L3</f>
        <v>2000.7425152068702</v>
      </c>
      <c r="U4" s="131">
        <f t="shared" si="1"/>
        <v>-1564.1428824175787</v>
      </c>
      <c r="V4" s="128">
        <f t="shared" si="2"/>
        <v>436.59963278929138</v>
      </c>
    </row>
    <row r="5" spans="1:22">
      <c r="A5" s="44" t="s">
        <v>19</v>
      </c>
      <c r="B5" s="130">
        <v>270.33759763811997</v>
      </c>
      <c r="C5" s="130">
        <v>145.858729681705</v>
      </c>
      <c r="D5" s="130">
        <v>192</v>
      </c>
      <c r="E5" s="130">
        <f t="shared" si="0"/>
        <v>5.8589110306946015</v>
      </c>
      <c r="G5" s="36" t="s">
        <v>16</v>
      </c>
      <c r="H5" s="410" t="s">
        <v>89</v>
      </c>
      <c r="I5" s="123" t="s">
        <v>144</v>
      </c>
      <c r="J5" s="123">
        <v>145.858729681705</v>
      </c>
      <c r="K5" s="123">
        <v>192</v>
      </c>
      <c r="L5" s="123">
        <v>5.8589110306946015</v>
      </c>
      <c r="M5" s="313" t="s">
        <v>16</v>
      </c>
      <c r="N5" s="9"/>
      <c r="O5">
        <v>4</v>
      </c>
      <c r="P5" s="125" t="s">
        <v>245</v>
      </c>
      <c r="Q5" s="418">
        <v>192</v>
      </c>
      <c r="R5" s="418">
        <v>172</v>
      </c>
      <c r="S5" s="134">
        <f>(Q5-R5)*L6</f>
        <v>2728.7477049330805</v>
      </c>
      <c r="T5" s="134">
        <f>(Q5-R5)*(L3+L5)</f>
        <v>12621.818940656874</v>
      </c>
      <c r="U5" s="131">
        <f t="shared" si="1"/>
        <v>-9893.0712357237935</v>
      </c>
      <c r="V5" s="128">
        <f t="shared" si="2"/>
        <v>2728.7477049330805</v>
      </c>
    </row>
    <row r="6" spans="1:22">
      <c r="A6" s="44" t="s">
        <v>30</v>
      </c>
      <c r="B6" s="130">
        <v>-40911.2996202719</v>
      </c>
      <c r="C6" s="130">
        <v>400.154028617682</v>
      </c>
      <c r="D6" s="130">
        <v>100.3</v>
      </c>
      <c r="E6" s="130">
        <f t="shared" si="0"/>
        <v>136.43738524665403</v>
      </c>
      <c r="G6" s="36" t="s">
        <v>16</v>
      </c>
      <c r="H6" s="455" t="s">
        <v>81</v>
      </c>
      <c r="I6" s="121" t="s">
        <v>87</v>
      </c>
      <c r="J6" s="121">
        <f t="shared" ref="J6:J17" si="3">C6-20</f>
        <v>380.154028617682</v>
      </c>
      <c r="K6" s="121">
        <f t="shared" ref="K6:K17" si="4">D6-20</f>
        <v>80.3</v>
      </c>
      <c r="L6" s="121">
        <v>136.43738524665403</v>
      </c>
      <c r="M6" s="313" t="s">
        <v>16</v>
      </c>
      <c r="N6" s="9"/>
      <c r="O6">
        <v>5</v>
      </c>
      <c r="P6" s="125" t="s">
        <v>246</v>
      </c>
      <c r="Q6" s="418">
        <v>172</v>
      </c>
      <c r="R6" s="418">
        <v>145.858729681705</v>
      </c>
      <c r="S6" s="134">
        <f>(Q6-R6)*(L6+L15)</f>
        <v>3595.8584728381438</v>
      </c>
      <c r="T6" s="134">
        <f>(Q6-R6)*(L3+L5)</f>
        <v>16497.519041814357</v>
      </c>
      <c r="U6" s="131">
        <f t="shared" si="1"/>
        <v>-12901.660568976215</v>
      </c>
      <c r="V6" s="128">
        <f t="shared" si="2"/>
        <v>3595.8584728381438</v>
      </c>
    </row>
    <row r="7" spans="1:22">
      <c r="A7" s="44" t="s">
        <v>32</v>
      </c>
      <c r="B7" s="130">
        <v>-27392.283737676</v>
      </c>
      <c r="C7" s="130">
        <v>100.3</v>
      </c>
      <c r="D7" s="130">
        <v>65</v>
      </c>
      <c r="E7" s="130">
        <f t="shared" si="0"/>
        <v>775.98537500498594</v>
      </c>
      <c r="G7" s="36" t="s">
        <v>21</v>
      </c>
      <c r="H7" s="456"/>
      <c r="I7" s="121" t="s">
        <v>89</v>
      </c>
      <c r="J7" s="121">
        <f t="shared" si="3"/>
        <v>80.3</v>
      </c>
      <c r="K7" s="121">
        <f t="shared" si="4"/>
        <v>45</v>
      </c>
      <c r="L7" s="121">
        <v>775.98537500498594</v>
      </c>
      <c r="M7" s="313" t="s">
        <v>21</v>
      </c>
      <c r="N7" s="9"/>
      <c r="O7">
        <v>6</v>
      </c>
      <c r="P7" s="125" t="s">
        <v>247</v>
      </c>
      <c r="Q7" s="418">
        <v>145.858729681705</v>
      </c>
      <c r="R7" s="418">
        <v>137.5</v>
      </c>
      <c r="S7" s="134">
        <f>(Q7-R7)*(L6+L15)</f>
        <v>1149.7837932951297</v>
      </c>
      <c r="T7" s="134">
        <f>(Q7-R7)*L9</f>
        <v>3850.9245802219152</v>
      </c>
      <c r="U7" s="131">
        <f t="shared" si="1"/>
        <v>-2701.1407869267855</v>
      </c>
      <c r="V7" s="128">
        <f t="shared" si="2"/>
        <v>1149.7837932951297</v>
      </c>
    </row>
    <row r="8" spans="1:22">
      <c r="A8" s="44" t="s">
        <v>27</v>
      </c>
      <c r="B8" s="130">
        <v>-2386.0815825059999</v>
      </c>
      <c r="C8" s="130">
        <v>65</v>
      </c>
      <c r="D8" s="130">
        <v>55</v>
      </c>
      <c r="E8" s="130">
        <f t="shared" si="0"/>
        <v>238.60815825059998</v>
      </c>
      <c r="G8" s="36" t="s">
        <v>21</v>
      </c>
      <c r="H8" s="410" t="s">
        <v>82</v>
      </c>
      <c r="I8" s="121" t="s">
        <v>92</v>
      </c>
      <c r="J8" s="121">
        <f t="shared" si="3"/>
        <v>45</v>
      </c>
      <c r="K8" s="121">
        <f t="shared" si="4"/>
        <v>35</v>
      </c>
      <c r="L8" s="121">
        <v>238.60815825059998</v>
      </c>
      <c r="M8" s="313" t="s">
        <v>21</v>
      </c>
      <c r="N8" s="9"/>
      <c r="O8">
        <v>7</v>
      </c>
      <c r="P8" s="125" t="s">
        <v>248</v>
      </c>
      <c r="Q8" s="418">
        <v>137.5</v>
      </c>
      <c r="R8" s="418">
        <v>120.477</v>
      </c>
      <c r="S8" s="134">
        <f>(Q8-R8)*(L6+L15)</f>
        <v>2341.5961825039622</v>
      </c>
      <c r="T8" s="134">
        <f>(Q8-R8)*L2</f>
        <v>2966.4714986101976</v>
      </c>
      <c r="U8" s="131">
        <f t="shared" si="1"/>
        <v>-624.87531610623546</v>
      </c>
      <c r="V8" s="128">
        <f t="shared" si="2"/>
        <v>2341.5961825039622</v>
      </c>
    </row>
    <row r="9" spans="1:22">
      <c r="A9" s="44" t="s">
        <v>29</v>
      </c>
      <c r="B9" s="130">
        <v>-4676.2043885639996</v>
      </c>
      <c r="C9" s="130">
        <v>65.150063343529993</v>
      </c>
      <c r="D9" s="130">
        <v>55</v>
      </c>
      <c r="E9" s="130">
        <f t="shared" si="0"/>
        <v>460.70691682380254</v>
      </c>
      <c r="G9" s="36" t="s">
        <v>21</v>
      </c>
      <c r="H9" s="410" t="s">
        <v>143</v>
      </c>
      <c r="I9" s="121" t="s">
        <v>96</v>
      </c>
      <c r="J9" s="121">
        <f t="shared" si="3"/>
        <v>45.150063343529993</v>
      </c>
      <c r="K9" s="121">
        <f t="shared" si="4"/>
        <v>35</v>
      </c>
      <c r="L9" s="121">
        <v>460.70691682380254</v>
      </c>
      <c r="M9" s="313" t="s">
        <v>21</v>
      </c>
      <c r="N9" s="9"/>
      <c r="O9">
        <v>8</v>
      </c>
      <c r="P9" s="125" t="s">
        <v>249</v>
      </c>
      <c r="Q9" s="418">
        <v>120.477</v>
      </c>
      <c r="R9" s="418">
        <v>119.04300000000001</v>
      </c>
      <c r="S9" s="134">
        <f>(Q9-R9)*(L6+L16)</f>
        <v>417.8598367981815</v>
      </c>
      <c r="T9" s="134">
        <f>(Q9-R9)*L2</f>
        <v>249.89250596293351</v>
      </c>
      <c r="U9" s="131">
        <f t="shared" si="1"/>
        <v>167.96733083524799</v>
      </c>
      <c r="V9" s="128">
        <f t="shared" si="2"/>
        <v>249.89250596293351</v>
      </c>
    </row>
    <row r="10" spans="1:22">
      <c r="A10" s="44" t="s">
        <v>31</v>
      </c>
      <c r="B10" s="130">
        <v>-57.3123976308</v>
      </c>
      <c r="C10" s="130">
        <v>77.177750517301007</v>
      </c>
      <c r="D10" s="130">
        <v>55</v>
      </c>
      <c r="E10" s="130">
        <f t="shared" si="0"/>
        <v>2.5842295225609209</v>
      </c>
      <c r="G10" s="36" t="s">
        <v>15</v>
      </c>
      <c r="H10" s="410" t="s">
        <v>144</v>
      </c>
      <c r="I10" s="121" t="s">
        <v>99</v>
      </c>
      <c r="J10" s="121">
        <f t="shared" si="3"/>
        <v>57.177750517301007</v>
      </c>
      <c r="K10" s="121">
        <f t="shared" si="4"/>
        <v>35</v>
      </c>
      <c r="L10" s="121">
        <v>2.5842295225609209</v>
      </c>
      <c r="M10" s="313" t="s">
        <v>15</v>
      </c>
      <c r="N10" s="9"/>
      <c r="O10">
        <v>9</v>
      </c>
      <c r="P10" s="125" t="s">
        <v>250</v>
      </c>
      <c r="Q10" s="133">
        <v>119.04300000000001</v>
      </c>
      <c r="R10" s="133">
        <v>119.04103150819901</v>
      </c>
      <c r="S10" s="134">
        <f>(Q10-R10)*(L6+L17)</f>
        <v>0.95961810407394499</v>
      </c>
      <c r="T10" s="134">
        <f>(Q10-R10)*L2</f>
        <v>0.34303441361085457</v>
      </c>
      <c r="U10" s="131">
        <f t="shared" si="1"/>
        <v>0.61658369046309036</v>
      </c>
      <c r="V10" s="128">
        <f t="shared" si="2"/>
        <v>0.34303441361085457</v>
      </c>
    </row>
    <row r="11" spans="1:22">
      <c r="A11" s="44" t="s">
        <v>37</v>
      </c>
      <c r="B11" s="130">
        <v>-102.52674065484</v>
      </c>
      <c r="C11" s="130">
        <v>103.805621619002</v>
      </c>
      <c r="D11" s="130">
        <v>102.6</v>
      </c>
      <c r="E11" s="130">
        <f t="shared" si="0"/>
        <v>85.040562510574645</v>
      </c>
      <c r="G11" s="36" t="s">
        <v>16</v>
      </c>
      <c r="H11" s="455" t="s">
        <v>145</v>
      </c>
      <c r="I11" s="121" t="s">
        <v>102</v>
      </c>
      <c r="J11" s="121">
        <f t="shared" si="3"/>
        <v>83.805621619001997</v>
      </c>
      <c r="K11" s="121">
        <f t="shared" si="4"/>
        <v>82.6</v>
      </c>
      <c r="L11" s="121">
        <v>85.040562510574645</v>
      </c>
      <c r="M11" s="313" t="s">
        <v>16</v>
      </c>
      <c r="N11" s="9"/>
      <c r="O11">
        <v>10</v>
      </c>
      <c r="P11" s="125" t="s">
        <v>103</v>
      </c>
      <c r="Q11" s="133">
        <v>119.04103150819901</v>
      </c>
      <c r="R11" s="133">
        <v>117.05358729018999</v>
      </c>
      <c r="S11" s="134">
        <f>(Q11-R11)*L6</f>
        <v>271.16169242873133</v>
      </c>
      <c r="T11" s="134">
        <f>(Q11-R11)*L2</f>
        <v>346.33711025091833</v>
      </c>
      <c r="U11" s="131">
        <f t="shared" si="1"/>
        <v>-75.175417822187001</v>
      </c>
      <c r="V11" s="128">
        <f t="shared" si="2"/>
        <v>271.16169242873133</v>
      </c>
    </row>
    <row r="12" spans="1:22">
      <c r="A12" s="44" t="s">
        <v>38</v>
      </c>
      <c r="B12" s="130">
        <v>-28536.954145920001</v>
      </c>
      <c r="C12" s="130">
        <v>102.6</v>
      </c>
      <c r="D12" s="130">
        <v>58.4</v>
      </c>
      <c r="E12" s="130">
        <f t="shared" si="0"/>
        <v>645.63244674027158</v>
      </c>
      <c r="G12" s="36" t="s">
        <v>21</v>
      </c>
      <c r="H12" s="457"/>
      <c r="I12" s="121" t="s">
        <v>105</v>
      </c>
      <c r="J12" s="121">
        <f t="shared" si="3"/>
        <v>82.6</v>
      </c>
      <c r="K12" s="121">
        <f t="shared" si="4"/>
        <v>38.4</v>
      </c>
      <c r="L12" s="121">
        <v>645.63244674027158</v>
      </c>
      <c r="M12" s="313" t="s">
        <v>21</v>
      </c>
      <c r="N12" s="9"/>
      <c r="O12">
        <v>11</v>
      </c>
      <c r="P12" s="125" t="s">
        <v>251</v>
      </c>
      <c r="Q12" s="418">
        <v>117.05358729018999</v>
      </c>
      <c r="R12" s="418">
        <v>83.805621619001997</v>
      </c>
      <c r="S12" s="134">
        <f>(Q12-R12)*(L6+L14)</f>
        <v>5033.155079827653</v>
      </c>
      <c r="T12" s="134">
        <f>(Q12-R12)*L2</f>
        <v>5793.8754949391705</v>
      </c>
      <c r="U12" s="131">
        <f t="shared" si="1"/>
        <v>-760.72041511151747</v>
      </c>
      <c r="V12" s="128">
        <f t="shared" si="2"/>
        <v>5033.155079827653</v>
      </c>
    </row>
    <row r="13" spans="1:22">
      <c r="A13" s="44" t="s">
        <v>40</v>
      </c>
      <c r="B13" s="130">
        <v>-404.96128326143997</v>
      </c>
      <c r="C13" s="130">
        <v>58.4</v>
      </c>
      <c r="D13" s="130">
        <v>55</v>
      </c>
      <c r="E13" s="130">
        <f t="shared" si="0"/>
        <v>119.10625978277652</v>
      </c>
      <c r="G13" s="36" t="s">
        <v>15</v>
      </c>
      <c r="H13" s="456"/>
      <c r="I13" s="121" t="s">
        <v>222</v>
      </c>
      <c r="J13" s="121">
        <f t="shared" si="3"/>
        <v>38.4</v>
      </c>
      <c r="K13" s="121">
        <f t="shared" si="4"/>
        <v>35</v>
      </c>
      <c r="L13" s="121">
        <v>119.10625978277652</v>
      </c>
      <c r="M13" s="313" t="s">
        <v>15</v>
      </c>
      <c r="N13" s="9"/>
      <c r="O13">
        <v>12</v>
      </c>
      <c r="P13" s="125" t="s">
        <v>252</v>
      </c>
      <c r="Q13" s="418">
        <v>83.805621619001997</v>
      </c>
      <c r="R13" s="418">
        <v>82.6</v>
      </c>
      <c r="S13" s="134">
        <f>(Q13-R13)*(L6+L11+L14)</f>
        <v>285.03657106195089</v>
      </c>
      <c r="T13" s="134">
        <f>(Q13-R13)*L2</f>
        <v>210.09470545013943</v>
      </c>
      <c r="U13" s="131">
        <f t="shared" si="1"/>
        <v>74.941865611811465</v>
      </c>
      <c r="V13" s="128">
        <f t="shared" si="2"/>
        <v>210.09470545013943</v>
      </c>
    </row>
    <row r="14" spans="1:22">
      <c r="A14" s="44" t="s">
        <v>35</v>
      </c>
      <c r="B14" s="130">
        <v>-1226.2877325324</v>
      </c>
      <c r="C14" s="130">
        <v>137.05358729018999</v>
      </c>
      <c r="D14" s="130">
        <v>55</v>
      </c>
      <c r="E14" s="130">
        <f t="shared" si="0"/>
        <v>14.944961860052768</v>
      </c>
      <c r="G14" s="36" t="s">
        <v>21</v>
      </c>
      <c r="H14" s="410" t="s">
        <v>146</v>
      </c>
      <c r="I14" s="121" t="s">
        <v>223</v>
      </c>
      <c r="J14" s="121">
        <f t="shared" si="3"/>
        <v>117.05358729018999</v>
      </c>
      <c r="K14" s="121">
        <f t="shared" si="4"/>
        <v>35</v>
      </c>
      <c r="L14" s="121">
        <v>14.944961860052768</v>
      </c>
      <c r="M14" s="313" t="s">
        <v>21</v>
      </c>
      <c r="N14" s="9"/>
      <c r="O14">
        <v>13</v>
      </c>
      <c r="P14" s="125" t="s">
        <v>253</v>
      </c>
      <c r="Q14" s="418">
        <v>82.6</v>
      </c>
      <c r="R14" s="418">
        <v>80.3</v>
      </c>
      <c r="S14" s="134">
        <f>(Q14-R14)*(L6+L12+L14)</f>
        <v>1833.1340258480479</v>
      </c>
      <c r="T14" s="134">
        <f>(Q14-R14)*L2</f>
        <v>400.80387985686707</v>
      </c>
      <c r="U14" s="131">
        <f t="shared" si="1"/>
        <v>1432.3301459911809</v>
      </c>
      <c r="V14" s="128">
        <f t="shared" si="2"/>
        <v>400.80387985686707</v>
      </c>
    </row>
    <row r="15" spans="1:22">
      <c r="A15" s="44" t="s">
        <v>43</v>
      </c>
      <c r="B15" s="130">
        <v>-57.575048573879997</v>
      </c>
      <c r="C15" s="130">
        <v>192</v>
      </c>
      <c r="D15" s="130">
        <v>140.477</v>
      </c>
      <c r="E15" s="130">
        <f t="shared" si="0"/>
        <v>1.1174630470640297</v>
      </c>
      <c r="G15" s="36" t="s">
        <v>44</v>
      </c>
      <c r="H15" s="455" t="s">
        <v>147</v>
      </c>
      <c r="I15" s="121" t="s">
        <v>224</v>
      </c>
      <c r="J15" s="121">
        <f t="shared" si="3"/>
        <v>172</v>
      </c>
      <c r="K15" s="121">
        <f t="shared" si="4"/>
        <v>120.477</v>
      </c>
      <c r="L15" s="121">
        <v>1.1174630470640297</v>
      </c>
      <c r="M15" s="313" t="s">
        <v>44</v>
      </c>
      <c r="N15" s="9"/>
      <c r="O15">
        <v>14</v>
      </c>
      <c r="P15" s="125" t="s">
        <v>254</v>
      </c>
      <c r="Q15" s="418">
        <v>80.3</v>
      </c>
      <c r="R15" s="418">
        <v>57.177750517301007</v>
      </c>
      <c r="S15" s="134">
        <f>(Q15-R15)*(L7+L12+L14)</f>
        <v>33216.563080082502</v>
      </c>
      <c r="T15" s="134">
        <f>(Q15-R15)*L2</f>
        <v>4029.342305949654</v>
      </c>
      <c r="U15" s="131">
        <f t="shared" si="1"/>
        <v>29187.220774132849</v>
      </c>
      <c r="V15" s="128">
        <f t="shared" si="2"/>
        <v>4029.342305949654</v>
      </c>
    </row>
    <row r="16" spans="1:22">
      <c r="A16" s="44" t="s">
        <v>47</v>
      </c>
      <c r="B16" s="130">
        <v>-222.20862635448</v>
      </c>
      <c r="C16" s="130">
        <v>140.477</v>
      </c>
      <c r="D16" s="130">
        <v>139.04300000000001</v>
      </c>
      <c r="E16" s="130">
        <f t="shared" si="0"/>
        <v>154.95720108401702</v>
      </c>
      <c r="G16" s="36" t="s">
        <v>21</v>
      </c>
      <c r="H16" s="457"/>
      <c r="I16" s="121" t="s">
        <v>225</v>
      </c>
      <c r="J16" s="121">
        <f t="shared" si="3"/>
        <v>120.477</v>
      </c>
      <c r="K16" s="121">
        <f t="shared" si="4"/>
        <v>119.04300000000001</v>
      </c>
      <c r="L16" s="121">
        <v>154.95720108401702</v>
      </c>
      <c r="M16" s="313" t="s">
        <v>21</v>
      </c>
      <c r="N16" s="9"/>
      <c r="O16">
        <v>15</v>
      </c>
      <c r="P16" s="125" t="s">
        <v>255</v>
      </c>
      <c r="Q16" s="418">
        <v>57.177750517301007</v>
      </c>
      <c r="R16" s="418">
        <v>52.665870539244999</v>
      </c>
      <c r="S16" s="134">
        <f>(Q16-R16)*(L7+L10+L12+L14)</f>
        <v>6493.2585940107483</v>
      </c>
      <c r="T16" s="134">
        <f>(Q16-R16)*L2</f>
        <v>786.25173941450714</v>
      </c>
      <c r="U16" s="131">
        <f t="shared" si="1"/>
        <v>5707.0068545962413</v>
      </c>
      <c r="V16" s="128">
        <f t="shared" si="2"/>
        <v>786.25173941450714</v>
      </c>
    </row>
    <row r="17" spans="1:35">
      <c r="A17" s="44" t="s">
        <v>49</v>
      </c>
      <c r="B17" s="130">
        <v>-0.69104222986679997</v>
      </c>
      <c r="C17" s="130">
        <v>139.04300000000001</v>
      </c>
      <c r="D17" s="130">
        <v>139.04103150819901</v>
      </c>
      <c r="E17" s="130">
        <f t="shared" si="0"/>
        <v>351.05161703885898</v>
      </c>
      <c r="G17" s="36" t="s">
        <v>15</v>
      </c>
      <c r="H17" s="456"/>
      <c r="I17" s="121" t="s">
        <v>226</v>
      </c>
      <c r="J17" s="121">
        <f t="shared" si="3"/>
        <v>119.04300000000001</v>
      </c>
      <c r="K17" s="121">
        <f t="shared" si="4"/>
        <v>119.04103150819901</v>
      </c>
      <c r="L17" s="121">
        <v>351.05161703885898</v>
      </c>
      <c r="M17" s="313" t="s">
        <v>15</v>
      </c>
      <c r="N17" s="9"/>
      <c r="O17">
        <v>16</v>
      </c>
      <c r="P17" s="125" t="s">
        <v>256</v>
      </c>
      <c r="Q17" s="418">
        <v>52.665870539244999</v>
      </c>
      <c r="R17" s="418">
        <v>45.150063343529993</v>
      </c>
      <c r="S17" s="134">
        <f>(Q17-R17)*(L7+L9+L10+L12+L14)</f>
        <v>14278.93583753822</v>
      </c>
      <c r="T17" s="134">
        <f>(Q17-R17)*0</f>
        <v>0</v>
      </c>
      <c r="U17" s="131">
        <f t="shared" si="1"/>
        <v>14278.93583753822</v>
      </c>
      <c r="V17" s="128">
        <f t="shared" si="2"/>
        <v>0</v>
      </c>
    </row>
    <row r="18" spans="1:35">
      <c r="M18" s="19"/>
      <c r="O18">
        <v>17</v>
      </c>
      <c r="P18" s="125" t="s">
        <v>256</v>
      </c>
      <c r="Q18" s="418">
        <v>45.150063343529993</v>
      </c>
      <c r="R18" s="418">
        <v>45</v>
      </c>
      <c r="S18" s="134">
        <f>(Q18-R18)*(L7+L9+L10+L12+L14)</f>
        <v>285.09843294714557</v>
      </c>
      <c r="T18" s="134">
        <f>(Q18-R18)*0</f>
        <v>0</v>
      </c>
      <c r="U18" s="131">
        <f t="shared" si="1"/>
        <v>285.09843294714557</v>
      </c>
      <c r="V18" s="128">
        <f t="shared" si="2"/>
        <v>0</v>
      </c>
    </row>
    <row r="19" spans="1:35">
      <c r="O19">
        <v>18</v>
      </c>
      <c r="P19" s="125" t="s">
        <v>257</v>
      </c>
      <c r="Q19" s="418">
        <v>45</v>
      </c>
      <c r="R19" s="418">
        <v>38.4</v>
      </c>
      <c r="S19" s="134">
        <f>(Q19-R19)*(L8+L9+L10+L12+L14)</f>
        <v>8992.3463071021015</v>
      </c>
      <c r="T19" s="134">
        <f>(Q19-R19)*0</f>
        <v>0</v>
      </c>
      <c r="U19" s="131">
        <f t="shared" si="1"/>
        <v>8992.3463071021015</v>
      </c>
      <c r="V19" s="128">
        <f t="shared" si="2"/>
        <v>0</v>
      </c>
    </row>
    <row r="20" spans="1:35">
      <c r="G20" s="423"/>
      <c r="H20" s="255"/>
      <c r="O20">
        <v>19</v>
      </c>
      <c r="P20" s="125" t="s">
        <v>258</v>
      </c>
      <c r="Q20" s="418">
        <v>38.4</v>
      </c>
      <c r="R20" s="418">
        <v>35</v>
      </c>
      <c r="S20" s="134">
        <f>(Q20-R20)*(L8+L9+L10+L12+L14)</f>
        <v>4632.4208248707764</v>
      </c>
      <c r="T20" s="134">
        <f>(Q20-R20)*0</f>
        <v>0</v>
      </c>
      <c r="U20" s="131">
        <f t="shared" si="1"/>
        <v>4632.4208248707764</v>
      </c>
      <c r="V20" s="128">
        <f t="shared" si="2"/>
        <v>0</v>
      </c>
    </row>
    <row r="21" spans="1:35">
      <c r="G21" s="423"/>
      <c r="H21" s="255"/>
      <c r="U21" s="70">
        <f>SUM(U2:U20)</f>
        <v>32592.105197566754</v>
      </c>
      <c r="V21" s="70">
        <f>SUM(V2:V20)</f>
        <v>56932.472579450739</v>
      </c>
      <c r="W21" s="70"/>
      <c r="X21" s="70"/>
      <c r="Y21" s="70"/>
    </row>
    <row r="22" spans="1:35" ht="15" thickBot="1">
      <c r="G22" s="423"/>
      <c r="H22" s="255"/>
      <c r="U22" s="70"/>
      <c r="V22" s="70"/>
      <c r="W22" s="70"/>
      <c r="X22" s="70"/>
      <c r="Y22" s="70"/>
    </row>
    <row r="23" spans="1:35" ht="15" thickBot="1">
      <c r="A23" s="459" t="s">
        <v>259</v>
      </c>
      <c r="B23" s="460"/>
      <c r="C23" s="460"/>
      <c r="D23" s="460"/>
      <c r="E23" s="460"/>
      <c r="F23" s="460"/>
      <c r="G23" s="460"/>
      <c r="H23" s="461"/>
      <c r="U23" s="70"/>
      <c r="V23" s="70"/>
      <c r="W23" s="70"/>
      <c r="X23" s="70"/>
      <c r="Y23" s="70"/>
    </row>
    <row r="24" spans="1:35">
      <c r="A24" s="345"/>
      <c r="B24" s="346"/>
      <c r="C24" s="346"/>
      <c r="D24" s="346"/>
      <c r="E24" s="346"/>
      <c r="F24" s="346"/>
      <c r="G24" s="346"/>
      <c r="H24" s="347"/>
      <c r="P24" s="444" t="s">
        <v>123</v>
      </c>
      <c r="Q24" s="444"/>
      <c r="R24" s="444"/>
      <c r="U24" t="s">
        <v>124</v>
      </c>
      <c r="V24" s="444" t="s">
        <v>122</v>
      </c>
      <c r="W24" s="444"/>
      <c r="X24" s="444"/>
      <c r="Y24" s="444"/>
    </row>
    <row r="25" spans="1:35" ht="15" thickBot="1">
      <c r="A25" s="348"/>
      <c r="B25" s="61"/>
      <c r="C25" s="61"/>
      <c r="D25" s="61"/>
      <c r="E25" s="61" t="s">
        <v>260</v>
      </c>
      <c r="F25" s="61"/>
      <c r="G25" s="61" t="s">
        <v>261</v>
      </c>
      <c r="H25" s="349"/>
      <c r="J25" s="18" t="s">
        <v>211</v>
      </c>
      <c r="K25" s="358"/>
      <c r="L25" s="298" t="s">
        <v>79</v>
      </c>
      <c r="M25" s="298" t="s">
        <v>10</v>
      </c>
      <c r="N25" s="298" t="s">
        <v>11</v>
      </c>
      <c r="U25">
        <v>83.81</v>
      </c>
      <c r="AD25" s="9"/>
      <c r="AE25" s="9"/>
      <c r="AG25" s="36"/>
      <c r="AH25" s="36" t="s">
        <v>262</v>
      </c>
      <c r="AI25" s="36" t="s">
        <v>263</v>
      </c>
    </row>
    <row r="26" spans="1:35" ht="15" thickBot="1">
      <c r="A26" s="348"/>
      <c r="B26" s="61"/>
      <c r="C26" s="61"/>
      <c r="D26" s="61"/>
      <c r="E26" s="61">
        <v>0</v>
      </c>
      <c r="F26" s="61"/>
      <c r="G26" s="152">
        <f>-E85</f>
        <v>31998.19584522357</v>
      </c>
      <c r="H26" s="349"/>
      <c r="J26" s="448" t="s">
        <v>87</v>
      </c>
      <c r="K26" s="359" t="s">
        <v>81</v>
      </c>
      <c r="L26" s="355">
        <v>52.665870539244999</v>
      </c>
      <c r="M26" s="355">
        <v>137.5</v>
      </c>
      <c r="N26" s="91">
        <v>174.262556459508</v>
      </c>
      <c r="P26" s="61"/>
      <c r="Q26" s="277">
        <v>52.67</v>
      </c>
      <c r="R26" s="278"/>
      <c r="S26" s="279">
        <v>63.81</v>
      </c>
      <c r="T26" s="166"/>
      <c r="U26" s="144" t="s">
        <v>81</v>
      </c>
      <c r="V26" s="190">
        <f>Y44</f>
        <v>85.085136959247549</v>
      </c>
      <c r="W26" s="173"/>
      <c r="X26" s="174"/>
      <c r="Y26" s="173">
        <f>Z49</f>
        <v>85.085136959247549</v>
      </c>
      <c r="Z26" s="170">
        <v>137.5</v>
      </c>
      <c r="AA26" s="61"/>
      <c r="AB26" s="61"/>
      <c r="AD26" s="233"/>
      <c r="AE26" s="9"/>
      <c r="AG26" s="244" t="s">
        <v>81</v>
      </c>
      <c r="AH26" s="269">
        <f>(U25-Q26)*N26</f>
        <v>5426.536008149079</v>
      </c>
      <c r="AI26" s="269">
        <v>0</v>
      </c>
    </row>
    <row r="27" spans="1:35" ht="15" thickBot="1">
      <c r="A27" s="348"/>
      <c r="B27" s="418">
        <v>456.85</v>
      </c>
      <c r="C27" s="61"/>
      <c r="D27" s="442">
        <v>-1068.7291621241529</v>
      </c>
      <c r="E27" s="61"/>
      <c r="F27" s="442">
        <v>-1068.7291621241529</v>
      </c>
      <c r="G27" s="61"/>
      <c r="H27" s="349"/>
      <c r="J27" s="448"/>
      <c r="K27" s="359" t="s">
        <v>82</v>
      </c>
      <c r="L27" s="355">
        <v>137.5</v>
      </c>
      <c r="M27" s="355">
        <v>195.2</v>
      </c>
      <c r="N27" s="91">
        <v>625.23203600214913</v>
      </c>
      <c r="P27" s="61"/>
      <c r="Q27" s="280"/>
      <c r="R27" s="280"/>
      <c r="S27" s="281"/>
      <c r="U27" s="141" t="s">
        <v>82</v>
      </c>
      <c r="V27" s="152"/>
      <c r="W27" s="189">
        <v>137.5</v>
      </c>
      <c r="X27" s="170">
        <f>Y59</f>
        <v>165.47650583097746</v>
      </c>
      <c r="Y27" s="175"/>
      <c r="Z27" s="80"/>
      <c r="AA27" s="169">
        <v>195.2</v>
      </c>
      <c r="AB27" s="61"/>
      <c r="AD27" s="19"/>
      <c r="AE27" s="9"/>
      <c r="AG27" s="141" t="s">
        <v>82</v>
      </c>
      <c r="AH27" s="269">
        <v>0</v>
      </c>
      <c r="AI27" s="269">
        <f>(AA27-X27)*N27</f>
        <v>18584.080776395964</v>
      </c>
    </row>
    <row r="28" spans="1:35" ht="15" thickBot="1">
      <c r="A28" s="348"/>
      <c r="B28" s="418">
        <v>380.154028617682</v>
      </c>
      <c r="C28" s="61"/>
      <c r="D28" s="442"/>
      <c r="E28" s="61"/>
      <c r="F28" s="442"/>
      <c r="G28" s="61"/>
      <c r="H28" s="349"/>
      <c r="J28" s="448"/>
      <c r="K28" s="359" t="s">
        <v>143</v>
      </c>
      <c r="L28" s="355">
        <v>195.2</v>
      </c>
      <c r="M28" s="355">
        <v>456.85</v>
      </c>
      <c r="N28" s="91">
        <v>150.37200453450026</v>
      </c>
      <c r="P28" s="61"/>
      <c r="Q28" s="280"/>
      <c r="R28" s="280"/>
      <c r="S28" s="281"/>
      <c r="U28" s="141" t="s">
        <v>143</v>
      </c>
      <c r="V28" s="61"/>
      <c r="W28" s="106"/>
      <c r="X28" s="177"/>
      <c r="Y28" s="107"/>
      <c r="Z28" s="162"/>
      <c r="AA28" s="164">
        <v>195.2</v>
      </c>
      <c r="AB28" s="80"/>
      <c r="AC28" s="136">
        <v>456.85</v>
      </c>
      <c r="AD28" s="233"/>
      <c r="AE28" s="9"/>
      <c r="AG28" s="141" t="s">
        <v>143</v>
      </c>
      <c r="AH28" s="269">
        <v>0</v>
      </c>
      <c r="AI28" s="269">
        <f>(AC28-AA28)*N28</f>
        <v>39344.834986451999</v>
      </c>
    </row>
    <row r="29" spans="1:35" ht="15" thickBot="1">
      <c r="A29" s="348"/>
      <c r="B29" s="61"/>
      <c r="C29" s="61"/>
      <c r="D29" s="61"/>
      <c r="E29" s="152">
        <f>E26+D27</f>
        <v>-1068.7291621241529</v>
      </c>
      <c r="F29" s="61"/>
      <c r="G29" s="152">
        <f>G26+F27</f>
        <v>30929.466683099417</v>
      </c>
      <c r="H29" s="349"/>
      <c r="J29" s="420" t="s">
        <v>89</v>
      </c>
      <c r="K29" s="359" t="s">
        <v>144</v>
      </c>
      <c r="L29" s="355">
        <v>145.858729681705</v>
      </c>
      <c r="M29" s="355">
        <v>192</v>
      </c>
      <c r="N29" s="91">
        <v>5.8589110306946015</v>
      </c>
      <c r="P29" s="61"/>
      <c r="Q29" s="280"/>
      <c r="R29" s="280"/>
      <c r="S29" s="281"/>
      <c r="U29" s="141" t="s">
        <v>144</v>
      </c>
      <c r="V29" s="61"/>
      <c r="W29" s="106"/>
      <c r="X29" s="160"/>
      <c r="Y29" s="171">
        <v>145.858729681705</v>
      </c>
      <c r="Z29" s="161">
        <v>192</v>
      </c>
      <c r="AA29" s="61"/>
      <c r="AB29" s="61"/>
      <c r="AD29" s="19"/>
      <c r="AE29" s="9"/>
      <c r="AG29" s="141" t="s">
        <v>144</v>
      </c>
      <c r="AH29" s="269">
        <v>0</v>
      </c>
      <c r="AI29" s="269">
        <f>(Z29-Y29)*N29</f>
        <v>270.33759763811997</v>
      </c>
    </row>
    <row r="30" spans="1:35" ht="15" thickBot="1">
      <c r="A30" s="348"/>
      <c r="B30" s="418">
        <v>380.154028617682</v>
      </c>
      <c r="C30" s="61"/>
      <c r="D30" s="443">
        <v>-2577.263974540816</v>
      </c>
      <c r="E30" s="61"/>
      <c r="F30" s="443">
        <v>-2577.263974540816</v>
      </c>
      <c r="G30" s="61"/>
      <c r="H30" s="349"/>
      <c r="J30" s="449" t="s">
        <v>81</v>
      </c>
      <c r="K30" s="360" t="s">
        <v>87</v>
      </c>
      <c r="L30" s="356">
        <v>400.154028617682</v>
      </c>
      <c r="M30" s="356">
        <v>100.3</v>
      </c>
      <c r="N30" s="92">
        <v>136.43738524665403</v>
      </c>
      <c r="P30" s="61"/>
      <c r="Q30" s="280"/>
      <c r="R30" s="280"/>
      <c r="S30" s="281"/>
      <c r="U30" s="142" t="s">
        <v>87</v>
      </c>
      <c r="V30" s="61"/>
      <c r="W30" s="204">
        <v>100.3</v>
      </c>
      <c r="X30" s="156"/>
      <c r="Y30" s="149">
        <v>205</v>
      </c>
      <c r="Z30" s="165"/>
      <c r="AA30" s="168">
        <f>Y55</f>
        <v>333.20392056990841</v>
      </c>
      <c r="AB30" s="150">
        <v>400.154028617682</v>
      </c>
      <c r="AD30" s="19"/>
      <c r="AE30" s="9"/>
      <c r="AG30" s="245" t="s">
        <v>87</v>
      </c>
      <c r="AH30" s="269">
        <v>0</v>
      </c>
      <c r="AI30" s="269">
        <f>(Y30-W30)*N30</f>
        <v>14284.994235324677</v>
      </c>
    </row>
    <row r="31" spans="1:35" ht="15" thickBot="1">
      <c r="A31" s="348"/>
      <c r="B31" s="129">
        <v>195.2</v>
      </c>
      <c r="C31" s="61"/>
      <c r="D31" s="443"/>
      <c r="E31" s="61"/>
      <c r="F31" s="443"/>
      <c r="G31" s="61"/>
      <c r="H31" s="349"/>
      <c r="J31" s="450"/>
      <c r="K31" s="360" t="s">
        <v>89</v>
      </c>
      <c r="L31" s="356">
        <v>100.3</v>
      </c>
      <c r="M31" s="356">
        <v>65</v>
      </c>
      <c r="N31" s="92">
        <v>775.98537500498594</v>
      </c>
      <c r="P31" s="61"/>
      <c r="Q31" s="280"/>
      <c r="R31" s="282">
        <v>65</v>
      </c>
      <c r="S31" s="283"/>
      <c r="T31" s="80"/>
      <c r="U31" s="145" t="s">
        <v>89</v>
      </c>
      <c r="V31" s="80"/>
      <c r="W31" s="151">
        <v>100.3</v>
      </c>
      <c r="X31" s="137"/>
      <c r="Y31" s="109"/>
      <c r="Z31" s="61"/>
      <c r="AA31" s="61"/>
      <c r="AB31" s="61"/>
      <c r="AD31" s="19"/>
      <c r="AE31" s="9"/>
      <c r="AG31" s="273" t="s">
        <v>89</v>
      </c>
      <c r="AH31" s="269">
        <f>(U25-R31)*N31</f>
        <v>14596.284903843787</v>
      </c>
      <c r="AI31" s="269">
        <f>(W31-U25)*N31</f>
        <v>12795.998833832215</v>
      </c>
    </row>
    <row r="32" spans="1:35" ht="15" thickBot="1">
      <c r="A32" s="348"/>
      <c r="B32" s="61"/>
      <c r="C32" s="61"/>
      <c r="D32" s="61"/>
      <c r="E32" s="152">
        <f>E29+D30</f>
        <v>-3645.9931366649689</v>
      </c>
      <c r="F32" s="61"/>
      <c r="G32" s="152">
        <f>G29+F30</f>
        <v>28352.202708558601</v>
      </c>
      <c r="H32" s="349"/>
      <c r="J32" s="420" t="s">
        <v>82</v>
      </c>
      <c r="K32" s="360" t="s">
        <v>92</v>
      </c>
      <c r="L32" s="356">
        <v>65</v>
      </c>
      <c r="M32" s="356">
        <v>55</v>
      </c>
      <c r="N32" s="92">
        <v>238.60815825059998</v>
      </c>
      <c r="P32" s="140">
        <v>55</v>
      </c>
      <c r="Q32" s="284">
        <v>65</v>
      </c>
      <c r="R32" s="280"/>
      <c r="S32" s="281"/>
      <c r="U32" s="142" t="s">
        <v>92</v>
      </c>
      <c r="V32" s="61"/>
      <c r="W32" s="106"/>
      <c r="X32" s="61"/>
      <c r="Y32" s="106"/>
      <c r="Z32" s="157"/>
      <c r="AA32" s="111"/>
      <c r="AB32" s="111"/>
      <c r="AC32" s="61"/>
      <c r="AD32" s="9"/>
      <c r="AE32" s="9"/>
      <c r="AG32" s="142" t="s">
        <v>92</v>
      </c>
      <c r="AH32" s="269">
        <f>(Q32-P32)*N32</f>
        <v>2386.0815825059999</v>
      </c>
      <c r="AI32" s="269">
        <v>0</v>
      </c>
    </row>
    <row r="33" spans="1:36" ht="15.6" thickTop="1" thickBot="1">
      <c r="A33" s="348"/>
      <c r="B33" s="129">
        <v>195.2</v>
      </c>
      <c r="C33" s="61"/>
      <c r="D33" s="443">
        <v>-1564.1428824175787</v>
      </c>
      <c r="E33" s="61"/>
      <c r="F33" s="443">
        <v>-1564.1428824175787</v>
      </c>
      <c r="G33" s="61"/>
      <c r="H33" s="349"/>
      <c r="J33" s="420" t="s">
        <v>143</v>
      </c>
      <c r="K33" s="360" t="s">
        <v>96</v>
      </c>
      <c r="L33" s="356">
        <v>65.150063343529993</v>
      </c>
      <c r="M33" s="356">
        <v>55</v>
      </c>
      <c r="N33" s="92">
        <v>460.70691682380254</v>
      </c>
      <c r="P33" s="138">
        <v>55</v>
      </c>
      <c r="Q33" s="278"/>
      <c r="R33" s="285">
        <v>65.150063343529993</v>
      </c>
      <c r="S33" s="281"/>
      <c r="U33" s="142" t="s">
        <v>96</v>
      </c>
      <c r="V33" s="61"/>
      <c r="W33" s="106"/>
      <c r="X33" s="61"/>
      <c r="Y33" s="111"/>
      <c r="Z33" s="111"/>
      <c r="AA33" s="61"/>
      <c r="AB33" s="158"/>
      <c r="AC33" s="61"/>
      <c r="AD33" s="9"/>
      <c r="AE33" s="9"/>
      <c r="AG33" s="142" t="s">
        <v>96</v>
      </c>
      <c r="AH33" s="269">
        <f>(R33-P33)*N33</f>
        <v>4676.2043885639996</v>
      </c>
      <c r="AI33" s="269">
        <v>0</v>
      </c>
    </row>
    <row r="34" spans="1:36" ht="15.6" thickTop="1" thickBot="1">
      <c r="A34" s="348"/>
      <c r="B34" s="418">
        <v>192</v>
      </c>
      <c r="C34" s="61"/>
      <c r="D34" s="443"/>
      <c r="E34" s="61"/>
      <c r="F34" s="443"/>
      <c r="G34" s="61"/>
      <c r="H34" s="349"/>
      <c r="J34" s="420" t="s">
        <v>144</v>
      </c>
      <c r="K34" s="360" t="s">
        <v>99</v>
      </c>
      <c r="L34" s="356">
        <v>77.177750517301007</v>
      </c>
      <c r="M34" s="356">
        <v>55</v>
      </c>
      <c r="N34" s="92">
        <v>2.5842295225609209</v>
      </c>
      <c r="P34" s="138">
        <v>55</v>
      </c>
      <c r="Q34" s="278"/>
      <c r="R34" s="285">
        <v>77.177750517301007</v>
      </c>
      <c r="S34" s="281"/>
      <c r="U34" s="142" t="s">
        <v>99</v>
      </c>
      <c r="V34" s="61"/>
      <c r="W34" s="61"/>
      <c r="X34" s="176"/>
      <c r="Y34" s="61"/>
      <c r="Z34" s="158"/>
      <c r="AA34" s="61"/>
      <c r="AB34" s="106"/>
      <c r="AC34" s="61"/>
      <c r="AD34" s="9"/>
      <c r="AE34" s="9"/>
      <c r="AG34" s="142" t="s">
        <v>99</v>
      </c>
      <c r="AH34" s="269">
        <f>(R34-P34)*N34</f>
        <v>57.3123976308</v>
      </c>
      <c r="AI34" s="269">
        <v>0</v>
      </c>
    </row>
    <row r="35" spans="1:36" ht="15" thickBot="1">
      <c r="A35" s="348"/>
      <c r="B35" s="61"/>
      <c r="C35" s="61"/>
      <c r="D35" s="61"/>
      <c r="E35" s="152">
        <f>E32+D33</f>
        <v>-5210.1360190825471</v>
      </c>
      <c r="F35" s="61"/>
      <c r="G35" s="152">
        <f>G32+F33</f>
        <v>26788.059826141023</v>
      </c>
      <c r="H35" s="349"/>
      <c r="J35" s="449" t="s">
        <v>145</v>
      </c>
      <c r="K35" s="360" t="s">
        <v>102</v>
      </c>
      <c r="L35" s="356">
        <v>103.805621619002</v>
      </c>
      <c r="M35" s="356">
        <v>102.6</v>
      </c>
      <c r="N35" s="92">
        <v>85.040562510574645</v>
      </c>
      <c r="P35" s="61"/>
      <c r="Q35" s="280"/>
      <c r="R35" s="280"/>
      <c r="S35" s="281"/>
      <c r="U35" s="142" t="s">
        <v>102</v>
      </c>
      <c r="V35" s="61"/>
      <c r="W35" s="138">
        <v>102.6</v>
      </c>
      <c r="X35" s="143"/>
      <c r="Y35" s="139">
        <v>103.805621619002</v>
      </c>
      <c r="Z35" s="106"/>
      <c r="AA35" s="61"/>
      <c r="AB35" s="106"/>
      <c r="AC35" s="61"/>
      <c r="AD35" s="9"/>
      <c r="AE35" s="9"/>
      <c r="AG35" s="142" t="s">
        <v>102</v>
      </c>
      <c r="AH35" s="269">
        <v>0</v>
      </c>
      <c r="AI35" s="269">
        <f>(Y35-W35)*N35</f>
        <v>102.52674065484</v>
      </c>
    </row>
    <row r="36" spans="1:36" ht="15" thickBot="1">
      <c r="A36" s="348"/>
      <c r="B36" s="418">
        <v>192</v>
      </c>
      <c r="C36" s="61"/>
      <c r="D36" s="442">
        <v>-9893.0712357237935</v>
      </c>
      <c r="E36" s="61"/>
      <c r="F36" s="442">
        <v>-9893.0712357237935</v>
      </c>
      <c r="G36" s="61"/>
      <c r="H36" s="349"/>
      <c r="J36" s="451"/>
      <c r="K36" s="360" t="s">
        <v>105</v>
      </c>
      <c r="L36" s="356">
        <v>102.6</v>
      </c>
      <c r="M36" s="356">
        <v>58.4</v>
      </c>
      <c r="N36" s="92">
        <v>645.63244674027158</v>
      </c>
      <c r="P36" s="61"/>
      <c r="Q36" s="280"/>
      <c r="R36" s="282">
        <v>58.4</v>
      </c>
      <c r="S36" s="286">
        <f>R44</f>
        <v>78.411803012245102</v>
      </c>
      <c r="T36" s="80"/>
      <c r="U36" s="145" t="s">
        <v>105</v>
      </c>
      <c r="V36" s="203">
        <v>102.6</v>
      </c>
      <c r="W36" s="61"/>
      <c r="X36" s="61"/>
      <c r="Y36" s="61"/>
      <c r="Z36" s="106"/>
      <c r="AA36" s="61"/>
      <c r="AB36" s="106"/>
      <c r="AC36" s="61"/>
      <c r="AD36" s="9"/>
      <c r="AE36" s="9"/>
      <c r="AG36" s="245" t="s">
        <v>105</v>
      </c>
      <c r="AH36" s="269">
        <f>(U25-R36)*N36</f>
        <v>16405.520471670305</v>
      </c>
      <c r="AI36" s="269">
        <f>(V36-U25)*N36</f>
        <v>12131.433674249698</v>
      </c>
    </row>
    <row r="37" spans="1:36" ht="15" thickBot="1">
      <c r="A37" s="348"/>
      <c r="B37" s="418">
        <v>172</v>
      </c>
      <c r="C37" s="61"/>
      <c r="D37" s="442"/>
      <c r="E37" s="61"/>
      <c r="F37" s="442"/>
      <c r="G37" s="61"/>
      <c r="H37" s="349"/>
      <c r="J37" s="450"/>
      <c r="K37" s="360" t="s">
        <v>222</v>
      </c>
      <c r="L37" s="356">
        <v>58.4</v>
      </c>
      <c r="M37" s="356">
        <v>55</v>
      </c>
      <c r="N37" s="92">
        <v>119.10625978277652</v>
      </c>
      <c r="P37" s="140">
        <v>55</v>
      </c>
      <c r="Q37" s="284">
        <v>58.4</v>
      </c>
      <c r="R37" s="280"/>
      <c r="S37" s="287"/>
      <c r="U37" s="142" t="s">
        <v>222</v>
      </c>
      <c r="V37" s="61"/>
      <c r="W37" s="61"/>
      <c r="X37" s="61"/>
      <c r="Y37" s="61"/>
      <c r="Z37" s="106"/>
      <c r="AA37" s="61"/>
      <c r="AB37" s="106"/>
      <c r="AC37" s="61"/>
      <c r="AD37" s="9"/>
      <c r="AE37" s="9"/>
      <c r="AG37" s="142" t="s">
        <v>222</v>
      </c>
      <c r="AH37" s="269">
        <f>(Q37-P37)*N37</f>
        <v>404.96128326143997</v>
      </c>
      <c r="AI37" s="269">
        <v>0</v>
      </c>
    </row>
    <row r="38" spans="1:36" ht="15" thickBot="1">
      <c r="A38" s="348"/>
      <c r="B38" s="61"/>
      <c r="C38" s="61"/>
      <c r="D38" s="61"/>
      <c r="E38" s="152">
        <f>E35+D36</f>
        <v>-15103.207254806341</v>
      </c>
      <c r="F38" s="61"/>
      <c r="G38" s="152">
        <f>G35+F36</f>
        <v>16894.98859041723</v>
      </c>
      <c r="H38" s="349"/>
      <c r="J38" s="420" t="s">
        <v>146</v>
      </c>
      <c r="K38" s="360" t="s">
        <v>223</v>
      </c>
      <c r="L38" s="356">
        <v>137.05358729018999</v>
      </c>
      <c r="M38" s="356">
        <v>55</v>
      </c>
      <c r="N38" s="92">
        <v>14.944961860052768</v>
      </c>
      <c r="P38" s="138">
        <v>55</v>
      </c>
      <c r="Q38" s="80"/>
      <c r="R38" s="80"/>
      <c r="S38" s="80"/>
      <c r="T38" s="80"/>
      <c r="U38" s="145" t="s">
        <v>223</v>
      </c>
      <c r="V38" s="166"/>
      <c r="W38" s="166"/>
      <c r="X38" s="166"/>
      <c r="Y38" s="167">
        <v>137.05358729018999</v>
      </c>
      <c r="Z38" s="106"/>
      <c r="AA38" s="61"/>
      <c r="AB38" s="159"/>
      <c r="AC38" s="61"/>
      <c r="AD38" s="224"/>
      <c r="AE38" s="9"/>
      <c r="AG38" s="245" t="s">
        <v>223</v>
      </c>
      <c r="AH38" s="269">
        <f>(U25-P38)*N38</f>
        <v>430.56435118812027</v>
      </c>
      <c r="AI38" s="269">
        <f>(Y38-U25)*N38</f>
        <v>795.72338134427969</v>
      </c>
    </row>
    <row r="39" spans="1:36" ht="15" thickBot="1">
      <c r="A39" s="348"/>
      <c r="B39" s="418">
        <v>172</v>
      </c>
      <c r="C39" s="61"/>
      <c r="D39" s="442">
        <v>-12901.660568976215</v>
      </c>
      <c r="E39" s="61"/>
      <c r="F39" s="442">
        <v>-12901.660568976215</v>
      </c>
      <c r="G39" s="61"/>
      <c r="H39" s="349"/>
      <c r="J39" s="449" t="s">
        <v>147</v>
      </c>
      <c r="K39" s="360" t="s">
        <v>224</v>
      </c>
      <c r="L39" s="356">
        <v>192</v>
      </c>
      <c r="M39" s="356">
        <v>140.477</v>
      </c>
      <c r="N39" s="92">
        <v>1.1174630470640297</v>
      </c>
      <c r="U39" s="142" t="s">
        <v>224</v>
      </c>
      <c r="V39" s="61"/>
      <c r="W39" s="61"/>
      <c r="X39" s="61"/>
      <c r="Y39" s="61"/>
      <c r="Z39" s="159"/>
      <c r="AA39" s="61"/>
      <c r="AB39" s="148">
        <v>140.477</v>
      </c>
      <c r="AC39" s="163">
        <v>192</v>
      </c>
      <c r="AD39" s="9"/>
      <c r="AE39" s="9"/>
      <c r="AG39" s="142" t="s">
        <v>224</v>
      </c>
      <c r="AH39" s="269">
        <v>0</v>
      </c>
      <c r="AI39" s="269">
        <f>(AE41-AD41)*P41</f>
        <v>0</v>
      </c>
    </row>
    <row r="40" spans="1:36" ht="15" thickBot="1">
      <c r="A40" s="348"/>
      <c r="B40" s="418">
        <v>145.858729681705</v>
      </c>
      <c r="C40" s="61"/>
      <c r="D40" s="442"/>
      <c r="E40" s="61"/>
      <c r="F40" s="442"/>
      <c r="G40" s="61"/>
      <c r="H40" s="349"/>
      <c r="J40" s="451"/>
      <c r="K40" s="360" t="s">
        <v>225</v>
      </c>
      <c r="L40" s="356">
        <v>140.477</v>
      </c>
      <c r="M40" s="357">
        <v>139.04300000000001</v>
      </c>
      <c r="N40" s="92">
        <v>154.95720108401702</v>
      </c>
      <c r="U40" s="142" t="s">
        <v>225</v>
      </c>
      <c r="V40" s="61"/>
      <c r="W40" s="61"/>
      <c r="X40" s="61"/>
      <c r="Y40" s="61"/>
      <c r="Z40" s="153">
        <v>139.04300000000001</v>
      </c>
      <c r="AA40" s="163">
        <v>140.477</v>
      </c>
      <c r="AB40" s="61"/>
      <c r="AC40" s="61"/>
      <c r="AD40" s="231"/>
      <c r="AE40" s="9"/>
      <c r="AG40" s="142" t="s">
        <v>225</v>
      </c>
      <c r="AH40" s="269">
        <v>0</v>
      </c>
      <c r="AI40" s="269">
        <f>(AC42-AB42)*P42</f>
        <v>0</v>
      </c>
    </row>
    <row r="41" spans="1:36" ht="15" thickBot="1">
      <c r="A41" s="348"/>
      <c r="B41" s="61"/>
      <c r="C41" s="61"/>
      <c r="D41" s="61"/>
      <c r="E41" s="152">
        <f>E38+D39</f>
        <v>-28004.867823782555</v>
      </c>
      <c r="F41" s="61"/>
      <c r="G41" s="152">
        <f>G38+F39</f>
        <v>3993.3280214410152</v>
      </c>
      <c r="H41" s="350"/>
      <c r="I41" s="233"/>
      <c r="J41" s="450"/>
      <c r="K41" s="360" t="s">
        <v>226</v>
      </c>
      <c r="L41" s="357">
        <v>139.04300000000001</v>
      </c>
      <c r="M41" s="357">
        <v>139.04103150819901</v>
      </c>
      <c r="N41" s="92">
        <v>351.05161703885898</v>
      </c>
      <c r="Q41" s="61"/>
      <c r="U41" s="142" t="s">
        <v>226</v>
      </c>
      <c r="V41" s="61"/>
      <c r="W41" s="154">
        <v>139.04103150819901</v>
      </c>
      <c r="X41" s="172"/>
      <c r="Y41" s="155">
        <v>139.04300000000001</v>
      </c>
      <c r="Z41" s="61"/>
      <c r="AA41" s="61"/>
      <c r="AB41" s="61"/>
      <c r="AC41" s="61"/>
      <c r="AD41" s="9"/>
      <c r="AE41" s="9"/>
      <c r="AG41" s="142" t="s">
        <v>226</v>
      </c>
      <c r="AH41" s="269">
        <v>0</v>
      </c>
      <c r="AI41" s="269">
        <f>(Y41-W41)*N41</f>
        <v>0.69104222986679997</v>
      </c>
    </row>
    <row r="42" spans="1:36">
      <c r="A42" s="348"/>
      <c r="B42" s="418">
        <v>145.858729681705</v>
      </c>
      <c r="C42" s="61"/>
      <c r="D42" s="442">
        <v>-2701.1407869267855</v>
      </c>
      <c r="E42" s="61"/>
      <c r="F42" s="442">
        <v>-2701.1407869267855</v>
      </c>
      <c r="G42" s="61"/>
      <c r="H42" s="447"/>
      <c r="I42" s="19"/>
      <c r="J42" s="19"/>
      <c r="AD42" s="224"/>
      <c r="AE42" s="9"/>
      <c r="AG42" s="36"/>
      <c r="AH42" s="269">
        <f>SUM(AH26:AH41)</f>
        <v>44383.465386813528</v>
      </c>
      <c r="AI42" s="269">
        <f>SUM(AI26:AI41)</f>
        <v>98310.621268121642</v>
      </c>
      <c r="AJ42" s="70">
        <f>SUM(AI42+AH42)</f>
        <v>142694.08665493518</v>
      </c>
    </row>
    <row r="43" spans="1:36">
      <c r="A43" s="348"/>
      <c r="B43" s="418">
        <v>137.5</v>
      </c>
      <c r="C43" s="61"/>
      <c r="D43" s="442"/>
      <c r="E43" s="61"/>
      <c r="F43" s="442"/>
      <c r="G43" s="61"/>
      <c r="H43" s="447"/>
      <c r="I43" s="19"/>
      <c r="J43" s="19"/>
      <c r="K43" s="42" t="s">
        <v>264</v>
      </c>
      <c r="L43" s="42" t="s">
        <v>265</v>
      </c>
      <c r="P43" s="276" t="s">
        <v>266</v>
      </c>
      <c r="Q43" s="235"/>
      <c r="R43" s="235" t="s">
        <v>129</v>
      </c>
      <c r="S43" s="235" t="s">
        <v>201</v>
      </c>
      <c r="W43" s="41" t="s">
        <v>267</v>
      </c>
      <c r="X43" s="70"/>
      <c r="Y43" t="s">
        <v>129</v>
      </c>
      <c r="Z43" t="s">
        <v>268</v>
      </c>
      <c r="AJ43">
        <v>120560.41301400763</v>
      </c>
    </row>
    <row r="44" spans="1:36">
      <c r="A44" s="348"/>
      <c r="B44" s="61"/>
      <c r="C44" s="61"/>
      <c r="D44" s="61"/>
      <c r="E44" s="152">
        <f>E41+D42</f>
        <v>-30706.008610709341</v>
      </c>
      <c r="F44" s="61"/>
      <c r="G44" s="152">
        <f>G41+F42</f>
        <v>1292.1872345142297</v>
      </c>
      <c r="H44" s="350"/>
      <c r="I44" s="233"/>
      <c r="J44" s="19"/>
      <c r="K44" s="181">
        <v>456.85</v>
      </c>
      <c r="L44" s="184">
        <f>G26</f>
        <v>31998.19584522357</v>
      </c>
      <c r="P44" s="235" t="s">
        <v>105</v>
      </c>
      <c r="Q44" s="235">
        <f>N36*(U25-R36)</f>
        <v>16405.520471670305</v>
      </c>
      <c r="R44" s="235">
        <f>U25-(Q45/N36)</f>
        <v>78.411803012245102</v>
      </c>
      <c r="S44" s="235">
        <v>58.4</v>
      </c>
      <c r="W44" t="s">
        <v>81</v>
      </c>
      <c r="X44" s="70">
        <f>(Z26-U25)*N26</f>
        <v>9356.1566563109845</v>
      </c>
      <c r="Y44">
        <f>U25+(X46/N26)</f>
        <v>85.085136959247549</v>
      </c>
      <c r="Z44">
        <v>83.81</v>
      </c>
      <c r="AJ44" s="70">
        <f>AJ42-AJ43</f>
        <v>22133.673640927547</v>
      </c>
    </row>
    <row r="45" spans="1:36">
      <c r="A45" s="348"/>
      <c r="B45" s="418">
        <v>137.5</v>
      </c>
      <c r="C45" s="61"/>
      <c r="D45" s="442">
        <v>-624.87531610623546</v>
      </c>
      <c r="E45" s="61"/>
      <c r="F45" s="442">
        <v>-624.87531610623546</v>
      </c>
      <c r="G45" s="61"/>
      <c r="H45" s="447"/>
      <c r="I45" s="19"/>
      <c r="J45" s="19"/>
      <c r="K45" s="181">
        <v>380.154028617682</v>
      </c>
      <c r="L45" s="184">
        <f>G29</f>
        <v>30929.466683099417</v>
      </c>
      <c r="P45" s="235" t="s">
        <v>81</v>
      </c>
      <c r="Q45" s="235">
        <f>N26*(U25-63.81)</f>
        <v>3485.2511291901601</v>
      </c>
      <c r="R45" s="235">
        <v>63.81</v>
      </c>
      <c r="S45" s="235">
        <v>52.67</v>
      </c>
      <c r="W45" t="s">
        <v>225</v>
      </c>
      <c r="X45" s="70">
        <f>(AA40-Z40)*N40</f>
        <v>222.20862635448</v>
      </c>
      <c r="Y45" s="9">
        <f>139.043</f>
        <v>139.04300000000001</v>
      </c>
      <c r="Z45">
        <v>140.47999999999999</v>
      </c>
    </row>
    <row r="46" spans="1:36">
      <c r="A46" s="348"/>
      <c r="B46" s="418">
        <v>120.477</v>
      </c>
      <c r="C46" s="61"/>
      <c r="D46" s="442"/>
      <c r="E46" s="61"/>
      <c r="F46" s="442"/>
      <c r="G46" s="61"/>
      <c r="H46" s="447"/>
      <c r="I46" s="19"/>
      <c r="J46" s="19"/>
      <c r="K46" s="181">
        <v>195.2</v>
      </c>
      <c r="L46" s="184">
        <f>G32</f>
        <v>28352.202708558601</v>
      </c>
      <c r="P46" s="235" t="s">
        <v>137</v>
      </c>
      <c r="Q46" s="235">
        <f>MIN(Q44:Q45)</f>
        <v>3485.2511291901601</v>
      </c>
      <c r="R46" s="235"/>
      <c r="S46" s="235"/>
      <c r="W46" t="s">
        <v>269</v>
      </c>
      <c r="X46" s="70">
        <f>MIN(X44:X45)</f>
        <v>222.20862635448</v>
      </c>
    </row>
    <row r="47" spans="1:36">
      <c r="A47" s="348"/>
      <c r="B47" s="61"/>
      <c r="C47" s="61"/>
      <c r="D47" s="61"/>
      <c r="E47" s="152">
        <f>E44+D45</f>
        <v>-31330.883926815575</v>
      </c>
      <c r="F47" s="61"/>
      <c r="G47" s="152">
        <f>G44+F45</f>
        <v>667.3119184079942</v>
      </c>
      <c r="H47" s="350"/>
      <c r="I47" s="233"/>
      <c r="J47" s="19"/>
      <c r="K47" s="181">
        <v>192</v>
      </c>
      <c r="L47" s="184">
        <f>G35</f>
        <v>26788.059826141023</v>
      </c>
      <c r="X47" s="70"/>
    </row>
    <row r="48" spans="1:36">
      <c r="A48" s="348"/>
      <c r="B48" s="418">
        <v>120.477</v>
      </c>
      <c r="C48" s="61"/>
      <c r="D48" s="442">
        <v>167.96733083524799</v>
      </c>
      <c r="E48" s="61"/>
      <c r="F48" s="442">
        <v>167.96733083524799</v>
      </c>
      <c r="G48" s="61"/>
      <c r="H48" s="350"/>
      <c r="I48" s="19"/>
      <c r="J48" s="19"/>
      <c r="K48" s="181">
        <v>172</v>
      </c>
      <c r="L48" s="184">
        <f>G38</f>
        <v>16894.98859041723</v>
      </c>
      <c r="P48" t="s">
        <v>89</v>
      </c>
      <c r="Q48">
        <f>N31*(U25-R31)</f>
        <v>14596.284903843787</v>
      </c>
      <c r="W48" s="41" t="s">
        <v>270</v>
      </c>
      <c r="X48" s="70"/>
      <c r="Y48" t="s">
        <v>129</v>
      </c>
      <c r="Z48" t="s">
        <v>268</v>
      </c>
    </row>
    <row r="49" spans="1:26">
      <c r="A49" s="348"/>
      <c r="B49" s="133">
        <v>119.04300000000001</v>
      </c>
      <c r="C49" s="61"/>
      <c r="D49" s="442"/>
      <c r="E49" s="61"/>
      <c r="F49" s="442"/>
      <c r="G49" s="61"/>
      <c r="H49" s="350"/>
      <c r="I49" s="19"/>
      <c r="J49" s="19"/>
      <c r="K49" s="181">
        <v>145.858729681705</v>
      </c>
      <c r="L49" s="184">
        <f>G41</f>
        <v>3993.3280214410152</v>
      </c>
      <c r="P49" t="s">
        <v>92</v>
      </c>
      <c r="Q49">
        <f>(Q32-P32)*N32</f>
        <v>2386.0815825059999</v>
      </c>
      <c r="W49" t="s">
        <v>81</v>
      </c>
      <c r="X49" s="70">
        <f>(Z26-V26)*N26</f>
        <v>9133.9480299565039</v>
      </c>
      <c r="Y49">
        <f>V26+(X50/N26)</f>
        <v>85.415529498778881</v>
      </c>
      <c r="Z49" s="70">
        <f>V26</f>
        <v>85.085136959247549</v>
      </c>
    </row>
    <row r="50" spans="1:26">
      <c r="A50" s="348"/>
      <c r="B50" s="61"/>
      <c r="C50" s="61"/>
      <c r="D50" s="61"/>
      <c r="E50" s="152">
        <f>D48+E47</f>
        <v>-31162.916595980329</v>
      </c>
      <c r="F50" s="61"/>
      <c r="G50" s="152">
        <f>F48+G47</f>
        <v>835.27924924324225</v>
      </c>
      <c r="H50" s="350"/>
      <c r="I50" s="19"/>
      <c r="J50" s="19"/>
      <c r="K50" s="181">
        <v>137.5</v>
      </c>
      <c r="L50" s="184">
        <f>G44</f>
        <v>1292.1872345142297</v>
      </c>
      <c r="P50" t="s">
        <v>96</v>
      </c>
      <c r="Q50">
        <f>(R33-P33)*N33</f>
        <v>4676.2043885639996</v>
      </c>
      <c r="W50" t="s">
        <v>224</v>
      </c>
      <c r="X50" s="70">
        <f>(AC39-AB39)*N39</f>
        <v>57.575048573879997</v>
      </c>
      <c r="Y50">
        <v>192</v>
      </c>
      <c r="Z50">
        <v>140.47999999999999</v>
      </c>
    </row>
    <row r="51" spans="1:26">
      <c r="A51" s="348"/>
      <c r="B51" s="133">
        <v>119.04300000000001</v>
      </c>
      <c r="C51" s="61"/>
      <c r="D51" s="442">
        <v>0.61658369046309036</v>
      </c>
      <c r="E51" s="61"/>
      <c r="F51" s="442">
        <v>0.61658369046309036</v>
      </c>
      <c r="G51" s="61"/>
      <c r="H51" s="350"/>
      <c r="I51" s="19"/>
      <c r="J51" s="19"/>
      <c r="K51" s="181">
        <v>120.477</v>
      </c>
      <c r="L51" s="184">
        <f>G47</f>
        <v>667.3119184079942</v>
      </c>
      <c r="P51" t="s">
        <v>99</v>
      </c>
      <c r="Q51">
        <f>(R34-P34)*N34</f>
        <v>57.3123976308</v>
      </c>
      <c r="W51" t="s">
        <v>269</v>
      </c>
      <c r="X51" s="70">
        <f>MIN(X49:X50)</f>
        <v>57.575048573879997</v>
      </c>
    </row>
    <row r="52" spans="1:26">
      <c r="A52" s="348"/>
      <c r="B52" s="133">
        <v>119.04103150819901</v>
      </c>
      <c r="C52" s="61"/>
      <c r="D52" s="442"/>
      <c r="E52" s="61"/>
      <c r="F52" s="442"/>
      <c r="G52" s="61"/>
      <c r="H52" s="350"/>
      <c r="I52" s="19"/>
      <c r="J52" s="19"/>
      <c r="K52" s="181">
        <v>119.04300000000001</v>
      </c>
      <c r="L52" s="184">
        <f>G50</f>
        <v>835.27924924324225</v>
      </c>
      <c r="P52" t="s">
        <v>105</v>
      </c>
      <c r="Q52">
        <f>(U25-S36)*N36</f>
        <v>3485.2511291901601</v>
      </c>
      <c r="X52" s="70"/>
    </row>
    <row r="53" spans="1:26">
      <c r="A53" s="348"/>
      <c r="B53" s="61"/>
      <c r="C53" s="61"/>
      <c r="D53" s="61"/>
      <c r="E53" s="152">
        <f>E50+D51</f>
        <v>-31162.300012289867</v>
      </c>
      <c r="F53" s="61"/>
      <c r="G53" s="152">
        <f>G50+F51</f>
        <v>835.89583293370538</v>
      </c>
      <c r="H53" s="350"/>
      <c r="I53" s="19"/>
      <c r="J53" s="19"/>
      <c r="K53" s="181">
        <v>119.04103150819901</v>
      </c>
      <c r="L53" s="184">
        <f>G53</f>
        <v>835.89583293370538</v>
      </c>
      <c r="P53" t="s">
        <v>222</v>
      </c>
      <c r="Q53">
        <f>(Q37-P37)*N37</f>
        <v>404.96128326143997</v>
      </c>
      <c r="W53" s="41" t="s">
        <v>103</v>
      </c>
      <c r="X53" s="70"/>
      <c r="Y53" t="s">
        <v>129</v>
      </c>
      <c r="Z53" t="s">
        <v>268</v>
      </c>
    </row>
    <row r="54" spans="1:26">
      <c r="A54" s="348"/>
      <c r="B54" s="133">
        <v>119.04103150819901</v>
      </c>
      <c r="C54" s="61"/>
      <c r="D54" s="442">
        <v>-75.175417822187001</v>
      </c>
      <c r="E54" s="61"/>
      <c r="F54" s="442">
        <v>-75.175417822187001</v>
      </c>
      <c r="G54" s="61"/>
      <c r="H54" s="350"/>
      <c r="I54" s="19"/>
      <c r="J54" s="19"/>
      <c r="K54" s="181">
        <v>117.05358729018999</v>
      </c>
      <c r="L54" s="184">
        <f>G56</f>
        <v>760.72041511151838</v>
      </c>
      <c r="P54" t="s">
        <v>223</v>
      </c>
      <c r="Q54">
        <f>(U25-P38)*N38</f>
        <v>430.56435118812027</v>
      </c>
      <c r="W54" t="s">
        <v>81</v>
      </c>
      <c r="X54" s="70">
        <f>(Z26-Y26)*N26</f>
        <v>9133.9480299565039</v>
      </c>
      <c r="Y54" s="70">
        <f>Z26</f>
        <v>137.5</v>
      </c>
      <c r="Z54" s="70">
        <f>Y26</f>
        <v>85.085136959247549</v>
      </c>
    </row>
    <row r="55" spans="1:26">
      <c r="A55" s="348"/>
      <c r="B55" s="418">
        <v>117.05358729018999</v>
      </c>
      <c r="C55" s="61"/>
      <c r="D55" s="442"/>
      <c r="E55" s="61"/>
      <c r="F55" s="442"/>
      <c r="G55" s="61"/>
      <c r="H55" s="350"/>
      <c r="I55" s="19"/>
      <c r="J55" s="19"/>
      <c r="K55" s="181">
        <v>83.805621619001997</v>
      </c>
      <c r="L55" s="184">
        <f>G59</f>
        <v>9.0949470177292824E-13</v>
      </c>
      <c r="P55" t="s">
        <v>81</v>
      </c>
      <c r="Q55">
        <f>(U25-S26)*N26</f>
        <v>3485.2511291901601</v>
      </c>
      <c r="U55" s="19"/>
      <c r="W55" t="s">
        <v>87</v>
      </c>
      <c r="X55" s="70">
        <f>(AB30-W30)*N30</f>
        <v>40911.2996202719</v>
      </c>
      <c r="Y55">
        <f>400.15-(X56/N30)</f>
        <v>333.20392056990841</v>
      </c>
      <c r="Z55">
        <v>400.15</v>
      </c>
    </row>
    <row r="56" spans="1:26">
      <c r="A56" s="348"/>
      <c r="B56" s="61"/>
      <c r="C56" s="61"/>
      <c r="D56" s="61"/>
      <c r="E56" s="152">
        <f>E53+D54</f>
        <v>-31237.475430112052</v>
      </c>
      <c r="F56" s="61"/>
      <c r="G56" s="152">
        <f>G53+F54</f>
        <v>760.72041511151838</v>
      </c>
      <c r="H56" s="350"/>
      <c r="I56" s="19"/>
      <c r="J56" s="19"/>
      <c r="K56" s="181">
        <v>82.6</v>
      </c>
      <c r="L56" s="184">
        <f>G62</f>
        <v>74.941865611812375</v>
      </c>
      <c r="Q56">
        <f>SUM(Q48:Q55)</f>
        <v>29521.911165374469</v>
      </c>
      <c r="W56" t="s">
        <v>137</v>
      </c>
      <c r="X56" s="70">
        <f>MIN(X54:X55)</f>
        <v>9133.9480299565039</v>
      </c>
    </row>
    <row r="57" spans="1:26">
      <c r="A57" s="348"/>
      <c r="B57" s="418">
        <v>117.05358729018999</v>
      </c>
      <c r="C57" s="61"/>
      <c r="D57" s="442">
        <v>-760.72041511151747</v>
      </c>
      <c r="E57" s="61"/>
      <c r="F57" s="442">
        <v>-760.72041511151747</v>
      </c>
      <c r="G57" s="61"/>
      <c r="H57" s="350"/>
      <c r="I57" s="19"/>
      <c r="J57" s="19"/>
      <c r="K57" s="181">
        <v>80.3</v>
      </c>
      <c r="L57" s="184">
        <f>G65</f>
        <v>1507.2720116029932</v>
      </c>
      <c r="X57" s="70"/>
    </row>
    <row r="58" spans="1:26">
      <c r="A58" s="348"/>
      <c r="B58" s="418">
        <v>83.805621619001997</v>
      </c>
      <c r="C58" s="61"/>
      <c r="D58" s="442"/>
      <c r="E58" s="61"/>
      <c r="F58" s="442"/>
      <c r="G58" s="61"/>
      <c r="H58" s="350"/>
      <c r="I58" s="19"/>
      <c r="J58" s="19"/>
      <c r="K58" s="181">
        <v>57.177750517301007</v>
      </c>
      <c r="L58" s="184">
        <f>G68</f>
        <v>30694.492785735842</v>
      </c>
      <c r="W58" s="41" t="s">
        <v>244</v>
      </c>
      <c r="X58" s="70"/>
      <c r="Y58" t="s">
        <v>129</v>
      </c>
      <c r="Z58" t="s">
        <v>268</v>
      </c>
    </row>
    <row r="59" spans="1:26">
      <c r="A59" s="351" t="s">
        <v>271</v>
      </c>
      <c r="B59" s="61"/>
      <c r="C59" s="61"/>
      <c r="D59" s="61"/>
      <c r="E59" s="152">
        <f>E56+D57</f>
        <v>-31998.19584522357</v>
      </c>
      <c r="F59" s="61"/>
      <c r="G59" s="152">
        <f>G56+F57</f>
        <v>9.0949470177292824E-13</v>
      </c>
      <c r="H59" s="350"/>
      <c r="I59" s="19"/>
      <c r="J59" s="19"/>
      <c r="K59" s="181">
        <v>52.665870539244999</v>
      </c>
      <c r="L59" s="184">
        <f>G71</f>
        <v>36401.499640332084</v>
      </c>
      <c r="W59" t="s">
        <v>82</v>
      </c>
      <c r="X59" s="70">
        <f>(AA27-W27)*N27</f>
        <v>36075.888477323999</v>
      </c>
      <c r="Y59">
        <f>(X61/N27)+W27</f>
        <v>165.47650583097746</v>
      </c>
      <c r="Z59" s="70">
        <f>AA27</f>
        <v>195.2</v>
      </c>
    </row>
    <row r="60" spans="1:26">
      <c r="A60" s="348"/>
      <c r="B60" s="418">
        <v>83.805621619001997</v>
      </c>
      <c r="C60" s="61"/>
      <c r="D60" s="442">
        <v>74.941865611811465</v>
      </c>
      <c r="E60" s="61"/>
      <c r="F60" s="442">
        <v>74.941865611811465</v>
      </c>
      <c r="G60" s="61"/>
      <c r="H60" s="350"/>
      <c r="I60" s="19"/>
      <c r="J60" s="19"/>
      <c r="K60" s="181">
        <v>45.150063343529993</v>
      </c>
      <c r="L60" s="184">
        <f>G74</f>
        <v>50680.435477870305</v>
      </c>
      <c r="W60" t="s">
        <v>87</v>
      </c>
      <c r="X60" s="70">
        <f>(AA30-205)*N30</f>
        <v>17491.807700928028</v>
      </c>
      <c r="Y60">
        <v>205</v>
      </c>
      <c r="Z60">
        <f>AA30</f>
        <v>333.20392056990841</v>
      </c>
    </row>
    <row r="61" spans="1:26">
      <c r="A61" s="348"/>
      <c r="B61" s="418">
        <v>82.6</v>
      </c>
      <c r="C61" s="61"/>
      <c r="D61" s="442"/>
      <c r="E61" s="61"/>
      <c r="F61" s="442"/>
      <c r="G61" s="61"/>
      <c r="H61" s="350"/>
      <c r="I61" s="19"/>
      <c r="J61" s="19"/>
      <c r="K61" s="181">
        <v>45</v>
      </c>
      <c r="L61" s="184">
        <f>G77</f>
        <v>50965.533910817452</v>
      </c>
      <c r="W61" t="s">
        <v>137</v>
      </c>
      <c r="X61" s="70">
        <f>MIN(X59:X60)</f>
        <v>17491.807700928028</v>
      </c>
    </row>
    <row r="62" spans="1:26">
      <c r="A62" s="348"/>
      <c r="B62" s="61"/>
      <c r="C62" s="61"/>
      <c r="D62" s="61"/>
      <c r="E62" s="152">
        <f>E59+D60</f>
        <v>-31923.25397961176</v>
      </c>
      <c r="F62" s="61"/>
      <c r="G62" s="152">
        <f>G59+F60</f>
        <v>74.941865611812375</v>
      </c>
      <c r="H62" s="350"/>
      <c r="I62" s="19"/>
      <c r="J62" s="19"/>
      <c r="K62" s="181">
        <v>38.4</v>
      </c>
      <c r="L62" s="184">
        <f>G80</f>
        <v>59957.880217919555</v>
      </c>
    </row>
    <row r="63" spans="1:26">
      <c r="A63" s="348"/>
      <c r="B63" s="418">
        <v>82.6</v>
      </c>
      <c r="C63" s="61"/>
      <c r="D63" s="442">
        <v>1432.3301459911809</v>
      </c>
      <c r="E63" s="61"/>
      <c r="F63" s="442">
        <v>1432.3301459911809</v>
      </c>
      <c r="G63" s="61"/>
      <c r="H63" s="350"/>
      <c r="I63" s="19"/>
      <c r="J63" s="19"/>
      <c r="K63" s="185">
        <v>35</v>
      </c>
      <c r="L63" s="184">
        <f>G83</f>
        <v>64590.301042790335</v>
      </c>
      <c r="W63" t="s">
        <v>272</v>
      </c>
    </row>
    <row r="64" spans="1:26">
      <c r="A64" s="348"/>
      <c r="B64" s="418">
        <v>80.3</v>
      </c>
      <c r="C64" s="61"/>
      <c r="D64" s="442"/>
      <c r="E64" s="61"/>
      <c r="F64" s="442"/>
      <c r="G64" s="61"/>
      <c r="H64" s="350"/>
      <c r="I64" s="19"/>
      <c r="J64" s="19"/>
    </row>
    <row r="65" spans="1:27">
      <c r="A65" s="348"/>
      <c r="B65" s="61"/>
      <c r="C65" s="61"/>
      <c r="D65" s="61"/>
      <c r="E65" s="152">
        <f>E62+D63</f>
        <v>-30490.923833620578</v>
      </c>
      <c r="F65" s="61"/>
      <c r="G65" s="152">
        <f>G62+F63</f>
        <v>1507.2720116029932</v>
      </c>
      <c r="H65" s="350"/>
      <c r="I65" s="233"/>
      <c r="J65" s="19"/>
      <c r="W65" s="187">
        <f>AD41+AD36+AD35+AD31+AD30</f>
        <v>0</v>
      </c>
      <c r="X65" s="186">
        <v>3412.1419999999998</v>
      </c>
      <c r="Y65">
        <f>W65*X65</f>
        <v>0</v>
      </c>
    </row>
    <row r="66" spans="1:27">
      <c r="A66" s="348"/>
      <c r="B66" s="418">
        <v>80.3</v>
      </c>
      <c r="C66" s="61"/>
      <c r="D66" s="442">
        <v>29187.220774132849</v>
      </c>
      <c r="E66" s="61"/>
      <c r="F66" s="442">
        <v>29187.220774132849</v>
      </c>
      <c r="G66" s="61"/>
      <c r="H66" s="447"/>
      <c r="I66" s="233"/>
      <c r="J66" s="19"/>
      <c r="X66" s="186">
        <v>3412.1419999999998</v>
      </c>
      <c r="AA66" t="s">
        <v>273</v>
      </c>
    </row>
    <row r="67" spans="1:27">
      <c r="A67" s="348"/>
      <c r="B67" s="418">
        <v>57.177750517301007</v>
      </c>
      <c r="C67" s="61"/>
      <c r="D67" s="442"/>
      <c r="E67" s="61"/>
      <c r="F67" s="442"/>
      <c r="G67" s="61"/>
      <c r="H67" s="447"/>
      <c r="I67" s="233"/>
      <c r="J67" s="19"/>
      <c r="W67" s="70"/>
    </row>
    <row r="68" spans="1:27">
      <c r="A68" s="348"/>
      <c r="B68" s="61"/>
      <c r="C68" s="61"/>
      <c r="D68" s="61"/>
      <c r="E68" s="152">
        <f>E65+D66</f>
        <v>-1303.7030594877288</v>
      </c>
      <c r="F68" s="61"/>
      <c r="G68" s="152">
        <f>G65+F66</f>
        <v>30694.492785735842</v>
      </c>
      <c r="H68" s="350"/>
      <c r="I68" s="233"/>
      <c r="J68" s="19"/>
    </row>
    <row r="69" spans="1:27">
      <c r="A69" s="348"/>
      <c r="B69" s="418">
        <v>57.177750517301007</v>
      </c>
      <c r="C69" s="61"/>
      <c r="D69" s="442">
        <v>5707.0068545962413</v>
      </c>
      <c r="E69" s="61"/>
      <c r="F69" s="442">
        <v>5707.0068545962413</v>
      </c>
      <c r="G69" s="61"/>
      <c r="H69" s="349"/>
    </row>
    <row r="70" spans="1:27">
      <c r="A70" s="348"/>
      <c r="B70" s="418">
        <v>52.665870539244999</v>
      </c>
      <c r="C70" s="61"/>
      <c r="D70" s="442"/>
      <c r="E70" s="61"/>
      <c r="F70" s="442"/>
      <c r="G70" s="61"/>
      <c r="H70" s="349"/>
    </row>
    <row r="71" spans="1:27">
      <c r="A71" s="348"/>
      <c r="B71" s="61"/>
      <c r="C71" s="61"/>
      <c r="D71" s="61"/>
      <c r="E71" s="152">
        <f>E68+D69</f>
        <v>4403.3037951085125</v>
      </c>
      <c r="F71" s="61"/>
      <c r="G71" s="152">
        <f>G68+F69</f>
        <v>36401.499640332084</v>
      </c>
      <c r="H71" s="349"/>
    </row>
    <row r="72" spans="1:27">
      <c r="A72" s="348"/>
      <c r="B72" s="418">
        <v>52.665870539244999</v>
      </c>
      <c r="C72" s="61"/>
      <c r="D72" s="442">
        <v>14278.93583753822</v>
      </c>
      <c r="E72" s="61"/>
      <c r="F72" s="442">
        <v>14278.93583753822</v>
      </c>
      <c r="G72" s="61"/>
      <c r="H72" s="349"/>
    </row>
    <row r="73" spans="1:27">
      <c r="A73" s="348"/>
      <c r="B73" s="418">
        <v>45.150063343529993</v>
      </c>
      <c r="C73" s="61"/>
      <c r="D73" s="442"/>
      <c r="E73" s="61"/>
      <c r="F73" s="442"/>
      <c r="G73" s="61"/>
      <c r="H73" s="349"/>
    </row>
    <row r="74" spans="1:27">
      <c r="A74" s="348"/>
      <c r="B74" s="61"/>
      <c r="C74" s="61"/>
      <c r="D74" s="61"/>
      <c r="E74" s="152">
        <f>E71+D72</f>
        <v>18682.239632646731</v>
      </c>
      <c r="F74" s="61"/>
      <c r="G74" s="152">
        <f>G71+F72</f>
        <v>50680.435477870305</v>
      </c>
      <c r="H74" s="349"/>
    </row>
    <row r="75" spans="1:27">
      <c r="A75" s="348"/>
      <c r="B75" s="418">
        <v>45.150063343529993</v>
      </c>
      <c r="C75" s="61"/>
      <c r="D75" s="442">
        <v>285.09843294714557</v>
      </c>
      <c r="E75" s="61"/>
      <c r="F75" s="442">
        <v>285.09843294714557</v>
      </c>
      <c r="G75" s="61"/>
      <c r="H75" s="349"/>
      <c r="W75" s="445" t="s">
        <v>274</v>
      </c>
      <c r="X75" s="446"/>
      <c r="Z75" s="414" t="s">
        <v>274</v>
      </c>
      <c r="AA75" s="415"/>
    </row>
    <row r="76" spans="1:27">
      <c r="A76" s="348"/>
      <c r="B76" s="418">
        <v>45</v>
      </c>
      <c r="C76" s="61"/>
      <c r="D76" s="442"/>
      <c r="E76" s="61"/>
      <c r="F76" s="442"/>
      <c r="G76" s="61"/>
      <c r="H76" s="349"/>
      <c r="W76" s="13" t="s">
        <v>275</v>
      </c>
      <c r="X76" s="13">
        <f>SUM(Q48:Q54)</f>
        <v>26036.660036184308</v>
      </c>
      <c r="Z76" s="13" t="s">
        <v>275</v>
      </c>
      <c r="AA76" s="13">
        <v>27500.465510444177</v>
      </c>
    </row>
    <row r="77" spans="1:27">
      <c r="A77" s="348"/>
      <c r="B77" s="61"/>
      <c r="C77" s="61"/>
      <c r="D77" s="61"/>
      <c r="E77" s="152">
        <f>E74+D75</f>
        <v>18967.338065593878</v>
      </c>
      <c r="F77" s="61"/>
      <c r="G77" s="152">
        <f>G74+F75</f>
        <v>50965.533910817452</v>
      </c>
      <c r="H77" s="349"/>
      <c r="W77" s="13" t="s">
        <v>276</v>
      </c>
      <c r="X77" s="15">
        <v>3412.1419999999998</v>
      </c>
      <c r="Z77" s="13" t="s">
        <v>276</v>
      </c>
      <c r="AA77" s="15">
        <v>3412.1419999999998</v>
      </c>
    </row>
    <row r="78" spans="1:27">
      <c r="A78" s="348"/>
      <c r="B78" s="418">
        <v>45</v>
      </c>
      <c r="C78" s="61"/>
      <c r="D78" s="442">
        <v>8992.3463071021015</v>
      </c>
      <c r="E78" s="61"/>
      <c r="F78" s="442">
        <v>8992.3463071021015</v>
      </c>
      <c r="G78" s="61"/>
      <c r="H78" s="349"/>
      <c r="W78" s="13" t="s">
        <v>277</v>
      </c>
      <c r="X78" s="13">
        <f>X76*X77</f>
        <v>88840781.249185994</v>
      </c>
      <c r="Z78" s="13" t="s">
        <v>277</v>
      </c>
      <c r="AA78" s="13">
        <v>93835493.387738004</v>
      </c>
    </row>
    <row r="79" spans="1:27">
      <c r="A79" s="348"/>
      <c r="B79" s="418">
        <v>38.4</v>
      </c>
      <c r="C79" s="61"/>
      <c r="D79" s="442"/>
      <c r="E79" s="61"/>
      <c r="F79" s="442"/>
      <c r="G79" s="61"/>
      <c r="H79" s="349"/>
      <c r="W79" s="13" t="s">
        <v>278</v>
      </c>
      <c r="X79" s="13">
        <v>948.1</v>
      </c>
      <c r="Z79" s="13" t="s">
        <v>278</v>
      </c>
      <c r="AA79" s="13">
        <v>948.1</v>
      </c>
    </row>
    <row r="80" spans="1:27">
      <c r="A80" s="348"/>
      <c r="B80" s="61"/>
      <c r="C80" s="61"/>
      <c r="D80" s="61"/>
      <c r="E80" s="152">
        <f>E77+D78</f>
        <v>27959.684372695978</v>
      </c>
      <c r="F80" s="61"/>
      <c r="G80" s="152">
        <f>G77+F78</f>
        <v>59957.880217919555</v>
      </c>
      <c r="H80" s="349"/>
      <c r="W80" s="13" t="s">
        <v>279</v>
      </c>
      <c r="X80" s="13">
        <f>X78/X79</f>
        <v>93704.019881010434</v>
      </c>
      <c r="Z80" s="13" t="s">
        <v>279</v>
      </c>
      <c r="AA80" s="13">
        <v>98972.147861763529</v>
      </c>
    </row>
    <row r="81" spans="1:28">
      <c r="A81" s="348"/>
      <c r="B81" s="418">
        <v>38.4</v>
      </c>
      <c r="C81" s="61"/>
      <c r="D81" s="442">
        <v>4632.4208248707764</v>
      </c>
      <c r="E81" s="61"/>
      <c r="F81" s="452">
        <v>4632.4208248707764</v>
      </c>
      <c r="G81" s="61"/>
      <c r="H81" s="349"/>
      <c r="W81" s="13" t="s">
        <v>280</v>
      </c>
      <c r="X81" s="13">
        <v>2.2799999999999998</v>
      </c>
      <c r="Z81" s="13" t="s">
        <v>280</v>
      </c>
      <c r="AA81" s="13">
        <v>2.2799999999999998</v>
      </c>
    </row>
    <row r="82" spans="1:28">
      <c r="A82" s="348"/>
      <c r="B82" s="418">
        <v>35</v>
      </c>
      <c r="C82" s="61"/>
      <c r="D82" s="442"/>
      <c r="E82" s="61"/>
      <c r="F82" s="452"/>
      <c r="G82" s="61"/>
      <c r="H82" s="349"/>
      <c r="W82" s="13" t="s">
        <v>281</v>
      </c>
      <c r="X82" s="13">
        <f>(X80/1000)*X81</f>
        <v>213.64516532870377</v>
      </c>
      <c r="Z82" s="13" t="s">
        <v>281</v>
      </c>
      <c r="AA82" s="13">
        <v>225.65649712482085</v>
      </c>
    </row>
    <row r="83" spans="1:28">
      <c r="A83" s="348"/>
      <c r="B83" s="61"/>
      <c r="C83" s="61"/>
      <c r="D83" s="61"/>
      <c r="E83" s="152">
        <f>E80+D81</f>
        <v>32592.105197566754</v>
      </c>
      <c r="F83" s="152"/>
      <c r="G83" s="152">
        <f>G80+F81</f>
        <v>64590.301042790335</v>
      </c>
      <c r="H83" s="349"/>
      <c r="W83" s="200" t="s">
        <v>282</v>
      </c>
      <c r="X83" s="191">
        <f>X82*7211.21877372371</f>
        <v>1540642.0271336546</v>
      </c>
      <c r="Z83" s="200" t="s">
        <v>282</v>
      </c>
      <c r="AA83" s="191">
        <f>7591*AA82</f>
        <v>1712958.4696745151</v>
      </c>
      <c r="AB83" s="188"/>
    </row>
    <row r="84" spans="1:28" ht="15" thickBot="1">
      <c r="A84" s="352"/>
      <c r="B84" s="353"/>
      <c r="C84" s="353"/>
      <c r="D84" s="353"/>
      <c r="E84" s="353"/>
      <c r="F84" s="353"/>
      <c r="G84" s="353"/>
      <c r="H84" s="354"/>
      <c r="W84" s="445" t="s">
        <v>283</v>
      </c>
      <c r="X84" s="446"/>
      <c r="Z84" s="414" t="s">
        <v>283</v>
      </c>
      <c r="AA84" s="415"/>
    </row>
    <row r="85" spans="1:28">
      <c r="D85" t="s">
        <v>269</v>
      </c>
      <c r="E85" s="70">
        <f xml:space="preserve"> MIN(E29:E83)</f>
        <v>-31998.19584522357</v>
      </c>
      <c r="W85" s="13" t="s">
        <v>275</v>
      </c>
      <c r="X85" s="192">
        <f>AD30+AD31+AD35+AD36+AD38+AD41</f>
        <v>0</v>
      </c>
      <c r="Z85" s="13" t="s">
        <v>275</v>
      </c>
      <c r="AA85" s="192">
        <v>40111.367907635577</v>
      </c>
    </row>
    <row r="86" spans="1:28">
      <c r="W86" s="13" t="s">
        <v>276</v>
      </c>
      <c r="X86" s="15">
        <v>3412.1419999999998</v>
      </c>
      <c r="Z86" s="13" t="s">
        <v>276</v>
      </c>
      <c r="AA86" s="15">
        <v>3412.1419999999998</v>
      </c>
    </row>
    <row r="87" spans="1:28">
      <c r="W87" s="13" t="s">
        <v>277</v>
      </c>
      <c r="X87" s="13">
        <f>X85*X86</f>
        <v>0</v>
      </c>
      <c r="Z87" s="13" t="s">
        <v>277</v>
      </c>
      <c r="AA87" s="13">
        <v>136865683.11509547</v>
      </c>
    </row>
    <row r="88" spans="1:28">
      <c r="W88" s="13" t="s">
        <v>278</v>
      </c>
      <c r="X88" s="13">
        <v>914.1</v>
      </c>
      <c r="Z88" s="13" t="s">
        <v>278</v>
      </c>
      <c r="AA88" s="13">
        <v>914.1</v>
      </c>
    </row>
    <row r="89" spans="1:28">
      <c r="W89" s="13" t="s">
        <v>279</v>
      </c>
      <c r="X89" s="13">
        <f>X87/X88</f>
        <v>0</v>
      </c>
      <c r="Z89" s="13" t="s">
        <v>279</v>
      </c>
      <c r="AA89" s="13">
        <v>149727.25425565636</v>
      </c>
    </row>
    <row r="90" spans="1:28">
      <c r="W90" s="13" t="s">
        <v>280</v>
      </c>
      <c r="X90" s="13">
        <v>2.8</v>
      </c>
      <c r="Z90" s="13" t="s">
        <v>280</v>
      </c>
      <c r="AA90" s="13">
        <v>2.8</v>
      </c>
    </row>
    <row r="91" spans="1:28">
      <c r="W91" s="13" t="s">
        <v>281</v>
      </c>
      <c r="X91" s="13">
        <f>(X89/1000)*X90</f>
        <v>0</v>
      </c>
      <c r="Z91" s="13" t="s">
        <v>281</v>
      </c>
      <c r="AA91" s="13">
        <v>419.2363119158378</v>
      </c>
    </row>
    <row r="92" spans="1:28" ht="15" thickBot="1">
      <c r="W92" s="200" t="s">
        <v>282</v>
      </c>
      <c r="X92" s="201">
        <f>X91*7211.21877372371</f>
        <v>0</v>
      </c>
      <c r="Z92" s="200" t="s">
        <v>282</v>
      </c>
      <c r="AA92" s="201">
        <f>7591*AA91</f>
        <v>3182422.8437531246</v>
      </c>
    </row>
    <row r="93" spans="1:28" ht="15" thickBot="1">
      <c r="W93" s="198" t="s">
        <v>284</v>
      </c>
      <c r="X93" s="202">
        <f>X92+X83</f>
        <v>1540642.0271336546</v>
      </c>
      <c r="Z93" s="198" t="s">
        <v>284</v>
      </c>
      <c r="AA93" s="202">
        <f>AA83+AA92</f>
        <v>4895381.3134276401</v>
      </c>
    </row>
    <row r="94" spans="1:28">
      <c r="W94" s="453" t="s">
        <v>273</v>
      </c>
      <c r="X94" s="454"/>
      <c r="Z94" s="416" t="s">
        <v>273</v>
      </c>
      <c r="AA94" s="417"/>
    </row>
    <row r="95" spans="1:28">
      <c r="W95" s="193" t="s">
        <v>285</v>
      </c>
      <c r="X95" s="194">
        <f>AD29+AD28+AD27-Q55</f>
        <v>-3485.2511291901601</v>
      </c>
      <c r="Z95" s="193" t="s">
        <v>285</v>
      </c>
      <c r="AA95" s="194">
        <v>-63148.30996393611</v>
      </c>
    </row>
    <row r="96" spans="1:28">
      <c r="W96" s="193" t="s">
        <v>286</v>
      </c>
      <c r="X96" s="193">
        <v>30</v>
      </c>
      <c r="Z96" s="193" t="s">
        <v>286</v>
      </c>
      <c r="AA96" s="193">
        <v>30</v>
      </c>
    </row>
    <row r="97" spans="23:27">
      <c r="W97" s="193" t="s">
        <v>287</v>
      </c>
      <c r="X97" s="193">
        <v>45</v>
      </c>
      <c r="Z97" s="193" t="s">
        <v>287</v>
      </c>
      <c r="AA97" s="193">
        <v>45</v>
      </c>
    </row>
    <row r="98" spans="23:27">
      <c r="W98" s="193" t="s">
        <v>288</v>
      </c>
      <c r="X98" s="193">
        <v>4.18</v>
      </c>
      <c r="Z98" s="193" t="s">
        <v>288</v>
      </c>
      <c r="AA98" s="193">
        <v>4.18</v>
      </c>
    </row>
    <row r="99" spans="23:27">
      <c r="W99" s="193" t="s">
        <v>289</v>
      </c>
      <c r="X99" s="193">
        <f>X95/(X98*(X96-X97))</f>
        <v>55.586142411326321</v>
      </c>
      <c r="Z99" s="193" t="s">
        <v>289</v>
      </c>
      <c r="AA99" s="193">
        <v>1007.150079169635</v>
      </c>
    </row>
    <row r="100" spans="23:27">
      <c r="W100" s="193" t="s">
        <v>290</v>
      </c>
      <c r="X100" s="193">
        <f>X99*60</f>
        <v>3335.1685446795791</v>
      </c>
      <c r="Z100" s="193" t="s">
        <v>290</v>
      </c>
      <c r="AA100" s="193">
        <v>60429.004750178101</v>
      </c>
    </row>
    <row r="101" spans="23:27">
      <c r="W101" s="193" t="s">
        <v>291</v>
      </c>
      <c r="X101" s="193">
        <v>997</v>
      </c>
      <c r="Z101" s="193" t="s">
        <v>291</v>
      </c>
      <c r="AA101" s="193">
        <v>997</v>
      </c>
    </row>
    <row r="102" spans="23:27">
      <c r="W102" s="193" t="s">
        <v>292</v>
      </c>
      <c r="X102" s="193">
        <f>X100/X101</f>
        <v>3.345204157151032</v>
      </c>
      <c r="Z102" s="193" t="s">
        <v>292</v>
      </c>
      <c r="AA102" s="193">
        <v>60.610837261963994</v>
      </c>
    </row>
    <row r="103" spans="23:27">
      <c r="W103" s="193" t="s">
        <v>293</v>
      </c>
      <c r="X103" s="193">
        <v>8.1199999999999992</v>
      </c>
      <c r="Z103" s="193" t="s">
        <v>293</v>
      </c>
      <c r="AA103" s="193">
        <v>8.1199999999999992</v>
      </c>
    </row>
    <row r="104" spans="23:27" ht="15" thickBot="1">
      <c r="W104" s="197" t="s">
        <v>294</v>
      </c>
      <c r="X104" s="197">
        <f>(X102/1000)*X103</f>
        <v>2.7163057756066377E-2</v>
      </c>
      <c r="Z104" s="197" t="s">
        <v>294</v>
      </c>
      <c r="AA104" s="197">
        <v>0.49215999856714759</v>
      </c>
    </row>
    <row r="105" spans="23:27" ht="15" thickBot="1">
      <c r="W105" s="198" t="s">
        <v>295</v>
      </c>
      <c r="X105" s="199">
        <f>X104*7211.21877372371</f>
        <v>195.87875204228729</v>
      </c>
      <c r="Z105" s="198" t="s">
        <v>295</v>
      </c>
      <c r="AA105" s="199">
        <f>AA104*7591</f>
        <v>3735.9865491232172</v>
      </c>
    </row>
    <row r="106" spans="23:27" ht="15" thickBot="1"/>
    <row r="107" spans="23:27" ht="15" thickBot="1">
      <c r="W107" s="195" t="s">
        <v>296</v>
      </c>
      <c r="X107" s="196">
        <f>X105+X93</f>
        <v>1540837.9058856969</v>
      </c>
      <c r="Z107" s="195" t="s">
        <v>296</v>
      </c>
      <c r="AA107" s="196">
        <f>AA93+AA105</f>
        <v>4899117.2999767633</v>
      </c>
    </row>
    <row r="109" spans="23:27">
      <c r="W109" t="s">
        <v>297</v>
      </c>
      <c r="X109" s="188">
        <f>'[1]ISOM '!$P$41-X107</f>
        <v>-1540837.9058856969</v>
      </c>
      <c r="Z109" t="s">
        <v>297</v>
      </c>
      <c r="AA109" s="188">
        <f>'[1]Without isom'!$P$40-AA107</f>
        <v>-4899117.2999767633</v>
      </c>
    </row>
  </sheetData>
  <sortState xmlns:xlrd2="http://schemas.microsoft.com/office/spreadsheetml/2017/richdata2" ref="N2:N17">
    <sortCondition descending="1" ref="N2:N17"/>
  </sortState>
  <mergeCells count="56">
    <mergeCell ref="H6:H7"/>
    <mergeCell ref="H11:H13"/>
    <mergeCell ref="H15:H17"/>
    <mergeCell ref="Q1:R1"/>
    <mergeCell ref="A23:H23"/>
    <mergeCell ref="H2:H4"/>
    <mergeCell ref="F81:F82"/>
    <mergeCell ref="H66:H67"/>
    <mergeCell ref="W84:X84"/>
    <mergeCell ref="W94:X94"/>
    <mergeCell ref="F69:F70"/>
    <mergeCell ref="F72:F73"/>
    <mergeCell ref="F75:F76"/>
    <mergeCell ref="F78:F79"/>
    <mergeCell ref="V24:Y24"/>
    <mergeCell ref="P24:R24"/>
    <mergeCell ref="W75:X75"/>
    <mergeCell ref="F51:F52"/>
    <mergeCell ref="F54:F55"/>
    <mergeCell ref="F57:F58"/>
    <mergeCell ref="F60:F61"/>
    <mergeCell ref="F63:F64"/>
    <mergeCell ref="F66:F67"/>
    <mergeCell ref="H42:H43"/>
    <mergeCell ref="H45:H46"/>
    <mergeCell ref="J26:J28"/>
    <mergeCell ref="J30:J31"/>
    <mergeCell ref="J35:J37"/>
    <mergeCell ref="J39:J41"/>
    <mergeCell ref="D75:D76"/>
    <mergeCell ref="D78:D79"/>
    <mergeCell ref="D81:D82"/>
    <mergeCell ref="F30:F31"/>
    <mergeCell ref="F33:F34"/>
    <mergeCell ref="F36:F37"/>
    <mergeCell ref="F39:F40"/>
    <mergeCell ref="F42:F43"/>
    <mergeCell ref="F45:F46"/>
    <mergeCell ref="F48:F49"/>
    <mergeCell ref="D57:D58"/>
    <mergeCell ref="D60:D61"/>
    <mergeCell ref="D63:D64"/>
    <mergeCell ref="D66:D67"/>
    <mergeCell ref="D69:D70"/>
    <mergeCell ref="D72:D73"/>
    <mergeCell ref="D54:D55"/>
    <mergeCell ref="D27:D28"/>
    <mergeCell ref="F27:F28"/>
    <mergeCell ref="D30:D31"/>
    <mergeCell ref="D33:D34"/>
    <mergeCell ref="D36:D37"/>
    <mergeCell ref="D39:D40"/>
    <mergeCell ref="D42:D43"/>
    <mergeCell ref="D45:D46"/>
    <mergeCell ref="D48:D49"/>
    <mergeCell ref="D51:D52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FB851-B6CD-4696-A246-FE99DB728DCC}">
  <dimension ref="A1:AM167"/>
  <sheetViews>
    <sheetView topLeftCell="Q28" zoomScale="60" zoomScaleNormal="60" workbookViewId="0">
      <selection activeCell="R45" sqref="R45"/>
    </sheetView>
  </sheetViews>
  <sheetFormatPr defaultRowHeight="14.45"/>
  <cols>
    <col min="1" max="1" width="12" bestFit="1" customWidth="1"/>
    <col min="2" max="2" width="13.7109375" style="1" bestFit="1" customWidth="1"/>
    <col min="3" max="3" width="6.7109375" style="1" bestFit="1" customWidth="1"/>
    <col min="4" max="4" width="17.42578125" style="1" customWidth="1"/>
    <col min="5" max="5" width="13.85546875" style="1" bestFit="1" customWidth="1"/>
    <col min="6" max="6" width="10.140625" style="1" bestFit="1" customWidth="1"/>
    <col min="7" max="7" width="10.85546875" style="1" bestFit="1" customWidth="1"/>
    <col min="8" max="8" width="26.85546875" bestFit="1" customWidth="1"/>
    <col min="9" max="9" width="9.42578125" bestFit="1" customWidth="1"/>
    <col min="10" max="10" width="26.85546875" bestFit="1" customWidth="1"/>
    <col min="11" max="11" width="9.42578125" bestFit="1" customWidth="1"/>
    <col min="12" max="12" width="10.5703125" bestFit="1" customWidth="1"/>
    <col min="13" max="13" width="12.5703125" bestFit="1" customWidth="1"/>
    <col min="14" max="14" width="11.85546875" bestFit="1" customWidth="1"/>
    <col min="15" max="15" width="10.140625" customWidth="1"/>
    <col min="16" max="16" width="25.42578125" bestFit="1" customWidth="1"/>
    <col min="17" max="17" width="11.85546875" bestFit="1" customWidth="1"/>
    <col min="18" max="18" width="16.85546875" bestFit="1" customWidth="1"/>
    <col min="19" max="19" width="10.140625" bestFit="1" customWidth="1"/>
    <col min="20" max="20" width="10.7109375" bestFit="1" customWidth="1"/>
    <col min="21" max="21" width="25.42578125" bestFit="1" customWidth="1"/>
    <col min="22" max="22" width="10.42578125" bestFit="1" customWidth="1"/>
    <col min="23" max="23" width="23.85546875" customWidth="1"/>
    <col min="24" max="24" width="17" bestFit="1" customWidth="1"/>
    <col min="25" max="25" width="11.42578125" bestFit="1" customWidth="1"/>
    <col min="26" max="26" width="26.42578125" customWidth="1"/>
    <col min="27" max="27" width="15.85546875" bestFit="1" customWidth="1"/>
    <col min="28" max="28" width="13.42578125" bestFit="1" customWidth="1"/>
    <col min="30" max="30" width="15.7109375" bestFit="1" customWidth="1"/>
    <col min="31" max="31" width="15" bestFit="1" customWidth="1"/>
    <col min="32" max="32" width="15.7109375" bestFit="1" customWidth="1"/>
    <col min="33" max="33" width="15" bestFit="1" customWidth="1"/>
    <col min="34" max="34" width="11.28515625" customWidth="1"/>
    <col min="35" max="35" width="26.85546875" bestFit="1" customWidth="1"/>
    <col min="36" max="36" width="10.85546875" bestFit="1" customWidth="1"/>
    <col min="41" max="41" width="12.5703125" bestFit="1" customWidth="1"/>
  </cols>
  <sheetData>
    <row r="1" spans="1:23">
      <c r="A1" s="42"/>
      <c r="B1" s="393" t="s">
        <v>2</v>
      </c>
      <c r="C1" s="393" t="s">
        <v>9</v>
      </c>
      <c r="D1" s="393" t="s">
        <v>10</v>
      </c>
      <c r="E1" s="393" t="s">
        <v>11</v>
      </c>
      <c r="F1" s="397"/>
      <c r="H1" s="300" t="s">
        <v>12</v>
      </c>
      <c r="I1" s="42" t="s">
        <v>298</v>
      </c>
      <c r="J1" s="298"/>
      <c r="K1" s="298" t="s">
        <v>79</v>
      </c>
      <c r="L1" s="298" t="s">
        <v>10</v>
      </c>
      <c r="M1" s="298" t="s">
        <v>11</v>
      </c>
      <c r="O1" t="s">
        <v>299</v>
      </c>
      <c r="Q1" s="411" t="s">
        <v>241</v>
      </c>
      <c r="R1" s="458" t="s">
        <v>83</v>
      </c>
      <c r="S1" s="458"/>
      <c r="T1" s="411" t="s">
        <v>84</v>
      </c>
      <c r="U1" s="411" t="s">
        <v>85</v>
      </c>
      <c r="V1" s="411" t="s">
        <v>86</v>
      </c>
    </row>
    <row r="2" spans="1:23">
      <c r="A2" s="44" t="s">
        <v>17</v>
      </c>
      <c r="B2" s="398">
        <v>14783.412274848</v>
      </c>
      <c r="C2" s="398">
        <v>52.665870539244999</v>
      </c>
      <c r="D2" s="398">
        <v>137.5</v>
      </c>
      <c r="E2" s="398">
        <f>B2/(D2-C2)</f>
        <v>174.26255645950764</v>
      </c>
      <c r="F2" s="399"/>
      <c r="G2" s="462" t="s">
        <v>87</v>
      </c>
      <c r="H2" s="36" t="s">
        <v>15</v>
      </c>
      <c r="I2" s="435" t="s">
        <v>87</v>
      </c>
      <c r="J2" s="91" t="s">
        <v>208</v>
      </c>
      <c r="K2" s="370">
        <v>52.665870539244999</v>
      </c>
      <c r="L2" s="370">
        <v>137.5</v>
      </c>
      <c r="M2" s="370">
        <v>174.26255645950764</v>
      </c>
      <c r="O2">
        <v>147.588663490973</v>
      </c>
      <c r="P2">
        <v>0</v>
      </c>
      <c r="Q2" s="125" t="s">
        <v>300</v>
      </c>
      <c r="R2" s="418">
        <v>456.85</v>
      </c>
      <c r="S2" s="418">
        <v>380.154028617682</v>
      </c>
      <c r="T2" s="134">
        <f>(R2-S2)*M8</f>
        <v>10464.197794355676</v>
      </c>
      <c r="U2" s="134">
        <f>(R2-S2)*M4</f>
        <v>11532.926956479829</v>
      </c>
      <c r="V2" s="131">
        <f t="shared" ref="V2:V28" si="0">T2-U2</f>
        <v>-1068.7291621241529</v>
      </c>
      <c r="W2">
        <v>1</v>
      </c>
    </row>
    <row r="3" spans="1:23">
      <c r="A3" s="44" t="s">
        <v>20</v>
      </c>
      <c r="B3" s="398">
        <v>36075.888477323999</v>
      </c>
      <c r="C3" s="398">
        <v>137.5</v>
      </c>
      <c r="D3" s="398">
        <v>195.2</v>
      </c>
      <c r="E3" s="398">
        <f>B3/(D3-C3)</f>
        <v>625.23203600214913</v>
      </c>
      <c r="F3" s="399"/>
      <c r="G3" s="462"/>
      <c r="H3" s="36" t="s">
        <v>21</v>
      </c>
      <c r="I3" s="435"/>
      <c r="J3" s="91" t="s">
        <v>210</v>
      </c>
      <c r="K3" s="370">
        <v>137.5</v>
      </c>
      <c r="L3" s="370">
        <v>195.2</v>
      </c>
      <c r="M3" s="370">
        <v>625.23203600214913</v>
      </c>
      <c r="O3">
        <v>147.588663490973</v>
      </c>
      <c r="P3" s="10">
        <v>530.83988793720005</v>
      </c>
      <c r="Q3" s="125" t="s">
        <v>300</v>
      </c>
      <c r="R3" s="418">
        <v>380.154028617682</v>
      </c>
      <c r="S3" s="132">
        <v>195.2</v>
      </c>
      <c r="T3" s="134">
        <f>(R3-S3)*M8</f>
        <v>25234.644055431356</v>
      </c>
      <c r="U3" s="134">
        <f>(R3-S3)*M4</f>
        <v>27811.908029972172</v>
      </c>
      <c r="V3" s="131">
        <f t="shared" si="0"/>
        <v>-2577.263974540816</v>
      </c>
      <c r="W3">
        <v>1</v>
      </c>
    </row>
    <row r="4" spans="1:23">
      <c r="A4" s="44" t="s">
        <v>26</v>
      </c>
      <c r="B4" s="398">
        <v>39344.834986451999</v>
      </c>
      <c r="C4" s="398">
        <v>195.2</v>
      </c>
      <c r="D4" s="398">
        <v>456.85</v>
      </c>
      <c r="E4" s="398">
        <f>B4/(D4-C4)</f>
        <v>150.37200453450026</v>
      </c>
      <c r="F4" s="399"/>
      <c r="G4" s="462"/>
      <c r="H4" s="36" t="s">
        <v>16</v>
      </c>
      <c r="I4" s="435"/>
      <c r="J4" s="91" t="s">
        <v>301</v>
      </c>
      <c r="K4" s="370">
        <v>195.2</v>
      </c>
      <c r="L4" s="370">
        <v>456.85</v>
      </c>
      <c r="M4" s="370">
        <v>150.37200453450026</v>
      </c>
      <c r="O4">
        <v>121.246021571727</v>
      </c>
      <c r="P4">
        <v>272.78140265316</v>
      </c>
      <c r="Q4" s="125" t="s">
        <v>205</v>
      </c>
      <c r="R4" s="132">
        <v>195.2</v>
      </c>
      <c r="S4" s="418">
        <v>192</v>
      </c>
      <c r="T4" s="134">
        <f>(R4-S4)*M8</f>
        <v>436.59963278929138</v>
      </c>
      <c r="U4" s="134">
        <f>(R4-S4)*M3</f>
        <v>2000.7425152068702</v>
      </c>
      <c r="V4" s="131">
        <f t="shared" si="0"/>
        <v>-1564.1428824175787</v>
      </c>
      <c r="W4">
        <v>1</v>
      </c>
    </row>
    <row r="5" spans="1:23">
      <c r="A5" s="44" t="s">
        <v>19</v>
      </c>
      <c r="B5" s="398">
        <v>270.33759763811997</v>
      </c>
      <c r="C5" s="398">
        <v>145.858729681705</v>
      </c>
      <c r="D5" s="398">
        <v>192</v>
      </c>
      <c r="E5" s="398">
        <f>B5/(D5-C5)</f>
        <v>5.8589110306946015</v>
      </c>
      <c r="F5" s="399"/>
      <c r="G5" s="1" t="s">
        <v>89</v>
      </c>
      <c r="H5" s="36" t="s">
        <v>16</v>
      </c>
      <c r="I5" s="410" t="s">
        <v>89</v>
      </c>
      <c r="J5" s="91" t="s">
        <v>302</v>
      </c>
      <c r="K5" s="370">
        <v>145.858729681705</v>
      </c>
      <c r="L5" s="370">
        <v>192</v>
      </c>
      <c r="M5" s="370">
        <v>5.8589110306946015</v>
      </c>
      <c r="Q5" s="125" t="s">
        <v>303</v>
      </c>
      <c r="R5" s="418">
        <v>192</v>
      </c>
      <c r="S5" s="418">
        <v>172</v>
      </c>
      <c r="T5" s="134">
        <f>(R5-S5)*M8</f>
        <v>2728.7477049330805</v>
      </c>
      <c r="U5" s="134">
        <f>(R5-S5)*(M3+M5)</f>
        <v>12621.818940656874</v>
      </c>
      <c r="V5" s="131">
        <f t="shared" si="0"/>
        <v>-9893.0712357237935</v>
      </c>
      <c r="W5">
        <v>1</v>
      </c>
    </row>
    <row r="6" spans="1:23">
      <c r="A6" s="18"/>
      <c r="B6" s="358"/>
      <c r="C6" s="358"/>
      <c r="D6" s="358"/>
      <c r="E6" s="358"/>
      <c r="F6" s="394"/>
      <c r="I6" s="410" t="s">
        <v>304</v>
      </c>
      <c r="J6" s="91" t="s">
        <v>305</v>
      </c>
      <c r="K6" s="371">
        <f>O3-1</f>
        <v>146.588663490973</v>
      </c>
      <c r="L6" s="371">
        <f>O3</f>
        <v>147.588663490973</v>
      </c>
      <c r="M6" s="371">
        <v>530.83988793720005</v>
      </c>
      <c r="O6">
        <v>121.246021571727</v>
      </c>
      <c r="P6">
        <v>0</v>
      </c>
      <c r="Q6" s="125" t="s">
        <v>306</v>
      </c>
      <c r="R6" s="214">
        <v>172</v>
      </c>
      <c r="S6" s="214">
        <v>147.59</v>
      </c>
      <c r="T6" s="215">
        <f>(R6-S6)*(M8+M17)</f>
        <v>3357.7138468496573</v>
      </c>
      <c r="U6" s="215">
        <f>(R6-S6)*(M3+M5)</f>
        <v>15404.930017071712</v>
      </c>
      <c r="V6" s="216">
        <f t="shared" si="0"/>
        <v>-12047.216170222055</v>
      </c>
      <c r="W6">
        <v>1</v>
      </c>
    </row>
    <row r="7" spans="1:23">
      <c r="A7" s="36"/>
      <c r="B7" s="410"/>
      <c r="C7" s="410"/>
      <c r="D7" s="410"/>
      <c r="E7" s="410"/>
      <c r="F7" s="394"/>
      <c r="I7" s="410" t="s">
        <v>307</v>
      </c>
      <c r="J7" s="91" t="s">
        <v>209</v>
      </c>
      <c r="K7" s="371">
        <f>O10-1</f>
        <v>78.682662970324998</v>
      </c>
      <c r="L7" s="371">
        <f>O9</f>
        <v>79.682662970324998</v>
      </c>
      <c r="M7" s="371">
        <f>P10</f>
        <v>674.92418867640004</v>
      </c>
      <c r="Q7" s="213" t="s">
        <v>308</v>
      </c>
      <c r="R7" s="413">
        <v>147.59</v>
      </c>
      <c r="S7" s="413">
        <v>146.59</v>
      </c>
      <c r="T7" s="220">
        <f>(R7-S7)*(M8+M17)</f>
        <v>137.55484829371807</v>
      </c>
      <c r="U7" s="220">
        <f>(R7-S7)*(M2+M5+M6)</f>
        <v>710.96135542740228</v>
      </c>
      <c r="V7" s="216">
        <f t="shared" si="0"/>
        <v>-573.40650713368427</v>
      </c>
      <c r="W7">
        <v>1</v>
      </c>
    </row>
    <row r="8" spans="1:23">
      <c r="A8" s="44" t="s">
        <v>30</v>
      </c>
      <c r="B8" s="398">
        <v>-40911.2996202719</v>
      </c>
      <c r="C8" s="398">
        <v>400.154028617682</v>
      </c>
      <c r="D8" s="398">
        <v>100.3</v>
      </c>
      <c r="E8" s="398">
        <f t="shared" ref="E8:E19" si="1">B8/(D8-C8)</f>
        <v>136.43738524665403</v>
      </c>
      <c r="F8" s="399"/>
      <c r="G8" s="462" t="s">
        <v>81</v>
      </c>
      <c r="H8" s="36" t="s">
        <v>16</v>
      </c>
      <c r="I8" s="435" t="s">
        <v>81</v>
      </c>
      <c r="J8" s="92" t="s">
        <v>207</v>
      </c>
      <c r="K8" s="372">
        <f t="shared" ref="K8:K19" si="2">C8-20</f>
        <v>380.154028617682</v>
      </c>
      <c r="L8" s="372">
        <f t="shared" ref="L8:L19" si="3">D8-20</f>
        <v>80.3</v>
      </c>
      <c r="M8" s="372">
        <v>136.43738524665403</v>
      </c>
      <c r="O8" t="s">
        <v>309</v>
      </c>
      <c r="Q8" s="213" t="s">
        <v>306</v>
      </c>
      <c r="R8" s="413">
        <v>146.59</v>
      </c>
      <c r="S8" s="413">
        <v>145.86000000000001</v>
      </c>
      <c r="T8" s="220">
        <f>(R8-S8)*(M8+M17)</f>
        <v>100.41503925441278</v>
      </c>
      <c r="U8" s="220">
        <f>(R8-S8)*(M3+M5)</f>
        <v>460.69639133396947</v>
      </c>
      <c r="V8" s="216">
        <f t="shared" si="0"/>
        <v>-360.28135207955671</v>
      </c>
      <c r="W8">
        <v>1</v>
      </c>
    </row>
    <row r="9" spans="1:23">
      <c r="A9" s="44" t="s">
        <v>32</v>
      </c>
      <c r="B9" s="398">
        <v>-27392.283737676</v>
      </c>
      <c r="C9" s="398">
        <v>100.3</v>
      </c>
      <c r="D9" s="398">
        <v>65</v>
      </c>
      <c r="E9" s="398">
        <f t="shared" si="1"/>
        <v>775.98537500498594</v>
      </c>
      <c r="F9" s="399"/>
      <c r="G9" s="462"/>
      <c r="H9" s="36" t="s">
        <v>21</v>
      </c>
      <c r="I9" s="435"/>
      <c r="J9" s="92" t="s">
        <v>310</v>
      </c>
      <c r="K9" s="372">
        <f t="shared" si="2"/>
        <v>80.3</v>
      </c>
      <c r="L9" s="372">
        <f t="shared" si="3"/>
        <v>45</v>
      </c>
      <c r="M9" s="372">
        <v>775.98537500498594</v>
      </c>
      <c r="O9">
        <v>79.682662970324998</v>
      </c>
      <c r="P9">
        <v>0</v>
      </c>
      <c r="Q9" s="125" t="s">
        <v>311</v>
      </c>
      <c r="R9" s="217">
        <v>145.858729681705</v>
      </c>
      <c r="S9" s="217">
        <v>137.5</v>
      </c>
      <c r="T9" s="218">
        <f>(R9-S9)*(M8+M17)</f>
        <v>1149.7837932951297</v>
      </c>
      <c r="U9" s="218">
        <f>(R9-S9)*M11</f>
        <v>3850.9245802219152</v>
      </c>
      <c r="V9" s="219">
        <f t="shared" si="0"/>
        <v>-2701.1407869267855</v>
      </c>
      <c r="W9">
        <v>1</v>
      </c>
    </row>
    <row r="10" spans="1:23">
      <c r="A10" s="44" t="s">
        <v>27</v>
      </c>
      <c r="B10" s="398">
        <v>-2386.0815825059999</v>
      </c>
      <c r="C10" s="398">
        <v>65</v>
      </c>
      <c r="D10" s="398">
        <v>55</v>
      </c>
      <c r="E10" s="398">
        <f t="shared" si="1"/>
        <v>238.60815825059998</v>
      </c>
      <c r="F10" s="399"/>
      <c r="G10" s="1" t="s">
        <v>82</v>
      </c>
      <c r="H10" s="36" t="s">
        <v>21</v>
      </c>
      <c r="I10" s="410" t="s">
        <v>82</v>
      </c>
      <c r="J10" s="92" t="s">
        <v>312</v>
      </c>
      <c r="K10" s="372">
        <f t="shared" si="2"/>
        <v>45</v>
      </c>
      <c r="L10" s="372">
        <f t="shared" si="3"/>
        <v>35</v>
      </c>
      <c r="M10" s="372">
        <v>238.60815825059998</v>
      </c>
      <c r="O10">
        <v>79.682662970324998</v>
      </c>
      <c r="P10">
        <v>674.92418867640004</v>
      </c>
      <c r="Q10" s="125" t="s">
        <v>313</v>
      </c>
      <c r="R10" s="418">
        <v>137.5</v>
      </c>
      <c r="S10" s="418">
        <v>120.477</v>
      </c>
      <c r="T10" s="134">
        <f>(R10-S10)*(M8+M17)</f>
        <v>2341.5961825039622</v>
      </c>
      <c r="U10" s="134">
        <f>(R10-S10)*M2</f>
        <v>2966.4714986101976</v>
      </c>
      <c r="V10" s="131">
        <f t="shared" si="0"/>
        <v>-624.87531610623546</v>
      </c>
      <c r="W10">
        <v>1</v>
      </c>
    </row>
    <row r="11" spans="1:23">
      <c r="A11" s="44" t="s">
        <v>29</v>
      </c>
      <c r="B11" s="398">
        <v>-4676.2043885639996</v>
      </c>
      <c r="C11" s="398">
        <v>65.150063343529993</v>
      </c>
      <c r="D11" s="398">
        <v>55</v>
      </c>
      <c r="E11" s="398">
        <f t="shared" si="1"/>
        <v>460.70691682380254</v>
      </c>
      <c r="F11" s="399"/>
      <c r="G11" s="1" t="s">
        <v>143</v>
      </c>
      <c r="H11" s="36" t="s">
        <v>21</v>
      </c>
      <c r="I11" s="410" t="s">
        <v>143</v>
      </c>
      <c r="J11" s="92" t="s">
        <v>314</v>
      </c>
      <c r="K11" s="372">
        <f t="shared" si="2"/>
        <v>45.150063343529993</v>
      </c>
      <c r="L11" s="372">
        <f t="shared" si="3"/>
        <v>35</v>
      </c>
      <c r="M11" s="372">
        <v>460.70691682380254</v>
      </c>
      <c r="O11">
        <v>58.385587871599</v>
      </c>
      <c r="P11">
        <v>656.5069913868</v>
      </c>
      <c r="Q11" s="125" t="s">
        <v>315</v>
      </c>
      <c r="R11" s="418">
        <v>120.477</v>
      </c>
      <c r="S11" s="418">
        <v>119.04300000000001</v>
      </c>
      <c r="T11" s="134">
        <f>(R11-S11)*(M8+M18)</f>
        <v>417.8598367981815</v>
      </c>
      <c r="U11" s="134">
        <f>(R11-S11)*M2</f>
        <v>249.89250596293351</v>
      </c>
      <c r="V11" s="131">
        <f t="shared" si="0"/>
        <v>167.96733083524799</v>
      </c>
      <c r="W11">
        <v>1</v>
      </c>
    </row>
    <row r="12" spans="1:23">
      <c r="A12" s="44" t="s">
        <v>31</v>
      </c>
      <c r="B12" s="398">
        <v>-57.3123976308</v>
      </c>
      <c r="C12" s="398">
        <v>77.177750517301007</v>
      </c>
      <c r="D12" s="398">
        <v>55</v>
      </c>
      <c r="E12" s="398">
        <f t="shared" si="1"/>
        <v>2.5842295225609209</v>
      </c>
      <c r="F12" s="399"/>
      <c r="G12" s="1" t="s">
        <v>144</v>
      </c>
      <c r="H12" s="36" t="s">
        <v>15</v>
      </c>
      <c r="I12" s="410" t="s">
        <v>144</v>
      </c>
      <c r="J12" s="92" t="s">
        <v>316</v>
      </c>
      <c r="K12" s="372">
        <f t="shared" si="2"/>
        <v>57.177750517301007</v>
      </c>
      <c r="L12" s="372">
        <f t="shared" si="3"/>
        <v>35</v>
      </c>
      <c r="M12" s="372">
        <v>2.5842295225609209</v>
      </c>
      <c r="O12">
        <v>58.385587871599</v>
      </c>
      <c r="P12">
        <v>0</v>
      </c>
      <c r="Q12" s="125" t="s">
        <v>317</v>
      </c>
      <c r="R12" s="133">
        <v>119.04300000000001</v>
      </c>
      <c r="S12" s="133">
        <v>119.04103150819901</v>
      </c>
      <c r="T12" s="134">
        <f>(R12-S12)*(M8+M19)</f>
        <v>0.95961810407394499</v>
      </c>
      <c r="U12" s="134">
        <f>(R12-S12)*M2</f>
        <v>0.34303441361085457</v>
      </c>
      <c r="V12" s="131">
        <f t="shared" si="0"/>
        <v>0.61658369046309036</v>
      </c>
      <c r="W12">
        <v>1</v>
      </c>
    </row>
    <row r="13" spans="1:23">
      <c r="A13" s="44" t="s">
        <v>37</v>
      </c>
      <c r="B13" s="398">
        <v>-102.52674065484</v>
      </c>
      <c r="C13" s="398">
        <v>103.805621619002</v>
      </c>
      <c r="D13" s="398">
        <v>102.6</v>
      </c>
      <c r="E13" s="398">
        <f t="shared" si="1"/>
        <v>85.040562510574645</v>
      </c>
      <c r="F13" s="399"/>
      <c r="G13" s="462" t="s">
        <v>145</v>
      </c>
      <c r="H13" s="36" t="s">
        <v>16</v>
      </c>
      <c r="I13" s="436" t="s">
        <v>145</v>
      </c>
      <c r="J13" s="92" t="s">
        <v>318</v>
      </c>
      <c r="K13" s="372">
        <f t="shared" si="2"/>
        <v>83.805621619001997</v>
      </c>
      <c r="L13" s="372">
        <f t="shared" si="3"/>
        <v>82.6</v>
      </c>
      <c r="M13" s="372">
        <v>85.040562510574645</v>
      </c>
      <c r="Q13" s="125" t="s">
        <v>319</v>
      </c>
      <c r="R13" s="133">
        <v>119.04103150819901</v>
      </c>
      <c r="S13" s="133">
        <v>117.05358729018999</v>
      </c>
      <c r="T13" s="134">
        <f>(R13-S13)*M8</f>
        <v>271.16169242873133</v>
      </c>
      <c r="U13" s="134">
        <f>(R13-S13)*M2</f>
        <v>346.33711025091833</v>
      </c>
      <c r="V13" s="131">
        <f t="shared" si="0"/>
        <v>-75.175417822187001</v>
      </c>
      <c r="W13">
        <v>1</v>
      </c>
    </row>
    <row r="14" spans="1:23">
      <c r="A14" s="44" t="s">
        <v>38</v>
      </c>
      <c r="B14" s="398">
        <v>-28536.954145920001</v>
      </c>
      <c r="C14" s="398">
        <v>102.6</v>
      </c>
      <c r="D14" s="398">
        <v>58.4</v>
      </c>
      <c r="E14" s="398">
        <f t="shared" si="1"/>
        <v>645.63244674027158</v>
      </c>
      <c r="F14" s="399"/>
      <c r="G14" s="462"/>
      <c r="H14" s="36" t="s">
        <v>21</v>
      </c>
      <c r="I14" s="437"/>
      <c r="J14" s="92" t="s">
        <v>206</v>
      </c>
      <c r="K14" s="372">
        <f t="shared" si="2"/>
        <v>82.6</v>
      </c>
      <c r="L14" s="372">
        <f t="shared" si="3"/>
        <v>38.4</v>
      </c>
      <c r="M14" s="372">
        <v>645.63244674027158</v>
      </c>
      <c r="Q14" s="125" t="s">
        <v>320</v>
      </c>
      <c r="R14" s="418">
        <v>117.05358729018999</v>
      </c>
      <c r="S14" s="418">
        <v>102.25</v>
      </c>
      <c r="T14" s="134">
        <f>(R14-S14)*(M8+M16)</f>
        <v>2241.0017895879746</v>
      </c>
      <c r="U14" s="134">
        <f>(R14-S14)*M2</f>
        <v>2579.7109659599837</v>
      </c>
      <c r="V14" s="131">
        <f t="shared" si="0"/>
        <v>-338.7091763720091</v>
      </c>
      <c r="W14">
        <v>1</v>
      </c>
    </row>
    <row r="15" spans="1:23">
      <c r="A15" s="44" t="s">
        <v>40</v>
      </c>
      <c r="B15" s="398">
        <v>-404.96128326143997</v>
      </c>
      <c r="C15" s="398">
        <v>58.4</v>
      </c>
      <c r="D15" s="398">
        <v>55</v>
      </c>
      <c r="E15" s="398">
        <f t="shared" si="1"/>
        <v>119.10625978277652</v>
      </c>
      <c r="F15" s="399"/>
      <c r="G15" s="462"/>
      <c r="H15" s="36" t="s">
        <v>15</v>
      </c>
      <c r="I15" s="438"/>
      <c r="J15" s="92" t="s">
        <v>321</v>
      </c>
      <c r="K15" s="372">
        <f t="shared" si="2"/>
        <v>38.4</v>
      </c>
      <c r="L15" s="372">
        <f t="shared" si="3"/>
        <v>35</v>
      </c>
      <c r="M15" s="372">
        <v>119.10625978277652</v>
      </c>
      <c r="O15" s="39" t="s">
        <v>45</v>
      </c>
      <c r="P15" s="40">
        <v>15502.826148505555</v>
      </c>
      <c r="Q15" s="125" t="s">
        <v>322</v>
      </c>
      <c r="R15" s="418">
        <v>102.25</v>
      </c>
      <c r="S15" s="418">
        <v>101.25</v>
      </c>
      <c r="T15" s="134">
        <f>(R15-S15)*(M8+M16+M20)</f>
        <v>424.16374975986679</v>
      </c>
      <c r="U15" s="134">
        <f>(R15-S15)*M2</f>
        <v>174.26255645950764</v>
      </c>
      <c r="V15" s="131">
        <f t="shared" si="0"/>
        <v>249.90119330035915</v>
      </c>
      <c r="W15">
        <v>1</v>
      </c>
    </row>
    <row r="16" spans="1:23">
      <c r="A16" s="44" t="s">
        <v>35</v>
      </c>
      <c r="B16" s="398">
        <v>-1226.2877325324</v>
      </c>
      <c r="C16" s="398">
        <v>137.05358729018999</v>
      </c>
      <c r="D16" s="398">
        <v>55</v>
      </c>
      <c r="E16" s="398">
        <f t="shared" si="1"/>
        <v>14.944961860052768</v>
      </c>
      <c r="F16" s="399"/>
      <c r="G16" s="1" t="s">
        <v>146</v>
      </c>
      <c r="H16" s="36" t="s">
        <v>21</v>
      </c>
      <c r="I16" s="410" t="s">
        <v>146</v>
      </c>
      <c r="J16" s="92" t="s">
        <v>323</v>
      </c>
      <c r="K16" s="372">
        <f t="shared" si="2"/>
        <v>117.05358729018999</v>
      </c>
      <c r="L16" s="372">
        <f t="shared" si="3"/>
        <v>35</v>
      </c>
      <c r="M16" s="372">
        <v>14.944961860052768</v>
      </c>
      <c r="P16">
        <f>P15-P10-P3+P4+P11</f>
        <v>15226.350465931915</v>
      </c>
      <c r="Q16" s="125" t="s">
        <v>324</v>
      </c>
      <c r="R16" s="418">
        <v>101.25</v>
      </c>
      <c r="S16" s="418">
        <v>83.81</v>
      </c>
      <c r="T16" s="134">
        <f>(R16-S16)*(M10+M18)</f>
        <v>6863.7798667957204</v>
      </c>
      <c r="U16" s="134">
        <f>(R16-S16)*M4</f>
        <v>2622.4877590816841</v>
      </c>
      <c r="V16" s="131">
        <f t="shared" si="0"/>
        <v>4241.2921077140363</v>
      </c>
      <c r="W16">
        <v>1</v>
      </c>
    </row>
    <row r="17" spans="1:39">
      <c r="A17" s="44" t="s">
        <v>43</v>
      </c>
      <c r="B17" s="398">
        <v>-57.575048573879997</v>
      </c>
      <c r="C17" s="398">
        <v>192</v>
      </c>
      <c r="D17" s="398">
        <v>140.477</v>
      </c>
      <c r="E17" s="398">
        <f t="shared" si="1"/>
        <v>1.1174630470640297</v>
      </c>
      <c r="F17" s="399"/>
      <c r="G17" s="462" t="s">
        <v>147</v>
      </c>
      <c r="H17" s="36" t="s">
        <v>44</v>
      </c>
      <c r="I17" s="435" t="s">
        <v>147</v>
      </c>
      <c r="J17" s="92" t="s">
        <v>325</v>
      </c>
      <c r="K17" s="372">
        <f t="shared" si="2"/>
        <v>172</v>
      </c>
      <c r="L17" s="372">
        <f t="shared" si="3"/>
        <v>120.477</v>
      </c>
      <c r="M17" s="372">
        <v>1.1174630470640297</v>
      </c>
      <c r="Q17" s="125" t="s">
        <v>326</v>
      </c>
      <c r="R17" s="418">
        <v>83.805621619001997</v>
      </c>
      <c r="S17" s="418">
        <v>82.6</v>
      </c>
      <c r="T17" s="134">
        <f>(R17-S17)*(M8+M13+M16)</f>
        <v>285.03657106195089</v>
      </c>
      <c r="U17" s="134">
        <f>(R17-S17)*M2</f>
        <v>210.09470545013943</v>
      </c>
      <c r="V17" s="131">
        <f t="shared" si="0"/>
        <v>74.941865611811465</v>
      </c>
      <c r="W17">
        <v>1</v>
      </c>
    </row>
    <row r="18" spans="1:39">
      <c r="A18" s="44" t="s">
        <v>47</v>
      </c>
      <c r="B18" s="398">
        <v>-222.20862635448</v>
      </c>
      <c r="C18" s="398">
        <v>140.477</v>
      </c>
      <c r="D18" s="398">
        <v>139.04300000000001</v>
      </c>
      <c r="E18" s="398">
        <f t="shared" si="1"/>
        <v>154.95720108401702</v>
      </c>
      <c r="F18" s="399"/>
      <c r="G18" s="462"/>
      <c r="H18" s="36" t="s">
        <v>21</v>
      </c>
      <c r="I18" s="435"/>
      <c r="J18" s="92" t="s">
        <v>327</v>
      </c>
      <c r="K18" s="372">
        <f t="shared" si="2"/>
        <v>120.477</v>
      </c>
      <c r="L18" s="372">
        <f t="shared" si="3"/>
        <v>119.04300000000001</v>
      </c>
      <c r="M18" s="372">
        <v>154.95720108401702</v>
      </c>
      <c r="Q18" s="125" t="s">
        <v>328</v>
      </c>
      <c r="R18" s="418">
        <v>82.6</v>
      </c>
      <c r="S18" s="418">
        <v>80.3</v>
      </c>
      <c r="T18" s="134">
        <f>(R18-S18)*(M8+M14+M16)</f>
        <v>1833.1340258480479</v>
      </c>
      <c r="U18" s="134">
        <f>(R18-S18)*M2</f>
        <v>400.80387985686707</v>
      </c>
      <c r="V18" s="131">
        <f t="shared" si="0"/>
        <v>1432.3301459911809</v>
      </c>
      <c r="W18">
        <v>1</v>
      </c>
    </row>
    <row r="19" spans="1:39">
      <c r="A19" s="44" t="s">
        <v>49</v>
      </c>
      <c r="B19" s="398">
        <v>-0.69104222986679997</v>
      </c>
      <c r="C19" s="398">
        <v>139.04300000000001</v>
      </c>
      <c r="D19" s="398">
        <v>139.04103150819901</v>
      </c>
      <c r="E19" s="398">
        <f t="shared" si="1"/>
        <v>351.05161703885898</v>
      </c>
      <c r="F19" s="399"/>
      <c r="G19" s="462"/>
      <c r="H19" s="36" t="s">
        <v>15</v>
      </c>
      <c r="I19" s="435"/>
      <c r="J19" s="92" t="s">
        <v>329</v>
      </c>
      <c r="K19" s="372">
        <f t="shared" si="2"/>
        <v>119.04300000000001</v>
      </c>
      <c r="L19" s="372">
        <f t="shared" si="3"/>
        <v>119.04103150819901</v>
      </c>
      <c r="M19" s="372">
        <v>351.05161703885898</v>
      </c>
      <c r="Q19" s="125" t="s">
        <v>330</v>
      </c>
      <c r="R19" s="418">
        <v>80.3</v>
      </c>
      <c r="S19" s="418">
        <v>57.177750517301007</v>
      </c>
      <c r="T19" s="134">
        <f>(R19-S19)*(M9+M14+M16)</f>
        <v>33216.563080082502</v>
      </c>
      <c r="U19" s="134">
        <f>(R19-S19)*M2</f>
        <v>4029.342305949654</v>
      </c>
      <c r="V19" s="131">
        <f t="shared" si="0"/>
        <v>29187.220774132849</v>
      </c>
      <c r="W19">
        <v>1</v>
      </c>
    </row>
    <row r="20" spans="1:39">
      <c r="F20" s="395"/>
      <c r="H20" s="410" t="s">
        <v>331</v>
      </c>
      <c r="I20" s="77" t="s">
        <v>299</v>
      </c>
      <c r="J20" s="209">
        <f>O4-20</f>
        <v>101.246021571727</v>
      </c>
      <c r="K20" s="373">
        <f>J20+1</f>
        <v>102.246021571727</v>
      </c>
      <c r="L20" s="373">
        <f>K20-1</f>
        <v>101.246021571727</v>
      </c>
      <c r="M20" s="373">
        <f>P4</f>
        <v>272.78140265316</v>
      </c>
      <c r="Q20" s="125" t="s">
        <v>332</v>
      </c>
      <c r="R20" s="418">
        <v>79.680000000000007</v>
      </c>
      <c r="S20" s="418">
        <v>78.680000000000007</v>
      </c>
      <c r="T20" s="134">
        <f>(R20-S20)*(M9+M14+M16)</f>
        <v>1436.5627836053102</v>
      </c>
      <c r="U20" s="134">
        <f>(R20-S20)*(M2+M7)</f>
        <v>849.1867451359077</v>
      </c>
      <c r="V20" s="131">
        <f t="shared" si="0"/>
        <v>587.37603846940249</v>
      </c>
      <c r="W20">
        <v>1</v>
      </c>
    </row>
    <row r="21" spans="1:39">
      <c r="F21" s="395"/>
      <c r="H21" s="410" t="s">
        <v>333</v>
      </c>
      <c r="I21" s="77" t="s">
        <v>309</v>
      </c>
      <c r="J21" s="209">
        <f>O12-20</f>
        <v>38.385587871599</v>
      </c>
      <c r="K21" s="373">
        <f>J21+1</f>
        <v>39.385587871599</v>
      </c>
      <c r="L21" s="373">
        <f>K21-1</f>
        <v>38.385587871599</v>
      </c>
      <c r="M21" s="373">
        <f>P11</f>
        <v>656.5069913868</v>
      </c>
      <c r="Q21" s="125" t="s">
        <v>330</v>
      </c>
      <c r="R21" s="418">
        <v>78.680000000000007</v>
      </c>
      <c r="S21" s="418">
        <v>57.18</v>
      </c>
      <c r="T21" s="134">
        <f>(R21-S21)*(M11+M16+M18)</f>
        <v>13558.09521500926</v>
      </c>
      <c r="U21" s="134">
        <f>(R21-S21)*M4</f>
        <v>3232.9980974917567</v>
      </c>
      <c r="V21" s="131">
        <f t="shared" si="0"/>
        <v>10325.097117517504</v>
      </c>
      <c r="W21">
        <v>1</v>
      </c>
    </row>
    <row r="22" spans="1:39">
      <c r="H22" s="419"/>
      <c r="Q22" s="125" t="s">
        <v>334</v>
      </c>
      <c r="R22" s="418">
        <v>57.177750517301007</v>
      </c>
      <c r="S22" s="418">
        <v>52.665870539244999</v>
      </c>
      <c r="T22" s="134">
        <f>(R22-S22)*(M9+M12+M14+M16)</f>
        <v>6493.2585940107483</v>
      </c>
      <c r="U22" s="134">
        <f>(R22-S22)*M2</f>
        <v>786.25173941450714</v>
      </c>
      <c r="V22" s="131">
        <f t="shared" si="0"/>
        <v>5707.0068545962413</v>
      </c>
      <c r="W22">
        <v>1</v>
      </c>
    </row>
    <row r="23" spans="1:39">
      <c r="Q23" s="125" t="s">
        <v>335</v>
      </c>
      <c r="R23" s="418">
        <v>52.665870539244999</v>
      </c>
      <c r="S23" s="418">
        <v>45.150063343529993</v>
      </c>
      <c r="T23" s="134">
        <f>(R23-S23)*(M9+M11+M12+M14+M16)</f>
        <v>14278.93583753822</v>
      </c>
      <c r="U23" s="134">
        <f t="shared" ref="U23:U28" si="4">(R23-S23)*0</f>
        <v>0</v>
      </c>
      <c r="V23" s="131">
        <f t="shared" si="0"/>
        <v>14278.93583753822</v>
      </c>
      <c r="W23">
        <v>1</v>
      </c>
    </row>
    <row r="24" spans="1:39">
      <c r="Q24" s="125" t="s">
        <v>335</v>
      </c>
      <c r="R24" s="418">
        <v>45.150063343529993</v>
      </c>
      <c r="S24" s="418">
        <v>45</v>
      </c>
      <c r="T24" s="134">
        <f>(R24-S24)*(M9+M11+M12+M14+M16)</f>
        <v>285.09843294714557</v>
      </c>
      <c r="U24" s="134">
        <f t="shared" si="4"/>
        <v>0</v>
      </c>
      <c r="V24" s="131">
        <f t="shared" si="0"/>
        <v>285.09843294714557</v>
      </c>
      <c r="W24">
        <v>1</v>
      </c>
    </row>
    <row r="25" spans="1:39">
      <c r="E25" s="1" t="s">
        <v>336</v>
      </c>
      <c r="G25" s="1" t="s">
        <v>337</v>
      </c>
      <c r="Q25" s="125" t="s">
        <v>338</v>
      </c>
      <c r="R25" s="418">
        <v>45</v>
      </c>
      <c r="S25" s="418">
        <v>39.39</v>
      </c>
      <c r="T25" s="134">
        <f>(R25-S25)*(M10+M11+M12+M14+M16)</f>
        <v>7643.4943610367836</v>
      </c>
      <c r="U25" s="134">
        <f t="shared" si="4"/>
        <v>0</v>
      </c>
      <c r="V25" s="131">
        <f t="shared" si="0"/>
        <v>7643.4943610367836</v>
      </c>
      <c r="W25">
        <v>1</v>
      </c>
    </row>
    <row r="26" spans="1:39">
      <c r="E26" s="1">
        <v>0</v>
      </c>
      <c r="G26" s="71">
        <f>-E109</f>
        <v>31655.428066943143</v>
      </c>
      <c r="Q26" s="125" t="s">
        <v>339</v>
      </c>
      <c r="R26" s="418">
        <v>39.39</v>
      </c>
      <c r="S26" s="418">
        <v>38.4</v>
      </c>
      <c r="T26" s="134">
        <f>(R26-S26)*(M10+M11+M12+M14+M16+M21)</f>
        <v>1998.7938675382509</v>
      </c>
      <c r="U26" s="134">
        <f t="shared" si="4"/>
        <v>0</v>
      </c>
      <c r="V26" s="131">
        <f t="shared" si="0"/>
        <v>1998.7938675382509</v>
      </c>
      <c r="W26">
        <v>1</v>
      </c>
    </row>
    <row r="27" spans="1:39">
      <c r="B27" s="418">
        <v>456.85</v>
      </c>
      <c r="D27" s="442">
        <f>V2</f>
        <v>-1068.7291621241529</v>
      </c>
      <c r="F27" s="442">
        <v>-1068.7291621241529</v>
      </c>
      <c r="Q27" s="125" t="s">
        <v>339</v>
      </c>
      <c r="R27" s="418">
        <v>38.4</v>
      </c>
      <c r="S27" s="418">
        <v>38.39</v>
      </c>
      <c r="T27" s="134">
        <f>(R27-S27)*(M10+M11+M12+M14+M16+M21)</f>
        <v>20.18983704583686</v>
      </c>
      <c r="U27" s="134">
        <f t="shared" si="4"/>
        <v>0</v>
      </c>
      <c r="V27" s="131">
        <f t="shared" si="0"/>
        <v>20.18983704583686</v>
      </c>
      <c r="W27">
        <v>1</v>
      </c>
    </row>
    <row r="28" spans="1:39">
      <c r="B28" s="418">
        <v>380.154028617682</v>
      </c>
      <c r="D28" s="442"/>
      <c r="F28" s="442"/>
      <c r="Q28" s="125" t="s">
        <v>340</v>
      </c>
      <c r="R28" s="418">
        <v>38.39</v>
      </c>
      <c r="S28" s="418">
        <v>35</v>
      </c>
      <c r="T28" s="134">
        <f>(R28-S28)*(M10+M11+M12+M14+M16)</f>
        <v>4618.7960577388067</v>
      </c>
      <c r="U28" s="134">
        <f t="shared" si="4"/>
        <v>0</v>
      </c>
      <c r="V28" s="131">
        <f t="shared" si="0"/>
        <v>4618.7960577388067</v>
      </c>
      <c r="W28">
        <v>1</v>
      </c>
    </row>
    <row r="29" spans="1:39">
      <c r="E29" s="71">
        <f>D27+E26</f>
        <v>-1068.7291621241529</v>
      </c>
      <c r="G29" s="71">
        <f>F27+G26</f>
        <v>30586.69890481899</v>
      </c>
      <c r="V29" s="70">
        <f>SUM(U2:U28)</f>
        <v>92843.091690408444</v>
      </c>
      <c r="W29">
        <f>SUM(W2:W28)</f>
        <v>27</v>
      </c>
    </row>
    <row r="30" spans="1:39">
      <c r="B30" s="418">
        <v>380.154028617682</v>
      </c>
      <c r="D30" s="442">
        <f>V3</f>
        <v>-2577.263974540816</v>
      </c>
      <c r="F30" s="442">
        <v>-2577.263974540816</v>
      </c>
    </row>
    <row r="31" spans="1:39">
      <c r="B31" s="396">
        <v>195.2</v>
      </c>
      <c r="D31" s="442"/>
      <c r="F31" s="442"/>
      <c r="P31" s="444" t="s">
        <v>123</v>
      </c>
      <c r="Q31" s="444"/>
      <c r="R31" s="444"/>
      <c r="U31" s="419" t="s">
        <v>271</v>
      </c>
    </row>
    <row r="32" spans="1:39" ht="15" thickBot="1">
      <c r="E32" s="71">
        <f>D30+E29</f>
        <v>-3645.9931366649689</v>
      </c>
      <c r="G32" s="71">
        <f>F30+G29</f>
        <v>28009.434930278174</v>
      </c>
      <c r="J32" s="42" t="s">
        <v>298</v>
      </c>
      <c r="K32" s="122"/>
      <c r="L32" s="122" t="s">
        <v>79</v>
      </c>
      <c r="M32" s="122" t="s">
        <v>10</v>
      </c>
      <c r="N32" s="122" t="s">
        <v>11</v>
      </c>
      <c r="U32" s="419">
        <v>102.25</v>
      </c>
      <c r="V32" s="444" t="s">
        <v>122</v>
      </c>
      <c r="W32" s="444"/>
      <c r="X32" s="444"/>
      <c r="Y32" s="444"/>
      <c r="AE32" s="313"/>
      <c r="AF32" s="313" t="s">
        <v>262</v>
      </c>
      <c r="AG32" s="313" t="s">
        <v>263</v>
      </c>
      <c r="AH32" s="421" t="s">
        <v>341</v>
      </c>
      <c r="AI32" s="313" t="s">
        <v>298</v>
      </c>
      <c r="AJ32" s="313" t="s">
        <v>342</v>
      </c>
      <c r="AL32" s="390" t="s">
        <v>343</v>
      </c>
      <c r="AM32" s="390" t="s">
        <v>344</v>
      </c>
    </row>
    <row r="33" spans="2:39" ht="15" thickBot="1">
      <c r="B33" s="396">
        <v>195.2</v>
      </c>
      <c r="D33" s="442">
        <f>V4</f>
        <v>-1564.1428824175787</v>
      </c>
      <c r="F33" s="442">
        <v>-1564.1428824175787</v>
      </c>
      <c r="J33" s="435" t="s">
        <v>87</v>
      </c>
      <c r="K33" s="135" t="s">
        <v>208</v>
      </c>
      <c r="L33" s="123">
        <v>52.665870539244999</v>
      </c>
      <c r="M33" s="123">
        <v>137.5</v>
      </c>
      <c r="N33" s="123">
        <v>174.262556459508</v>
      </c>
      <c r="P33" s="9"/>
      <c r="Q33" s="146">
        <v>52.67</v>
      </c>
      <c r="R33" s="258">
        <v>82.25</v>
      </c>
      <c r="S33" s="240"/>
      <c r="T33" s="80"/>
      <c r="U33" s="250" t="s">
        <v>208</v>
      </c>
      <c r="V33" s="174"/>
      <c r="W33" s="174"/>
      <c r="X33" s="174"/>
      <c r="Y33" s="174"/>
      <c r="Z33" s="256">
        <v>137.5</v>
      </c>
      <c r="AA33" s="9"/>
      <c r="AB33" s="9"/>
      <c r="AC33" s="9"/>
      <c r="AE33" s="314" t="s">
        <v>208</v>
      </c>
      <c r="AF33" s="312">
        <f>(U32-R33)*N33</f>
        <v>3485.2511291901601</v>
      </c>
      <c r="AG33" s="312">
        <v>0</v>
      </c>
      <c r="AH33" s="468">
        <f>SUM(AF33:AG35)</f>
        <v>51942.19817806322</v>
      </c>
      <c r="AI33" s="469" t="s">
        <v>87</v>
      </c>
      <c r="AJ33" s="470">
        <v>90204.135738623998</v>
      </c>
      <c r="AL33" s="391" t="s">
        <v>87</v>
      </c>
      <c r="AM33" s="392">
        <v>223.16516715592147</v>
      </c>
    </row>
    <row r="34" spans="2:39" ht="15" thickBot="1">
      <c r="B34" s="418">
        <v>192</v>
      </c>
      <c r="D34" s="442"/>
      <c r="F34" s="442"/>
      <c r="J34" s="435"/>
      <c r="K34" s="135" t="s">
        <v>210</v>
      </c>
      <c r="L34" s="123">
        <v>137.5</v>
      </c>
      <c r="M34" s="123">
        <v>195.2</v>
      </c>
      <c r="N34" s="123">
        <v>625.23203600214913</v>
      </c>
      <c r="P34" s="9"/>
      <c r="Q34" s="9"/>
      <c r="R34" s="9"/>
      <c r="S34" s="61"/>
      <c r="U34" s="251" t="s">
        <v>210</v>
      </c>
      <c r="V34" s="224"/>
      <c r="W34" s="274">
        <v>137.5</v>
      </c>
      <c r="X34" s="275"/>
      <c r="Y34" s="174">
        <f>Z63</f>
        <v>180.62603139678251</v>
      </c>
      <c r="Z34" s="166"/>
      <c r="AA34" s="226">
        <v>195.2</v>
      </c>
      <c r="AB34" s="9"/>
      <c r="AC34" s="9"/>
      <c r="AE34" s="314" t="s">
        <v>210</v>
      </c>
      <c r="AF34" s="312">
        <v>0</v>
      </c>
      <c r="AG34" s="312">
        <f>(AA34-Y34)*N34</f>
        <v>9112.1120624210635</v>
      </c>
      <c r="AH34" s="468"/>
      <c r="AI34" s="469"/>
      <c r="AJ34" s="471"/>
      <c r="AL34" s="391" t="s">
        <v>89</v>
      </c>
      <c r="AM34" s="392">
        <v>5.8589110306946015</v>
      </c>
    </row>
    <row r="35" spans="2:39" ht="15" thickBot="1">
      <c r="E35" s="71">
        <f>D33+E32</f>
        <v>-5210.1360190825471</v>
      </c>
      <c r="G35" s="71">
        <f>F33+G32</f>
        <v>26445.292047860596</v>
      </c>
      <c r="J35" s="435"/>
      <c r="K35" s="135" t="s">
        <v>301</v>
      </c>
      <c r="L35" s="123">
        <v>195.2</v>
      </c>
      <c r="M35" s="123">
        <v>456.85</v>
      </c>
      <c r="N35" s="123">
        <v>150.37200453450026</v>
      </c>
      <c r="P35" s="9"/>
      <c r="Q35" s="9"/>
      <c r="R35" s="9"/>
      <c r="S35" s="61"/>
      <c r="U35" s="251" t="s">
        <v>301</v>
      </c>
      <c r="V35" s="9"/>
      <c r="W35" s="19"/>
      <c r="X35" s="239"/>
      <c r="Y35" s="166"/>
      <c r="Z35" s="166"/>
      <c r="AA35" s="243">
        <v>195.2</v>
      </c>
      <c r="AB35" s="166"/>
      <c r="AC35" s="226">
        <v>456.85</v>
      </c>
      <c r="AE35" s="314" t="s">
        <v>301</v>
      </c>
      <c r="AF35" s="312">
        <v>0</v>
      </c>
      <c r="AG35" s="312">
        <f>(AC35-AA35)*N35</f>
        <v>39344.834986451999</v>
      </c>
      <c r="AH35" s="468"/>
      <c r="AI35" s="469"/>
      <c r="AJ35" s="472"/>
      <c r="AL35" s="391" t="s">
        <v>305</v>
      </c>
      <c r="AM35" s="392">
        <v>530.83988793720005</v>
      </c>
    </row>
    <row r="36" spans="2:39" ht="15" thickBot="1">
      <c r="B36" s="418">
        <v>192</v>
      </c>
      <c r="D36" s="442">
        <f>V5</f>
        <v>-9893.0712357237935</v>
      </c>
      <c r="F36" s="442">
        <v>-9893.0712357237935</v>
      </c>
      <c r="J36" s="410" t="s">
        <v>89</v>
      </c>
      <c r="K36" s="211" t="s">
        <v>302</v>
      </c>
      <c r="L36" s="205">
        <v>145.858729681705</v>
      </c>
      <c r="M36" s="205">
        <v>192</v>
      </c>
      <c r="N36" s="205">
        <v>5.8589110306946015</v>
      </c>
      <c r="P36" s="9"/>
      <c r="Q36" s="9"/>
      <c r="R36" s="9"/>
      <c r="S36" s="61"/>
      <c r="U36" s="251" t="s">
        <v>302</v>
      </c>
      <c r="V36" s="9"/>
      <c r="W36" s="19"/>
      <c r="X36" s="19"/>
      <c r="Y36" s="307">
        <v>145.858729681705</v>
      </c>
      <c r="Z36" s="308">
        <v>192</v>
      </c>
      <c r="AA36" s="9"/>
      <c r="AB36" s="9"/>
      <c r="AC36" s="9"/>
      <c r="AE36" s="314" t="s">
        <v>302</v>
      </c>
      <c r="AF36" s="312">
        <v>0</v>
      </c>
      <c r="AG36" s="312">
        <f>(Z36-Y36)*N36</f>
        <v>270.33759763811997</v>
      </c>
      <c r="AH36" s="422">
        <f>AG36</f>
        <v>270.33759763811997</v>
      </c>
      <c r="AI36" s="421" t="s">
        <v>89</v>
      </c>
      <c r="AJ36" s="318">
        <v>270.33759763811997</v>
      </c>
      <c r="AL36" s="391" t="s">
        <v>209</v>
      </c>
      <c r="AM36" s="392">
        <f>R22</f>
        <v>57.177750517301007</v>
      </c>
    </row>
    <row r="37" spans="2:39" ht="15" thickBot="1">
      <c r="B37" s="214">
        <v>172</v>
      </c>
      <c r="D37" s="442"/>
      <c r="F37" s="442"/>
      <c r="J37" s="410" t="s">
        <v>304</v>
      </c>
      <c r="K37" s="208" t="s">
        <v>305</v>
      </c>
      <c r="L37" s="208">
        <v>146.588663490973</v>
      </c>
      <c r="M37" s="208">
        <v>147.588663490973</v>
      </c>
      <c r="N37" s="266">
        <v>530.83988793720005</v>
      </c>
      <c r="P37" s="9"/>
      <c r="Q37" s="9"/>
      <c r="U37" s="297" t="s">
        <v>305</v>
      </c>
      <c r="V37" s="9"/>
      <c r="W37" s="19"/>
      <c r="X37" s="236">
        <v>146.59</v>
      </c>
      <c r="Y37" s="225"/>
      <c r="Z37" s="226">
        <v>147.59</v>
      </c>
      <c r="AA37" s="9"/>
      <c r="AB37" s="9"/>
      <c r="AC37" s="9"/>
      <c r="AE37" s="315" t="s">
        <v>305</v>
      </c>
      <c r="AF37" s="312">
        <v>0</v>
      </c>
      <c r="AG37" s="312">
        <f>(Z37-X37)*N37</f>
        <v>530.83988793720005</v>
      </c>
      <c r="AH37" s="422">
        <f>AG37</f>
        <v>530.83988793720005</v>
      </c>
      <c r="AI37" s="421" t="s">
        <v>304</v>
      </c>
      <c r="AJ37" s="318"/>
      <c r="AL37" s="391" t="s">
        <v>81</v>
      </c>
      <c r="AM37" s="392">
        <v>203.79755628608441</v>
      </c>
    </row>
    <row r="38" spans="2:39" ht="15" thickBot="1">
      <c r="E38" s="71">
        <f>D36+E35</f>
        <v>-15103.207254806341</v>
      </c>
      <c r="G38" s="71">
        <f>F36+G35</f>
        <v>16552.220812136802</v>
      </c>
      <c r="J38" s="410" t="s">
        <v>307</v>
      </c>
      <c r="K38" s="208" t="s">
        <v>209</v>
      </c>
      <c r="L38" s="208">
        <v>78.682662970324998</v>
      </c>
      <c r="M38" s="208">
        <v>79.682662970324998</v>
      </c>
      <c r="N38" s="265">
        <v>674.92418867640004</v>
      </c>
      <c r="P38" s="9"/>
      <c r="Q38" s="146">
        <v>78.680000000000007</v>
      </c>
      <c r="R38" s="147"/>
      <c r="S38" s="272">
        <v>79.680000000000007</v>
      </c>
      <c r="U38" s="297" t="s">
        <v>209</v>
      </c>
      <c r="V38" s="9"/>
      <c r="W38" s="19"/>
      <c r="X38" s="19"/>
      <c r="Y38" s="232"/>
      <c r="Z38" s="232"/>
      <c r="AA38" s="9"/>
      <c r="AB38" s="9"/>
      <c r="AC38" s="9"/>
      <c r="AE38" s="315" t="s">
        <v>209</v>
      </c>
      <c r="AF38" s="312">
        <v>0</v>
      </c>
      <c r="AG38" s="312">
        <v>0</v>
      </c>
      <c r="AH38" s="468">
        <f>SUM(AF39:AG40)</f>
        <v>34521.577985108212</v>
      </c>
      <c r="AI38" s="421" t="s">
        <v>307</v>
      </c>
      <c r="AJ38" s="319"/>
      <c r="AL38" s="391" t="s">
        <v>82</v>
      </c>
      <c r="AM38" s="392">
        <v>238.60815825059998</v>
      </c>
    </row>
    <row r="39" spans="2:39" ht="15" thickBot="1">
      <c r="B39" s="214">
        <v>172</v>
      </c>
      <c r="D39" s="442">
        <f>V6</f>
        <v>-12047.216170222055</v>
      </c>
      <c r="F39" s="442">
        <v>-12047.216170222055</v>
      </c>
      <c r="J39" s="435" t="s">
        <v>81</v>
      </c>
      <c r="K39" s="212" t="s">
        <v>207</v>
      </c>
      <c r="L39" s="206">
        <v>400.154028617682</v>
      </c>
      <c r="M39" s="206">
        <v>100.3</v>
      </c>
      <c r="N39" s="206">
        <v>136.43738524665403</v>
      </c>
      <c r="P39" s="9"/>
      <c r="Q39" s="9"/>
      <c r="R39" s="9"/>
      <c r="S39" s="267">
        <v>100.3</v>
      </c>
      <c r="T39" s="234"/>
      <c r="U39" s="252" t="s">
        <v>207</v>
      </c>
      <c r="V39" s="227"/>
      <c r="W39" s="230"/>
      <c r="X39" s="230"/>
      <c r="Y39" s="241"/>
      <c r="Z39" s="257">
        <f>Z64</f>
        <v>157.5</v>
      </c>
      <c r="AA39" s="257">
        <f>Z58</f>
        <v>355.12747846682436</v>
      </c>
      <c r="AB39" s="150">
        <v>400.154028617682</v>
      </c>
      <c r="AC39" s="9"/>
      <c r="AE39" s="316" t="s">
        <v>207</v>
      </c>
      <c r="AF39" s="312">
        <f>(U32-S39)*N39</f>
        <v>266.05290123097575</v>
      </c>
      <c r="AG39" s="312">
        <f>(Z39-U32)*N39</f>
        <v>7538.1655348776349</v>
      </c>
      <c r="AH39" s="468"/>
      <c r="AI39" s="469" t="s">
        <v>81</v>
      </c>
      <c r="AJ39" s="470">
        <v>-68303.583357947908</v>
      </c>
      <c r="AL39" s="391" t="s">
        <v>143</v>
      </c>
      <c r="AM39" s="392">
        <v>460.70691682380254</v>
      </c>
    </row>
    <row r="40" spans="2:39" ht="15" thickBot="1">
      <c r="B40" s="413">
        <v>147.59</v>
      </c>
      <c r="D40" s="442"/>
      <c r="F40" s="442"/>
      <c r="J40" s="435"/>
      <c r="K40" s="120" t="s">
        <v>310</v>
      </c>
      <c r="L40" s="121">
        <v>100.3</v>
      </c>
      <c r="M40" s="121">
        <v>65</v>
      </c>
      <c r="N40" s="121">
        <v>775.98537500498594</v>
      </c>
      <c r="P40" s="9"/>
      <c r="Q40" s="229">
        <v>65</v>
      </c>
      <c r="R40" s="257">
        <f>S64</f>
        <v>99.430235942047148</v>
      </c>
      <c r="S40" s="271">
        <v>100.3</v>
      </c>
      <c r="T40" s="61"/>
      <c r="U40" s="253" t="s">
        <v>310</v>
      </c>
      <c r="V40" s="19"/>
      <c r="W40" s="222"/>
      <c r="X40" s="228"/>
      <c r="Y40" s="19"/>
      <c r="Z40" s="9"/>
      <c r="AA40" s="9"/>
      <c r="AB40" s="9"/>
      <c r="AC40" s="9"/>
      <c r="AE40" s="316" t="s">
        <v>310</v>
      </c>
      <c r="AF40" s="312">
        <f>(R40-Q40)*N40</f>
        <v>26717.359548999601</v>
      </c>
      <c r="AG40" s="312">
        <v>0</v>
      </c>
      <c r="AH40" s="468"/>
      <c r="AI40" s="469"/>
      <c r="AJ40" s="472"/>
      <c r="AL40" s="391" t="s">
        <v>144</v>
      </c>
      <c r="AM40" s="392">
        <v>2.5842295225609209</v>
      </c>
    </row>
    <row r="41" spans="2:39" ht="15" thickBot="1">
      <c r="E41" s="71">
        <f>D39+E38</f>
        <v>-27150.423425028395</v>
      </c>
      <c r="G41" s="71">
        <f>F39+G38</f>
        <v>4505.0046419147475</v>
      </c>
      <c r="H41" s="221"/>
      <c r="I41" s="70"/>
      <c r="J41" s="410" t="s">
        <v>82</v>
      </c>
      <c r="K41" s="120" t="s">
        <v>312</v>
      </c>
      <c r="L41" s="121">
        <v>65</v>
      </c>
      <c r="M41" s="121">
        <v>55</v>
      </c>
      <c r="N41" s="121">
        <v>238.60815825059998</v>
      </c>
      <c r="P41" s="237">
        <v>55</v>
      </c>
      <c r="Q41" s="268">
        <v>65</v>
      </c>
      <c r="R41" s="9"/>
      <c r="S41" s="61"/>
      <c r="U41" s="254" t="s">
        <v>312</v>
      </c>
      <c r="V41" s="9"/>
      <c r="W41" s="19"/>
      <c r="X41" s="9"/>
      <c r="Y41" s="19"/>
      <c r="Z41" s="19"/>
      <c r="AA41" s="19"/>
      <c r="AB41" s="19"/>
      <c r="AC41" s="9"/>
      <c r="AE41" s="316" t="s">
        <v>312</v>
      </c>
      <c r="AF41" s="312">
        <f>(Q41-P41)*N41</f>
        <v>2386.0815825059999</v>
      </c>
      <c r="AG41" s="312">
        <v>0</v>
      </c>
      <c r="AH41" s="422">
        <f>AF41</f>
        <v>2386.0815825059999</v>
      </c>
      <c r="AI41" s="421" t="s">
        <v>82</v>
      </c>
      <c r="AJ41" s="318">
        <v>-2386.0815825059999</v>
      </c>
      <c r="AL41" s="391" t="s">
        <v>145</v>
      </c>
      <c r="AM41" s="392">
        <v>595.10629032012559</v>
      </c>
    </row>
    <row r="42" spans="2:39" ht="15" thickBot="1">
      <c r="B42" s="413">
        <v>147.59</v>
      </c>
      <c r="D42" s="442">
        <f>V7</f>
        <v>-573.40650713368427</v>
      </c>
      <c r="F42" s="442">
        <v>-573.40650713368427</v>
      </c>
      <c r="H42" s="221"/>
      <c r="J42" s="410" t="s">
        <v>143</v>
      </c>
      <c r="K42" s="120" t="s">
        <v>314</v>
      </c>
      <c r="L42" s="121">
        <v>65.150063343529993</v>
      </c>
      <c r="M42" s="121">
        <v>55</v>
      </c>
      <c r="N42" s="121">
        <v>460.70691682380254</v>
      </c>
      <c r="P42" s="229">
        <v>55</v>
      </c>
      <c r="Q42" s="166"/>
      <c r="R42" s="139">
        <v>65.150063343529993</v>
      </c>
      <c r="S42" s="61"/>
      <c r="U42" s="254" t="s">
        <v>314</v>
      </c>
      <c r="V42" s="9"/>
      <c r="W42" s="19"/>
      <c r="X42" s="19"/>
      <c r="Y42" s="19"/>
      <c r="Z42" s="19"/>
      <c r="AA42" s="19"/>
      <c r="AB42" s="19"/>
      <c r="AC42" s="19"/>
      <c r="AE42" s="316" t="s">
        <v>314</v>
      </c>
      <c r="AF42" s="312">
        <f>(R42-P42)*N42</f>
        <v>4676.2043885639996</v>
      </c>
      <c r="AG42" s="312">
        <v>0</v>
      </c>
      <c r="AH42" s="422">
        <f>AF42+AG42</f>
        <v>4676.2043885639996</v>
      </c>
      <c r="AI42" s="421" t="s">
        <v>143</v>
      </c>
      <c r="AJ42" s="318">
        <v>-4676.2043885639996</v>
      </c>
      <c r="AL42" s="391" t="s">
        <v>146</v>
      </c>
      <c r="AM42" s="392">
        <v>14.952279229681919</v>
      </c>
    </row>
    <row r="43" spans="2:39" ht="15" thickBot="1">
      <c r="B43" s="413">
        <v>146.59</v>
      </c>
      <c r="D43" s="442"/>
      <c r="F43" s="442"/>
      <c r="H43" s="221"/>
      <c r="J43" s="410" t="s">
        <v>144</v>
      </c>
      <c r="K43" s="120" t="s">
        <v>316</v>
      </c>
      <c r="L43" s="121">
        <v>77.177750517301007</v>
      </c>
      <c r="M43" s="121">
        <v>55</v>
      </c>
      <c r="N43" s="121">
        <v>2.5842295225609209</v>
      </c>
      <c r="P43" s="229">
        <v>55</v>
      </c>
      <c r="Q43" s="166"/>
      <c r="R43" s="139">
        <v>77.177750517301007</v>
      </c>
      <c r="S43" s="61"/>
      <c r="U43" s="254" t="s">
        <v>316</v>
      </c>
      <c r="V43" s="9"/>
      <c r="W43" s="9"/>
      <c r="X43" s="242"/>
      <c r="Y43" s="9"/>
      <c r="Z43" s="19"/>
      <c r="AA43" s="9"/>
      <c r="AB43" s="19"/>
      <c r="AC43" s="19"/>
      <c r="AE43" s="316" t="s">
        <v>316</v>
      </c>
      <c r="AF43" s="312">
        <f>(R43-P43)*N43</f>
        <v>57.3123976308</v>
      </c>
      <c r="AG43" s="312">
        <v>0</v>
      </c>
      <c r="AH43" s="422">
        <f>AF43+AG43</f>
        <v>57.3123976308</v>
      </c>
      <c r="AI43" s="421" t="s">
        <v>144</v>
      </c>
      <c r="AJ43" s="318">
        <v>-57.3123976308</v>
      </c>
      <c r="AL43" s="391" t="s">
        <v>147</v>
      </c>
      <c r="AM43" s="392">
        <v>5.2567413814712065</v>
      </c>
    </row>
    <row r="44" spans="2:39" ht="15" thickBot="1">
      <c r="E44" s="71">
        <f>D42+E41</f>
        <v>-27723.82993216208</v>
      </c>
      <c r="G44" s="71">
        <f>F42+G41</f>
        <v>3931.598134781063</v>
      </c>
      <c r="H44" s="221"/>
      <c r="I44" s="70"/>
      <c r="J44" s="436" t="s">
        <v>145</v>
      </c>
      <c r="K44" s="120" t="s">
        <v>318</v>
      </c>
      <c r="L44" s="121">
        <v>103.805621619002</v>
      </c>
      <c r="M44" s="121">
        <v>102.6</v>
      </c>
      <c r="N44" s="121">
        <v>85.040562510574645</v>
      </c>
      <c r="P44" s="9"/>
      <c r="Q44" s="9"/>
      <c r="R44" s="9"/>
      <c r="S44" s="61"/>
      <c r="U44" s="254" t="s">
        <v>318</v>
      </c>
      <c r="V44" s="9"/>
      <c r="W44" s="229">
        <v>102.6</v>
      </c>
      <c r="X44" s="230"/>
      <c r="Y44" s="167">
        <v>103.805621619002</v>
      </c>
      <c r="Z44" s="19"/>
      <c r="AA44" s="9"/>
      <c r="AB44" s="19"/>
      <c r="AC44" s="9"/>
      <c r="AE44" s="316" t="s">
        <v>318</v>
      </c>
      <c r="AF44" s="312">
        <v>0</v>
      </c>
      <c r="AG44" s="312">
        <f>(Y44-W44)*N44</f>
        <v>102.52674065484</v>
      </c>
      <c r="AH44" s="468">
        <f>SUM(AF44:AG46)</f>
        <v>5888.1458003476155</v>
      </c>
      <c r="AI44" s="469" t="s">
        <v>145</v>
      </c>
      <c r="AJ44" s="470">
        <v>-29044.442169836282</v>
      </c>
      <c r="AL44" s="391" t="s">
        <v>299</v>
      </c>
      <c r="AM44" s="392">
        <f>R11</f>
        <v>120.477</v>
      </c>
    </row>
    <row r="45" spans="2:39" ht="15" thickBot="1">
      <c r="B45" s="413">
        <v>146.59</v>
      </c>
      <c r="D45" s="442">
        <f>V8</f>
        <v>-360.28135207955671</v>
      </c>
      <c r="F45" s="442">
        <v>-360.28135207955671</v>
      </c>
      <c r="H45" s="221"/>
      <c r="J45" s="437"/>
      <c r="K45" s="120" t="s">
        <v>206</v>
      </c>
      <c r="L45" s="121">
        <v>102.6</v>
      </c>
      <c r="M45" s="121">
        <v>58.4</v>
      </c>
      <c r="N45" s="121">
        <v>645.63244674027158</v>
      </c>
      <c r="P45" s="9"/>
      <c r="Q45" s="9"/>
      <c r="R45" s="148">
        <v>58.4</v>
      </c>
      <c r="S45" s="257">
        <f>S58</f>
        <v>94.266066655110507</v>
      </c>
      <c r="T45" s="80"/>
      <c r="U45" s="252" t="s">
        <v>206</v>
      </c>
      <c r="V45" s="139">
        <v>102.6</v>
      </c>
      <c r="W45" s="9"/>
      <c r="X45" s="9"/>
      <c r="Y45" s="9"/>
      <c r="Z45" s="19"/>
      <c r="AA45" s="9"/>
      <c r="AB45" s="19"/>
      <c r="AC45" s="9"/>
      <c r="AE45" s="316" t="s">
        <v>206</v>
      </c>
      <c r="AF45" s="312">
        <f>(U32-S45)*N45</f>
        <v>5154.6864200722439</v>
      </c>
      <c r="AG45" s="312">
        <f>(V45-U32)*N45</f>
        <v>225.97135635909137</v>
      </c>
      <c r="AH45" s="469"/>
      <c r="AI45" s="469"/>
      <c r="AJ45" s="471"/>
      <c r="AL45" s="391" t="s">
        <v>309</v>
      </c>
      <c r="AM45" s="392">
        <f>R18</f>
        <v>82.6</v>
      </c>
    </row>
    <row r="46" spans="2:39" ht="15" thickBot="1">
      <c r="B46" s="217">
        <v>145.858729681705</v>
      </c>
      <c r="D46" s="442"/>
      <c r="F46" s="442"/>
      <c r="J46" s="438"/>
      <c r="K46" s="120" t="s">
        <v>321</v>
      </c>
      <c r="L46" s="121">
        <v>58.4</v>
      </c>
      <c r="M46" s="121">
        <v>55</v>
      </c>
      <c r="N46" s="121">
        <v>119.10625978277652</v>
      </c>
      <c r="P46" s="237">
        <v>55</v>
      </c>
      <c r="Q46" s="238">
        <v>58.4</v>
      </c>
      <c r="R46" s="9"/>
      <c r="S46" s="9"/>
      <c r="T46" s="9"/>
      <c r="U46" s="254" t="s">
        <v>321</v>
      </c>
      <c r="V46" s="9"/>
      <c r="W46" s="9"/>
      <c r="X46" s="9"/>
      <c r="Y46" s="9"/>
      <c r="Z46" s="19"/>
      <c r="AA46" s="9"/>
      <c r="AB46" s="19"/>
      <c r="AC46" s="9"/>
      <c r="AE46" s="316" t="s">
        <v>321</v>
      </c>
      <c r="AF46" s="312">
        <f>(Q46-P46)*N46</f>
        <v>404.96128326143997</v>
      </c>
      <c r="AG46" s="312">
        <v>0</v>
      </c>
      <c r="AH46" s="469"/>
      <c r="AI46" s="469"/>
      <c r="AJ46" s="472"/>
    </row>
    <row r="47" spans="2:39" ht="15" thickBot="1">
      <c r="E47" s="71">
        <f>D45+E44</f>
        <v>-28084.111284241637</v>
      </c>
      <c r="G47" s="71">
        <f>F45+G44</f>
        <v>3571.3167827015063</v>
      </c>
      <c r="I47" s="70"/>
      <c r="J47" s="410" t="s">
        <v>146</v>
      </c>
      <c r="K47" s="120" t="s">
        <v>323</v>
      </c>
      <c r="L47" s="121">
        <v>137.05358729018999</v>
      </c>
      <c r="M47" s="121">
        <v>55</v>
      </c>
      <c r="N47" s="121">
        <v>14.944961860052768</v>
      </c>
      <c r="P47" s="229">
        <v>55</v>
      </c>
      <c r="Q47" s="166"/>
      <c r="R47" s="166"/>
      <c r="S47" s="166"/>
      <c r="T47" s="166"/>
      <c r="U47" s="252" t="s">
        <v>323</v>
      </c>
      <c r="V47" s="166"/>
      <c r="W47" s="166"/>
      <c r="X47" s="166"/>
      <c r="Y47" s="167">
        <v>137.05358729018999</v>
      </c>
      <c r="Z47" s="19"/>
      <c r="AA47" s="9"/>
      <c r="AB47" s="242"/>
      <c r="AC47" s="9"/>
      <c r="AE47" s="316" t="s">
        <v>323</v>
      </c>
      <c r="AF47" s="312">
        <f>(U32-P47)*N47</f>
        <v>706.14944788749324</v>
      </c>
      <c r="AG47" s="312">
        <f>(Y47-U32)*N47</f>
        <v>520.13828464490678</v>
      </c>
      <c r="AH47" s="422">
        <f>AF47+AG47</f>
        <v>1226.2877325324</v>
      </c>
      <c r="AI47" s="421" t="s">
        <v>146</v>
      </c>
      <c r="AJ47" s="318">
        <v>-1226.2877325324</v>
      </c>
    </row>
    <row r="48" spans="2:39" ht="15" thickBot="1">
      <c r="B48" s="217">
        <v>145.858729681705</v>
      </c>
      <c r="D48" s="442">
        <f>V9</f>
        <v>-2701.1407869267855</v>
      </c>
      <c r="F48" s="442">
        <v>-2701.1407869267855</v>
      </c>
      <c r="J48" s="435" t="s">
        <v>147</v>
      </c>
      <c r="K48" s="120" t="s">
        <v>325</v>
      </c>
      <c r="L48" s="121">
        <v>192</v>
      </c>
      <c r="M48" s="121">
        <v>140.477</v>
      </c>
      <c r="N48" s="121">
        <v>1.1174630470640297</v>
      </c>
      <c r="P48" s="9"/>
      <c r="Q48" s="9"/>
      <c r="R48" s="9"/>
      <c r="S48" s="9"/>
      <c r="T48" s="9"/>
      <c r="U48" s="254" t="s">
        <v>325</v>
      </c>
      <c r="V48" s="9"/>
      <c r="W48" s="9"/>
      <c r="X48" s="9"/>
      <c r="Y48" s="9"/>
      <c r="Z48" s="242"/>
      <c r="AA48" s="9"/>
      <c r="AB48" s="229">
        <v>140.477</v>
      </c>
      <c r="AC48" s="167">
        <v>192</v>
      </c>
      <c r="AE48" s="316" t="s">
        <v>325</v>
      </c>
      <c r="AF48" s="312">
        <v>0</v>
      </c>
      <c r="AG48" s="312">
        <f>(AC48-AB48)*N48</f>
        <v>57.575048573879997</v>
      </c>
      <c r="AH48" s="468">
        <f>SUM(AF48:AG50)</f>
        <v>280.47471715822684</v>
      </c>
      <c r="AI48" s="469" t="s">
        <v>147</v>
      </c>
      <c r="AJ48" s="470">
        <v>-280.47471715822684</v>
      </c>
    </row>
    <row r="49" spans="2:36" ht="15" thickBot="1">
      <c r="B49" s="418">
        <v>137.5</v>
      </c>
      <c r="D49" s="442"/>
      <c r="F49" s="442"/>
      <c r="J49" s="435"/>
      <c r="K49" s="120" t="s">
        <v>327</v>
      </c>
      <c r="L49" s="121">
        <v>140.477</v>
      </c>
      <c r="M49" s="120">
        <v>139.04300000000001</v>
      </c>
      <c r="N49" s="121">
        <v>154.95720108401702</v>
      </c>
      <c r="P49" s="9"/>
      <c r="Q49" s="9"/>
      <c r="R49" s="9"/>
      <c r="S49" s="9"/>
      <c r="T49" s="9"/>
      <c r="U49" s="254" t="s">
        <v>327</v>
      </c>
      <c r="V49" s="9"/>
      <c r="W49" s="9"/>
      <c r="X49" s="9"/>
      <c r="Y49" s="9"/>
      <c r="Z49" s="154">
        <v>139.04300000000001</v>
      </c>
      <c r="AA49" s="167">
        <v>140.477</v>
      </c>
      <c r="AB49" s="9"/>
      <c r="AC49" s="9"/>
      <c r="AE49" s="316" t="s">
        <v>327</v>
      </c>
      <c r="AF49" s="312">
        <v>0</v>
      </c>
      <c r="AG49" s="312">
        <f>(AA49-Z49)*N49</f>
        <v>222.20862635448</v>
      </c>
      <c r="AH49" s="469"/>
      <c r="AI49" s="469"/>
      <c r="AJ49" s="471"/>
    </row>
    <row r="50" spans="2:36" ht="15" thickBot="1">
      <c r="E50" s="71">
        <f>D48+E47</f>
        <v>-30785.252071168423</v>
      </c>
      <c r="G50" s="71">
        <f>F48+G47</f>
        <v>870.17599577472083</v>
      </c>
      <c r="J50" s="435"/>
      <c r="K50" s="210" t="s">
        <v>329</v>
      </c>
      <c r="L50" s="210">
        <v>139.04300000000001</v>
      </c>
      <c r="M50" s="210">
        <v>139.04103150819901</v>
      </c>
      <c r="N50" s="207">
        <v>351.05161703885898</v>
      </c>
      <c r="P50" s="9"/>
      <c r="Q50" s="9"/>
      <c r="R50" s="9"/>
      <c r="S50" s="9"/>
      <c r="T50" s="9"/>
      <c r="U50" s="254" t="s">
        <v>329</v>
      </c>
      <c r="V50" s="9"/>
      <c r="W50" s="154">
        <v>139.04103150819901</v>
      </c>
      <c r="X50" s="172"/>
      <c r="Y50" s="155">
        <v>139.04300000000001</v>
      </c>
      <c r="Z50" s="9"/>
      <c r="AA50" s="9"/>
      <c r="AB50" s="9"/>
      <c r="AC50" s="9"/>
      <c r="AE50" s="316" t="s">
        <v>329</v>
      </c>
      <c r="AF50" s="312">
        <v>0</v>
      </c>
      <c r="AG50" s="312">
        <f>(Y50-W50)*N50</f>
        <v>0.69104222986679997</v>
      </c>
      <c r="AH50" s="469"/>
      <c r="AI50" s="469"/>
      <c r="AJ50" s="472"/>
    </row>
    <row r="51" spans="2:36" ht="15" thickBot="1">
      <c r="B51" s="418">
        <v>137.5</v>
      </c>
      <c r="D51" s="442">
        <f>V10</f>
        <v>-624.87531610623546</v>
      </c>
      <c r="F51" s="442">
        <v>-624.87531610623546</v>
      </c>
      <c r="J51" s="410" t="s">
        <v>331</v>
      </c>
      <c r="K51" s="77" t="s">
        <v>299</v>
      </c>
      <c r="L51" s="209">
        <v>121.246021571727</v>
      </c>
      <c r="M51" s="209">
        <v>122.246021571727</v>
      </c>
      <c r="N51" s="209">
        <v>272.78140265316</v>
      </c>
      <c r="U51" s="255" t="s">
        <v>299</v>
      </c>
      <c r="V51" s="9"/>
      <c r="W51" s="248">
        <v>121.25</v>
      </c>
      <c r="X51" s="227"/>
      <c r="Y51" s="249">
        <v>122.25</v>
      </c>
      <c r="Z51" s="9"/>
      <c r="AA51" s="9"/>
      <c r="AB51" s="9"/>
      <c r="AC51" s="9"/>
      <c r="AE51" s="317" t="s">
        <v>299</v>
      </c>
      <c r="AF51" s="312">
        <v>0</v>
      </c>
      <c r="AG51" s="312">
        <f>(Y51-W51)*N51</f>
        <v>272.78140265316</v>
      </c>
      <c r="AH51" s="422">
        <f>AG51</f>
        <v>272.78140265316</v>
      </c>
      <c r="AI51" s="421" t="s">
        <v>331</v>
      </c>
      <c r="AJ51" s="319"/>
    </row>
    <row r="52" spans="2:36" ht="15" thickBot="1">
      <c r="B52" s="418">
        <v>120.477</v>
      </c>
      <c r="D52" s="442"/>
      <c r="F52" s="442"/>
      <c r="J52" s="410" t="s">
        <v>333</v>
      </c>
      <c r="K52" s="77" t="s">
        <v>309</v>
      </c>
      <c r="L52" s="209">
        <v>58.385587871599</v>
      </c>
      <c r="M52" s="209">
        <v>59.385587871599</v>
      </c>
      <c r="N52" s="209">
        <v>656.5069913868</v>
      </c>
      <c r="P52" s="41"/>
      <c r="Q52" s="246">
        <v>58.39</v>
      </c>
      <c r="R52" s="247">
        <v>59.39</v>
      </c>
      <c r="U52" s="255" t="s">
        <v>309</v>
      </c>
      <c r="AE52" s="317" t="s">
        <v>309</v>
      </c>
      <c r="AF52" s="313">
        <f>(R52-Q52)*N52</f>
        <v>656.5069913868</v>
      </c>
      <c r="AG52" s="312">
        <v>0</v>
      </c>
      <c r="AH52" s="422">
        <f>AF52+AG52</f>
        <v>656.5069913868</v>
      </c>
      <c r="AI52" s="421" t="s">
        <v>333</v>
      </c>
      <c r="AJ52" s="319"/>
    </row>
    <row r="53" spans="2:36">
      <c r="E53" s="71">
        <f>D51+E50</f>
        <v>-31410.127387274657</v>
      </c>
      <c r="G53" s="71">
        <f>F51+G50</f>
        <v>245.30067966848537</v>
      </c>
      <c r="AE53" s="36"/>
      <c r="AF53" s="269">
        <f>SUM(AF33:AF52)</f>
        <v>44510.56609072951</v>
      </c>
      <c r="AG53" s="269">
        <f>SUM(AG33:AG52)</f>
        <v>58198.182570796242</v>
      </c>
      <c r="AH53" s="311">
        <f>AG53+AF53</f>
        <v>102708.74866152575</v>
      </c>
      <c r="AI53" s="309"/>
      <c r="AJ53" s="320"/>
    </row>
    <row r="54" spans="2:36">
      <c r="B54" s="418">
        <v>120.477</v>
      </c>
      <c r="D54" s="442">
        <f>V11</f>
        <v>167.96733083524799</v>
      </c>
      <c r="F54" s="442">
        <v>167.96733083524799</v>
      </c>
      <c r="P54" s="41" t="s">
        <v>345</v>
      </c>
      <c r="W54" s="41" t="s">
        <v>345</v>
      </c>
      <c r="X54" s="41"/>
    </row>
    <row r="55" spans="2:36">
      <c r="B55" s="133">
        <v>119.04300000000001</v>
      </c>
      <c r="D55" s="442"/>
      <c r="F55" s="442"/>
      <c r="M55" s="42" t="s">
        <v>264</v>
      </c>
      <c r="N55" s="42" t="s">
        <v>265</v>
      </c>
      <c r="P55" t="s">
        <v>266</v>
      </c>
      <c r="W55" t="s">
        <v>90</v>
      </c>
      <c r="X55" t="s">
        <v>346</v>
      </c>
      <c r="Y55" s="70"/>
    </row>
    <row r="56" spans="2:36">
      <c r="E56" s="71">
        <f>D54+E53</f>
        <v>-31242.16005643941</v>
      </c>
      <c r="G56" s="71">
        <f>F54+G53</f>
        <v>413.26801050373336</v>
      </c>
      <c r="M56" s="181">
        <v>456.85</v>
      </c>
      <c r="N56" s="184">
        <f>G26</f>
        <v>31655.428066943143</v>
      </c>
      <c r="Y56" s="70"/>
      <c r="Z56" s="70"/>
    </row>
    <row r="57" spans="2:36">
      <c r="B57" s="133">
        <v>119.04300000000001</v>
      </c>
      <c r="D57" s="442">
        <f>V12</f>
        <v>0.61658369046309036</v>
      </c>
      <c r="F57" s="442">
        <v>0.61658369046309036</v>
      </c>
      <c r="M57" s="181">
        <v>380.154028617682</v>
      </c>
      <c r="N57" s="184">
        <f>G29</f>
        <v>30586.69890481899</v>
      </c>
      <c r="P57" s="259" t="s">
        <v>200</v>
      </c>
      <c r="Q57" s="260"/>
      <c r="R57" s="260" t="s">
        <v>201</v>
      </c>
      <c r="S57" s="260" t="s">
        <v>129</v>
      </c>
      <c r="W57" s="259" t="s">
        <v>203</v>
      </c>
      <c r="X57" s="260"/>
      <c r="Y57" s="262" t="s">
        <v>204</v>
      </c>
      <c r="Z57" s="262" t="s">
        <v>129</v>
      </c>
    </row>
    <row r="58" spans="2:36">
      <c r="B58" s="133">
        <v>119.04103150819901</v>
      </c>
      <c r="D58" s="442"/>
      <c r="F58" s="442"/>
      <c r="M58" s="181">
        <v>195.2</v>
      </c>
      <c r="N58" s="184">
        <f>G32</f>
        <v>28009.434930278174</v>
      </c>
      <c r="P58" s="261" t="s">
        <v>206</v>
      </c>
      <c r="Q58" s="261">
        <f>(U32-72.67)*N45</f>
        <v>19097.807774577232</v>
      </c>
      <c r="R58" s="261">
        <v>102.25</v>
      </c>
      <c r="S58" s="261">
        <f>102.25-(Q60/N45)</f>
        <v>94.266066655110507</v>
      </c>
      <c r="W58" s="261" t="s">
        <v>203</v>
      </c>
      <c r="X58" s="261">
        <f>(AB39-U32)*N39</f>
        <v>40645.24671904093</v>
      </c>
      <c r="Y58" s="263">
        <v>400.15</v>
      </c>
      <c r="Z58" s="263">
        <f>400.15-(X60/N39)</f>
        <v>355.12747846682436</v>
      </c>
    </row>
    <row r="59" spans="2:36">
      <c r="E59" s="71">
        <f>D57+E56</f>
        <v>-31241.543472748948</v>
      </c>
      <c r="G59" s="71">
        <f>F57+G56</f>
        <v>413.88459419419644</v>
      </c>
      <c r="M59" s="181">
        <v>192</v>
      </c>
      <c r="N59" s="184">
        <f>G35</f>
        <v>26445.292047860596</v>
      </c>
      <c r="P59" s="261" t="s">
        <v>208</v>
      </c>
      <c r="Q59" s="261">
        <f>(U32-20-Q33)*N33</f>
        <v>5154.6864200722466</v>
      </c>
      <c r="R59" s="261">
        <v>52.67</v>
      </c>
      <c r="S59" s="261">
        <v>82.25</v>
      </c>
      <c r="W59" s="261" t="s">
        <v>208</v>
      </c>
      <c r="X59" s="261">
        <f>(Z33-U32)*N33</f>
        <v>6142.7551151976568</v>
      </c>
      <c r="Y59" s="264">
        <v>102.25</v>
      </c>
      <c r="Z59" s="263">
        <v>137.5</v>
      </c>
    </row>
    <row r="60" spans="2:36">
      <c r="B60" s="133">
        <v>119.04103150819901</v>
      </c>
      <c r="D60" s="442">
        <f>V13</f>
        <v>-75.175417822187001</v>
      </c>
      <c r="F60" s="442">
        <v>-75.175417822187001</v>
      </c>
      <c r="M60" s="181">
        <v>172</v>
      </c>
      <c r="N60" s="184">
        <f>G38</f>
        <v>16552.220812136802</v>
      </c>
      <c r="P60" s="261" t="s">
        <v>137</v>
      </c>
      <c r="Q60" s="261">
        <f>MIN(Q58:Q59)</f>
        <v>5154.6864200722466</v>
      </c>
      <c r="R60" s="261"/>
      <c r="S60" s="261"/>
      <c r="W60" s="261" t="s">
        <v>137</v>
      </c>
      <c r="X60" s="261">
        <f>MIN(X58:X59)</f>
        <v>6142.7551151976568</v>
      </c>
      <c r="Y60" s="263"/>
      <c r="Z60" s="264"/>
    </row>
    <row r="61" spans="2:36">
      <c r="B61" s="418">
        <v>117.05358729018999</v>
      </c>
      <c r="D61" s="442"/>
      <c r="F61" s="442"/>
      <c r="M61" s="181">
        <v>147.59</v>
      </c>
      <c r="N61" s="184">
        <f>G41</f>
        <v>4505.0046419147475</v>
      </c>
    </row>
    <row r="62" spans="2:36">
      <c r="E62" s="71">
        <f>D60+E59</f>
        <v>-31316.718890571134</v>
      </c>
      <c r="G62" s="71">
        <f>F60+G59</f>
        <v>338.70917637200944</v>
      </c>
      <c r="M62" s="181">
        <v>146.59</v>
      </c>
      <c r="N62" s="184">
        <f>G44</f>
        <v>3931.598134781063</v>
      </c>
      <c r="P62" s="259" t="s">
        <v>202</v>
      </c>
      <c r="Q62" s="260"/>
      <c r="R62" s="260" t="s">
        <v>201</v>
      </c>
      <c r="S62" s="260" t="s">
        <v>129</v>
      </c>
      <c r="W62" s="259" t="s">
        <v>205</v>
      </c>
      <c r="X62" s="260"/>
      <c r="Y62" s="262" t="s">
        <v>204</v>
      </c>
      <c r="Z62" s="262" t="s">
        <v>129</v>
      </c>
      <c r="AA62" s="41"/>
      <c r="AB62" s="70"/>
    </row>
    <row r="63" spans="2:36">
      <c r="B63" s="418">
        <v>117.05358729018999</v>
      </c>
      <c r="D63" s="442">
        <f>V14</f>
        <v>-338.7091763720091</v>
      </c>
      <c r="F63" s="442">
        <v>-338.7091763720091</v>
      </c>
      <c r="M63" s="181">
        <v>145.858729681705</v>
      </c>
      <c r="N63" s="184">
        <f>G47</f>
        <v>3571.3167827015063</v>
      </c>
      <c r="P63" s="261" t="s">
        <v>209</v>
      </c>
      <c r="Q63" s="270">
        <f>N38</f>
        <v>674.92418867640004</v>
      </c>
      <c r="R63" s="261">
        <v>78.680000000000007</v>
      </c>
      <c r="S63" s="261">
        <v>79.680000000000007</v>
      </c>
      <c r="W63" s="261" t="s">
        <v>210</v>
      </c>
      <c r="X63" s="261">
        <f>(AA34-W34)*N34</f>
        <v>36075.888477323999</v>
      </c>
      <c r="Y63" s="263">
        <v>137.5</v>
      </c>
      <c r="Z63" s="263">
        <f>W34+(X65/N34)</f>
        <v>180.62603139678251</v>
      </c>
      <c r="AB63" s="70"/>
    </row>
    <row r="64" spans="2:36">
      <c r="B64" s="418">
        <v>102.25</v>
      </c>
      <c r="D64" s="442"/>
      <c r="F64" s="442"/>
      <c r="M64" s="181">
        <v>137.5</v>
      </c>
      <c r="N64" s="184">
        <f>G50</f>
        <v>870.17599577472083</v>
      </c>
      <c r="P64" s="261" t="s">
        <v>89</v>
      </c>
      <c r="Q64" s="261">
        <f>(S40-Q40)*N40</f>
        <v>27392.283737676</v>
      </c>
      <c r="R64" s="261">
        <f>S40</f>
        <v>100.3</v>
      </c>
      <c r="S64" s="261">
        <f>S40-(Q65/N40)</f>
        <v>99.430235942047148</v>
      </c>
      <c r="W64" s="261" t="s">
        <v>207</v>
      </c>
      <c r="X64" s="261">
        <f>(AA39-157.5)*N39</f>
        <v>26963.776414902939</v>
      </c>
      <c r="Y64" s="264">
        <v>355.13</v>
      </c>
      <c r="Z64" s="263">
        <v>157.5</v>
      </c>
      <c r="AB64" s="70"/>
    </row>
    <row r="65" spans="1:30">
      <c r="A65" t="s">
        <v>271</v>
      </c>
      <c r="E65" s="71">
        <f>D63+E62</f>
        <v>-31655.428066943143</v>
      </c>
      <c r="G65" s="71">
        <f>F63+G62</f>
        <v>0</v>
      </c>
      <c r="H65" s="221"/>
      <c r="I65" s="70"/>
      <c r="M65" s="181">
        <v>120.477</v>
      </c>
      <c r="N65" s="184">
        <f>G53</f>
        <v>245.30067966848537</v>
      </c>
      <c r="P65" s="261" t="s">
        <v>137</v>
      </c>
      <c r="Q65" s="270">
        <f>MIN(Q63:Q64)</f>
        <v>674.92418867640004</v>
      </c>
      <c r="R65" s="261"/>
      <c r="S65" s="261"/>
      <c r="W65" s="261" t="s">
        <v>137</v>
      </c>
      <c r="X65" s="261">
        <f>MIN(X63:X64)</f>
        <v>26963.776414902939</v>
      </c>
      <c r="Y65" s="263"/>
      <c r="Z65" s="264"/>
      <c r="AB65" s="70"/>
    </row>
    <row r="66" spans="1:30">
      <c r="B66" s="418">
        <v>102.25</v>
      </c>
      <c r="D66" s="442">
        <f>V15</f>
        <v>249.90119330035915</v>
      </c>
      <c r="F66" s="442">
        <v>249.90119330035915</v>
      </c>
      <c r="H66" s="221"/>
      <c r="I66" s="70"/>
      <c r="M66" s="181">
        <v>119.04300000000001</v>
      </c>
      <c r="N66" s="184">
        <f>G56</f>
        <v>413.26801050373336</v>
      </c>
      <c r="AB66" s="70"/>
    </row>
    <row r="67" spans="1:30">
      <c r="B67" s="418">
        <v>101.25</v>
      </c>
      <c r="D67" s="442"/>
      <c r="F67" s="442"/>
      <c r="I67" s="70"/>
      <c r="M67" s="181">
        <v>119.04103150819901</v>
      </c>
      <c r="N67" s="184">
        <f>G59</f>
        <v>413.88459419419644</v>
      </c>
      <c r="W67" s="303" t="s">
        <v>347</v>
      </c>
      <c r="X67" s="304"/>
      <c r="Y67" s="305" t="s">
        <v>204</v>
      </c>
      <c r="Z67" s="305" t="s">
        <v>129</v>
      </c>
      <c r="AA67" s="41"/>
      <c r="AB67" s="70"/>
    </row>
    <row r="68" spans="1:30">
      <c r="E68" s="71">
        <f>D66+E65</f>
        <v>-31405.526873642782</v>
      </c>
      <c r="G68" s="71">
        <f>F66+G65</f>
        <v>249.90119330035915</v>
      </c>
      <c r="I68" s="70"/>
      <c r="M68" s="181">
        <v>117.05358729018999</v>
      </c>
      <c r="N68" s="184">
        <f>G62</f>
        <v>338.70917637200944</v>
      </c>
      <c r="P68" s="19"/>
      <c r="W68" s="304" t="s">
        <v>302</v>
      </c>
      <c r="X68" s="304">
        <f>(Z36-Y36)*N36</f>
        <v>270.33759763811997</v>
      </c>
      <c r="Y68" s="305">
        <v>145.86000000000001</v>
      </c>
      <c r="Z68" s="305">
        <f>Y36+(X70/N36)</f>
        <v>192</v>
      </c>
      <c r="AB68" s="70"/>
      <c r="AD68" s="70"/>
    </row>
    <row r="69" spans="1:30">
      <c r="B69" s="418">
        <v>101.25</v>
      </c>
      <c r="D69" s="442">
        <f>V16</f>
        <v>4241.2921077140363</v>
      </c>
      <c r="F69" s="442">
        <v>4241.2921077140363</v>
      </c>
      <c r="M69" s="181">
        <v>102.25</v>
      </c>
      <c r="N69" s="184">
        <f>G65</f>
        <v>0</v>
      </c>
      <c r="P69" s="9"/>
      <c r="W69" s="304" t="s">
        <v>299</v>
      </c>
      <c r="X69" s="304">
        <f>(Y51-W51)*N51</f>
        <v>272.78140265316</v>
      </c>
      <c r="Y69" s="306">
        <f>W51</f>
        <v>121.25</v>
      </c>
      <c r="Z69" s="305">
        <f>Y51</f>
        <v>122.25</v>
      </c>
      <c r="AB69" s="70"/>
    </row>
    <row r="70" spans="1:30">
      <c r="B70" s="418">
        <v>83.805621619001997</v>
      </c>
      <c r="D70" s="442"/>
      <c r="F70" s="442"/>
      <c r="M70" s="181">
        <v>101.25</v>
      </c>
      <c r="N70" s="184">
        <f>G68</f>
        <v>249.90119330035915</v>
      </c>
      <c r="P70" s="9"/>
      <c r="W70" s="304" t="s">
        <v>137</v>
      </c>
      <c r="X70" s="304">
        <f>MIN(X68:X69)</f>
        <v>270.33759763811997</v>
      </c>
      <c r="Y70" s="305"/>
      <c r="Z70" s="306"/>
      <c r="AB70" s="70"/>
    </row>
    <row r="71" spans="1:30">
      <c r="E71" s="71">
        <f>D69+E68</f>
        <v>-27164.234765928748</v>
      </c>
      <c r="G71" s="71">
        <f>F69+G68</f>
        <v>4491.1933010143957</v>
      </c>
      <c r="M71" s="181">
        <v>83.805621619001997</v>
      </c>
      <c r="N71" s="184">
        <f>G71</f>
        <v>4491.1933010143957</v>
      </c>
      <c r="P71" s="9"/>
      <c r="AB71" s="70"/>
    </row>
    <row r="72" spans="1:30">
      <c r="B72" s="418">
        <v>83.805621619001997</v>
      </c>
      <c r="D72" s="442">
        <f>V17</f>
        <v>74.941865611811465</v>
      </c>
      <c r="F72" s="442">
        <v>74.941865611811465</v>
      </c>
      <c r="M72" s="181">
        <v>82.6</v>
      </c>
      <c r="N72" s="184">
        <f>G74</f>
        <v>4566.1351666262071</v>
      </c>
      <c r="P72" s="9"/>
      <c r="W72" s="223"/>
      <c r="X72" s="19"/>
      <c r="Y72" s="22"/>
      <c r="Z72" s="22"/>
      <c r="AA72" s="41"/>
      <c r="AB72" s="70"/>
    </row>
    <row r="73" spans="1:30">
      <c r="B73" s="418">
        <v>82.6</v>
      </c>
      <c r="D73" s="442"/>
      <c r="F73" s="442"/>
      <c r="M73" s="181">
        <v>80.3</v>
      </c>
      <c r="N73" s="184">
        <f>G77</f>
        <v>5998.465312617388</v>
      </c>
      <c r="P73" s="9"/>
      <c r="W73" s="19"/>
      <c r="X73" s="19"/>
      <c r="Y73" s="22"/>
      <c r="Z73" s="22"/>
      <c r="AB73" s="70"/>
      <c r="AC73" s="70"/>
      <c r="AD73" s="70"/>
    </row>
    <row r="74" spans="1:30">
      <c r="E74" s="71">
        <f>D72+E71</f>
        <v>-27089.292900316937</v>
      </c>
      <c r="G74" s="71">
        <f>F72+G71</f>
        <v>4566.1351666262071</v>
      </c>
      <c r="M74" s="181">
        <v>79.680000000000007</v>
      </c>
      <c r="N74" s="184">
        <f>G80</f>
        <v>35185.68608675024</v>
      </c>
      <c r="P74" s="9"/>
      <c r="W74" s="19"/>
      <c r="X74" s="19"/>
      <c r="Y74" s="427"/>
      <c r="Z74" s="22"/>
      <c r="AB74" s="70"/>
    </row>
    <row r="75" spans="1:30">
      <c r="B75" s="418">
        <v>82.6</v>
      </c>
      <c r="D75" s="442">
        <f>V18</f>
        <v>1432.3301459911809</v>
      </c>
      <c r="F75" s="442">
        <v>1432.3301459911809</v>
      </c>
      <c r="M75" s="185">
        <v>78.680000000000007</v>
      </c>
      <c r="N75" s="184">
        <f>G83</f>
        <v>35773.062125219643</v>
      </c>
      <c r="P75" s="9"/>
      <c r="W75" s="19"/>
      <c r="X75" s="19"/>
      <c r="Y75" s="22"/>
      <c r="Z75" s="427"/>
      <c r="AB75" s="70"/>
    </row>
    <row r="76" spans="1:30">
      <c r="B76" s="418">
        <v>80.3</v>
      </c>
      <c r="D76" s="442"/>
      <c r="F76" s="442"/>
      <c r="M76" s="181">
        <v>57.177750517301007</v>
      </c>
      <c r="N76" s="184">
        <f>G86</f>
        <v>46098.159242737151</v>
      </c>
      <c r="P76" s="9"/>
      <c r="AB76" s="70"/>
    </row>
    <row r="77" spans="1:30">
      <c r="E77" s="71">
        <f>D75+E74</f>
        <v>-25656.962754325756</v>
      </c>
      <c r="G77" s="71">
        <f>F75+G74</f>
        <v>5998.465312617388</v>
      </c>
      <c r="M77" s="181">
        <v>52.665870539244999</v>
      </c>
      <c r="N77" s="184">
        <f>G89</f>
        <v>51805.166097333393</v>
      </c>
      <c r="AA77" s="41"/>
      <c r="AB77" s="70"/>
    </row>
    <row r="78" spans="1:30">
      <c r="B78" s="418">
        <v>80.3</v>
      </c>
      <c r="D78" s="442">
        <f>V19</f>
        <v>29187.220774132849</v>
      </c>
      <c r="F78" s="442">
        <v>29187.220774132849</v>
      </c>
      <c r="M78" s="181">
        <v>45.150063343529993</v>
      </c>
      <c r="N78" s="184">
        <f>G92</f>
        <v>66084.101934871607</v>
      </c>
      <c r="AB78" s="70"/>
      <c r="AD78" s="70"/>
    </row>
    <row r="79" spans="1:30">
      <c r="B79" s="418">
        <v>79.680000000000007</v>
      </c>
      <c r="D79" s="442"/>
      <c r="F79" s="442"/>
      <c r="M79" s="181">
        <v>45</v>
      </c>
      <c r="N79" s="184">
        <f>G95</f>
        <v>66369.200367818747</v>
      </c>
      <c r="AB79" s="70"/>
    </row>
    <row r="80" spans="1:30">
      <c r="E80" s="71">
        <f>D78+E77</f>
        <v>3530.2580198070937</v>
      </c>
      <c r="G80" s="71">
        <f>F78+G77</f>
        <v>35185.68608675024</v>
      </c>
      <c r="M80" s="181">
        <v>39.39</v>
      </c>
      <c r="N80" s="184">
        <f>G98</f>
        <v>74012.694728855524</v>
      </c>
      <c r="AB80" s="70"/>
    </row>
    <row r="81" spans="2:28">
      <c r="B81" s="418">
        <v>79.680000000000007</v>
      </c>
      <c r="D81" s="442">
        <f>V20</f>
        <v>587.37603846940249</v>
      </c>
      <c r="F81" s="442">
        <v>587.37603846940249</v>
      </c>
      <c r="M81" s="181">
        <v>38.4</v>
      </c>
      <c r="N81" s="184">
        <f>G101</f>
        <v>76011.48859639377</v>
      </c>
    </row>
    <row r="82" spans="2:28">
      <c r="B82" s="418">
        <v>78.680000000000007</v>
      </c>
      <c r="D82" s="442"/>
      <c r="F82" s="442"/>
      <c r="M82" s="181">
        <v>38.39</v>
      </c>
      <c r="N82" s="184">
        <f>G104</f>
        <v>76031.678433439607</v>
      </c>
      <c r="X82" t="s">
        <v>272</v>
      </c>
    </row>
    <row r="83" spans="2:28">
      <c r="E83" s="71">
        <f>D81+E80</f>
        <v>4117.634058276496</v>
      </c>
      <c r="G83" s="71">
        <f>F81+G80</f>
        <v>35773.062125219643</v>
      </c>
      <c r="M83" s="181">
        <v>35</v>
      </c>
      <c r="N83" s="184">
        <f>G107</f>
        <v>80650.474491178407</v>
      </c>
    </row>
    <row r="84" spans="2:28">
      <c r="B84" s="418">
        <v>78.680000000000007</v>
      </c>
      <c r="D84" s="465">
        <f>V21</f>
        <v>10325.097117517504</v>
      </c>
      <c r="F84" s="465">
        <v>10325.097117517504</v>
      </c>
      <c r="X84" s="187">
        <f>AF50+AF45+AF44+AF40+AF39</f>
        <v>32138.09887030282</v>
      </c>
      <c r="Y84" s="186">
        <v>3412.1419999999998</v>
      </c>
      <c r="Z84">
        <f>X84*Y84</f>
        <v>109659756.95551279</v>
      </c>
    </row>
    <row r="85" spans="2:28">
      <c r="B85" s="418">
        <v>57.177750517301007</v>
      </c>
      <c r="D85" s="465"/>
      <c r="E85" s="71"/>
      <c r="F85" s="465"/>
      <c r="Y85" s="186">
        <v>3412.1419999999998</v>
      </c>
      <c r="AB85" t="s">
        <v>273</v>
      </c>
    </row>
    <row r="86" spans="2:28">
      <c r="E86" s="71">
        <f>D84+E83</f>
        <v>14442.731175794001</v>
      </c>
      <c r="G86" s="71">
        <f>F84+G83</f>
        <v>46098.159242737151</v>
      </c>
      <c r="X86" s="70"/>
    </row>
    <row r="87" spans="2:28">
      <c r="B87" s="418">
        <v>57.177750517301007</v>
      </c>
      <c r="D87" s="463">
        <f>V22</f>
        <v>5707.0068545962413</v>
      </c>
      <c r="F87" s="463">
        <v>5707.0068545962413</v>
      </c>
    </row>
    <row r="88" spans="2:28">
      <c r="B88" s="418">
        <v>52.665870539244999</v>
      </c>
      <c r="D88" s="463"/>
      <c r="F88" s="463"/>
      <c r="W88" s="414" t="s">
        <v>274</v>
      </c>
      <c r="X88" s="415"/>
      <c r="Z88" s="414" t="s">
        <v>274</v>
      </c>
      <c r="AA88" s="415"/>
    </row>
    <row r="89" spans="2:28">
      <c r="E89" s="71">
        <f>D87+E86</f>
        <v>20149.738030390243</v>
      </c>
      <c r="G89" s="71">
        <f>F87+G86</f>
        <v>51805.166097333393</v>
      </c>
      <c r="W89" s="13" t="s">
        <v>275</v>
      </c>
      <c r="X89" s="13">
        <f>SUM(Q62:Q68)</f>
        <v>28742.132115028799</v>
      </c>
      <c r="Z89" s="13" t="s">
        <v>275</v>
      </c>
      <c r="AA89" s="13">
        <v>27500.465510444177</v>
      </c>
    </row>
    <row r="90" spans="2:28">
      <c r="B90" s="418">
        <v>52.665870539244999</v>
      </c>
      <c r="D90" s="466">
        <f>V23</f>
        <v>14278.93583753822</v>
      </c>
      <c r="F90" s="466">
        <v>14278.93583753822</v>
      </c>
      <c r="W90" s="13" t="s">
        <v>276</v>
      </c>
      <c r="X90" s="15">
        <v>3412.1419999999998</v>
      </c>
      <c r="Z90" s="13" t="s">
        <v>276</v>
      </c>
      <c r="AA90" s="15">
        <v>3412.1419999999998</v>
      </c>
    </row>
    <row r="91" spans="2:28">
      <c r="B91" s="418">
        <v>45.150063343529993</v>
      </c>
      <c r="D91" s="467"/>
      <c r="F91" s="467"/>
      <c r="W91" s="13" t="s">
        <v>277</v>
      </c>
      <c r="X91" s="13">
        <f>X89*X90</f>
        <v>98072236.159238592</v>
      </c>
      <c r="Z91" s="13" t="s">
        <v>277</v>
      </c>
      <c r="AA91" s="13">
        <v>93835493.387738004</v>
      </c>
    </row>
    <row r="92" spans="2:28">
      <c r="E92" s="71">
        <f>D90+E89</f>
        <v>34428.673867928461</v>
      </c>
      <c r="G92" s="71">
        <f>F90+G89</f>
        <v>66084.101934871607</v>
      </c>
      <c r="W92" s="13" t="s">
        <v>278</v>
      </c>
      <c r="X92" s="13">
        <v>948.1</v>
      </c>
      <c r="Z92" s="13" t="s">
        <v>278</v>
      </c>
      <c r="AA92" s="13">
        <v>948.1</v>
      </c>
    </row>
    <row r="93" spans="2:28">
      <c r="B93" s="418">
        <v>45.150063343529993</v>
      </c>
      <c r="D93" s="463">
        <f>V24</f>
        <v>285.09843294714557</v>
      </c>
      <c r="F93" s="463">
        <v>285.09843294714557</v>
      </c>
      <c r="W93" s="13" t="s">
        <v>279</v>
      </c>
      <c r="X93" s="13">
        <f>X91/X92</f>
        <v>103440.81442805463</v>
      </c>
      <c r="Z93" s="13" t="s">
        <v>279</v>
      </c>
      <c r="AA93" s="13">
        <v>98972.147861763529</v>
      </c>
    </row>
    <row r="94" spans="2:28">
      <c r="B94" s="418">
        <v>45</v>
      </c>
      <c r="D94" s="463"/>
      <c r="F94" s="463"/>
      <c r="W94" s="13" t="s">
        <v>280</v>
      </c>
      <c r="X94" s="13">
        <v>2.2799999999999998</v>
      </c>
      <c r="Z94" s="13" t="s">
        <v>280</v>
      </c>
      <c r="AA94" s="13">
        <v>2.2799999999999998</v>
      </c>
    </row>
    <row r="95" spans="2:28">
      <c r="E95" s="71">
        <f>D93+E92</f>
        <v>34713.772300875607</v>
      </c>
      <c r="G95" s="71">
        <f>F93+G92</f>
        <v>66369.200367818747</v>
      </c>
      <c r="W95" s="13" t="s">
        <v>281</v>
      </c>
      <c r="X95" s="13">
        <f>(X93/1000)*X94</f>
        <v>235.84505689596452</v>
      </c>
      <c r="Z95" s="13" t="s">
        <v>281</v>
      </c>
      <c r="AA95" s="13">
        <v>225.65649712482085</v>
      </c>
    </row>
    <row r="96" spans="2:28">
      <c r="B96" s="418">
        <v>45</v>
      </c>
      <c r="D96" s="463">
        <f>V25</f>
        <v>7643.4943610367836</v>
      </c>
      <c r="F96" s="463">
        <v>7643.4943610367836</v>
      </c>
      <c r="W96" s="200" t="s">
        <v>282</v>
      </c>
      <c r="X96" s="191">
        <f>X95*7211.21877372371</f>
        <v>1700730.3019781159</v>
      </c>
      <c r="Z96" s="200" t="s">
        <v>282</v>
      </c>
      <c r="AA96" s="191">
        <f>7591*AA95</f>
        <v>1712958.4696745151</v>
      </c>
      <c r="AB96" s="188"/>
    </row>
    <row r="97" spans="2:27">
      <c r="B97" s="418">
        <v>39.39</v>
      </c>
      <c r="D97" s="463"/>
      <c r="F97" s="463"/>
      <c r="W97" s="414" t="s">
        <v>283</v>
      </c>
      <c r="X97" s="415"/>
      <c r="Z97" s="414" t="s">
        <v>283</v>
      </c>
      <c r="AA97" s="415"/>
    </row>
    <row r="98" spans="2:27">
      <c r="E98" s="71">
        <f>D96+E95</f>
        <v>42357.266661912392</v>
      </c>
      <c r="G98" s="71">
        <f>F96+G95</f>
        <v>74012.694728855524</v>
      </c>
      <c r="W98" s="13" t="s">
        <v>275</v>
      </c>
      <c r="X98" s="192">
        <f>AF39+AF40+AF44+AF45+AF47+AF50</f>
        <v>32844.248318190315</v>
      </c>
      <c r="Z98" s="13" t="s">
        <v>275</v>
      </c>
      <c r="AA98" s="192">
        <v>40111.367907635577</v>
      </c>
    </row>
    <row r="99" spans="2:27">
      <c r="B99" s="418">
        <v>39.39</v>
      </c>
      <c r="D99" s="464">
        <f>V26</f>
        <v>1998.7938675382509</v>
      </c>
      <c r="F99" s="464">
        <v>1998.7938675382509</v>
      </c>
      <c r="W99" s="13" t="s">
        <v>276</v>
      </c>
      <c r="X99" s="15">
        <v>3412.1419999999998</v>
      </c>
      <c r="Z99" s="13" t="s">
        <v>276</v>
      </c>
      <c r="AA99" s="15">
        <v>3412.1419999999998</v>
      </c>
    </row>
    <row r="100" spans="2:27">
      <c r="B100" s="418">
        <v>38.4</v>
      </c>
      <c r="D100" s="464"/>
      <c r="F100" s="464"/>
      <c r="W100" s="13" t="s">
        <v>277</v>
      </c>
      <c r="X100" s="13">
        <f>X98*X99</f>
        <v>112069239.14492653</v>
      </c>
      <c r="Z100" s="13" t="s">
        <v>277</v>
      </c>
      <c r="AA100" s="13">
        <v>136865683.11509547</v>
      </c>
    </row>
    <row r="101" spans="2:27">
      <c r="E101" s="71">
        <f>D99+E98</f>
        <v>44356.060529450646</v>
      </c>
      <c r="G101" s="71">
        <f>F99+G98</f>
        <v>76011.48859639377</v>
      </c>
      <c r="W101" s="13" t="s">
        <v>278</v>
      </c>
      <c r="X101" s="13">
        <v>914.1</v>
      </c>
      <c r="Z101" s="13" t="s">
        <v>278</v>
      </c>
      <c r="AA101" s="13">
        <v>914.1</v>
      </c>
    </row>
    <row r="102" spans="2:27">
      <c r="B102" s="418">
        <v>38.4</v>
      </c>
      <c r="D102" s="463">
        <f>V27</f>
        <v>20.18983704583686</v>
      </c>
      <c r="F102" s="463">
        <v>20.18983704583686</v>
      </c>
      <c r="W102" s="13" t="s">
        <v>279</v>
      </c>
      <c r="X102" s="13">
        <f>X100/X101</f>
        <v>122600.63356845698</v>
      </c>
      <c r="Z102" s="13" t="s">
        <v>279</v>
      </c>
      <c r="AA102" s="13">
        <v>149727.25425565636</v>
      </c>
    </row>
    <row r="103" spans="2:27">
      <c r="B103" s="418">
        <v>38.39</v>
      </c>
      <c r="D103" s="463"/>
      <c r="F103" s="463"/>
      <c r="W103" s="13" t="s">
        <v>280</v>
      </c>
      <c r="X103" s="13">
        <v>2.8</v>
      </c>
      <c r="Z103" s="13" t="s">
        <v>280</v>
      </c>
      <c r="AA103" s="13">
        <v>2.8</v>
      </c>
    </row>
    <row r="104" spans="2:27">
      <c r="E104" s="71">
        <f>D102+E101</f>
        <v>44376.250366496482</v>
      </c>
      <c r="G104" s="71">
        <f>F102+G101</f>
        <v>76031.678433439607</v>
      </c>
      <c r="W104" s="13" t="s">
        <v>281</v>
      </c>
      <c r="X104" s="13">
        <f>(X102/1000)*X103</f>
        <v>343.28177399167953</v>
      </c>
      <c r="Z104" s="13" t="s">
        <v>281</v>
      </c>
      <c r="AA104" s="13">
        <v>419.2363119158378</v>
      </c>
    </row>
    <row r="105" spans="2:27" ht="15" thickBot="1">
      <c r="B105" s="418">
        <v>38.39</v>
      </c>
      <c r="D105" s="463">
        <f>V28</f>
        <v>4618.7960577388067</v>
      </c>
      <c r="F105" s="463">
        <v>4618.7960577388067</v>
      </c>
      <c r="W105" s="200" t="s">
        <v>282</v>
      </c>
      <c r="X105" s="201">
        <f>X104*7211.21877372371</f>
        <v>2475479.9732859791</v>
      </c>
      <c r="Z105" s="200" t="s">
        <v>282</v>
      </c>
      <c r="AA105" s="201">
        <f>7591*AA104</f>
        <v>3182422.8437531246</v>
      </c>
    </row>
    <row r="106" spans="2:27" ht="15" thickBot="1">
      <c r="B106" s="418">
        <v>35</v>
      </c>
      <c r="D106" s="463"/>
      <c r="F106" s="463"/>
      <c r="W106" s="198" t="s">
        <v>284</v>
      </c>
      <c r="X106" s="202">
        <f>X105+X96</f>
        <v>4176210.275264095</v>
      </c>
      <c r="Z106" s="198" t="s">
        <v>284</v>
      </c>
      <c r="AA106" s="202">
        <f>AA96+AA105</f>
        <v>4895381.3134276401</v>
      </c>
    </row>
    <row r="107" spans="2:27">
      <c r="E107" s="71">
        <f>D105+E104</f>
        <v>48995.04642423529</v>
      </c>
      <c r="G107" s="71">
        <f>F105+G104</f>
        <v>80650.474491178407</v>
      </c>
      <c r="W107" s="416" t="s">
        <v>273</v>
      </c>
      <c r="X107" s="417"/>
      <c r="Z107" s="416" t="s">
        <v>273</v>
      </c>
      <c r="AA107" s="417"/>
    </row>
    <row r="108" spans="2:27">
      <c r="W108" s="193" t="s">
        <v>285</v>
      </c>
      <c r="X108" s="194">
        <f>AF37+AF36+AF35-Q69</f>
        <v>0</v>
      </c>
      <c r="Z108" s="193" t="s">
        <v>285</v>
      </c>
      <c r="AA108" s="194">
        <v>-63148.30996393611</v>
      </c>
    </row>
    <row r="109" spans="2:27">
      <c r="D109" s="1" t="s">
        <v>269</v>
      </c>
      <c r="E109" s="71">
        <f>MIN(E26:E107)</f>
        <v>-31655.428066943143</v>
      </c>
      <c r="F109" s="71"/>
      <c r="G109" s="71">
        <f>MIN(G26:G107)</f>
        <v>0</v>
      </c>
      <c r="W109" s="193" t="s">
        <v>286</v>
      </c>
      <c r="X109" s="193">
        <v>30</v>
      </c>
      <c r="Z109" s="193" t="s">
        <v>286</v>
      </c>
      <c r="AA109" s="193">
        <v>30</v>
      </c>
    </row>
    <row r="110" spans="2:27">
      <c r="W110" s="193" t="s">
        <v>287</v>
      </c>
      <c r="X110" s="193">
        <v>45</v>
      </c>
      <c r="Z110" s="193" t="s">
        <v>287</v>
      </c>
      <c r="AA110" s="193">
        <v>45</v>
      </c>
    </row>
    <row r="111" spans="2:27">
      <c r="D111" s="1" t="s">
        <v>348</v>
      </c>
      <c r="E111" s="71">
        <f>E109-'HEAT and COOL 3'!E85</f>
        <v>342.76777828042759</v>
      </c>
      <c r="F111" s="1" t="s">
        <v>349</v>
      </c>
      <c r="W111" s="193" t="s">
        <v>288</v>
      </c>
      <c r="X111" s="193">
        <v>4.18</v>
      </c>
      <c r="Z111" s="193" t="s">
        <v>288</v>
      </c>
      <c r="AA111" s="193">
        <v>4.18</v>
      </c>
    </row>
    <row r="112" spans="2:27">
      <c r="W112" s="193" t="s">
        <v>289</v>
      </c>
      <c r="X112" s="193">
        <f>X108/(X111*(X109-X110))</f>
        <v>0</v>
      </c>
      <c r="Z112" s="193" t="s">
        <v>289</v>
      </c>
      <c r="AA112" s="193">
        <v>1007.150079169635</v>
      </c>
    </row>
    <row r="113" spans="23:27">
      <c r="W113" s="193" t="s">
        <v>290</v>
      </c>
      <c r="X113" s="193">
        <f>X112*60</f>
        <v>0</v>
      </c>
      <c r="Z113" s="193" t="s">
        <v>290</v>
      </c>
      <c r="AA113" s="193">
        <v>60429.004750178101</v>
      </c>
    </row>
    <row r="114" spans="23:27">
      <c r="W114" s="193" t="s">
        <v>291</v>
      </c>
      <c r="X114" s="193">
        <v>997</v>
      </c>
      <c r="Z114" s="193" t="s">
        <v>291</v>
      </c>
      <c r="AA114" s="193">
        <v>997</v>
      </c>
    </row>
    <row r="115" spans="23:27">
      <c r="W115" s="193" t="s">
        <v>292</v>
      </c>
      <c r="X115" s="193">
        <f>X113/X114</f>
        <v>0</v>
      </c>
      <c r="Z115" s="193" t="s">
        <v>292</v>
      </c>
      <c r="AA115" s="193">
        <v>60.610837261963994</v>
      </c>
    </row>
    <row r="116" spans="23:27">
      <c r="W116" s="193" t="s">
        <v>293</v>
      </c>
      <c r="X116" s="193">
        <v>8.1199999999999992</v>
      </c>
      <c r="Z116" s="193" t="s">
        <v>293</v>
      </c>
      <c r="AA116" s="193">
        <v>8.1199999999999992</v>
      </c>
    </row>
    <row r="117" spans="23:27" ht="15" thickBot="1">
      <c r="W117" s="197" t="s">
        <v>294</v>
      </c>
      <c r="X117" s="197">
        <f>(X115/1000)*X116</f>
        <v>0</v>
      </c>
      <c r="Z117" s="197" t="s">
        <v>294</v>
      </c>
      <c r="AA117" s="197">
        <v>0.49215999856714759</v>
      </c>
    </row>
    <row r="118" spans="23:27" ht="15" thickBot="1">
      <c r="W118" s="198" t="s">
        <v>295</v>
      </c>
      <c r="X118" s="199">
        <f>X117*7211.21877372371</f>
        <v>0</v>
      </c>
      <c r="Z118" s="198" t="s">
        <v>295</v>
      </c>
      <c r="AA118" s="199">
        <f>AA117*7591</f>
        <v>3735.9865491232172</v>
      </c>
    </row>
    <row r="119" spans="23:27" ht="15" thickBot="1"/>
    <row r="120" spans="23:27" ht="15" thickBot="1">
      <c r="W120" s="195" t="s">
        <v>296</v>
      </c>
      <c r="X120" s="196">
        <f>X118+X106</f>
        <v>4176210.275264095</v>
      </c>
      <c r="Z120" s="195" t="s">
        <v>296</v>
      </c>
      <c r="AA120" s="196">
        <f>AA106+AA118</f>
        <v>4899117.2999767633</v>
      </c>
    </row>
    <row r="122" spans="23:27">
      <c r="W122" t="s">
        <v>297</v>
      </c>
      <c r="X122" s="188">
        <f>'[1]ISOM '!$P$41-X120</f>
        <v>-4176210.275264095</v>
      </c>
      <c r="Z122" t="s">
        <v>297</v>
      </c>
      <c r="AA122" s="188">
        <f>'[1]Without isom'!$P$40-AA120</f>
        <v>-4899117.2999767633</v>
      </c>
    </row>
    <row r="167" spans="11:11">
      <c r="K167" t="s">
        <v>350</v>
      </c>
    </row>
  </sheetData>
  <mergeCells count="81">
    <mergeCell ref="AJ33:AJ35"/>
    <mergeCell ref="AJ39:AJ40"/>
    <mergeCell ref="AJ44:AJ46"/>
    <mergeCell ref="AJ48:AJ50"/>
    <mergeCell ref="AI33:AI35"/>
    <mergeCell ref="AI39:AI40"/>
    <mergeCell ref="AI48:AI50"/>
    <mergeCell ref="AI44:AI46"/>
    <mergeCell ref="AH38:AH40"/>
    <mergeCell ref="AH33:AH35"/>
    <mergeCell ref="AH44:AH46"/>
    <mergeCell ref="AH48:AH50"/>
    <mergeCell ref="J33:J35"/>
    <mergeCell ref="J39:J40"/>
    <mergeCell ref="J48:J50"/>
    <mergeCell ref="J44:J46"/>
    <mergeCell ref="F105:F106"/>
    <mergeCell ref="G13:G15"/>
    <mergeCell ref="G17:G19"/>
    <mergeCell ref="F75:F76"/>
    <mergeCell ref="D96:D97"/>
    <mergeCell ref="D99:D100"/>
    <mergeCell ref="D102:D103"/>
    <mergeCell ref="D105:D106"/>
    <mergeCell ref="F84:F85"/>
    <mergeCell ref="F87:F88"/>
    <mergeCell ref="F90:F91"/>
    <mergeCell ref="F93:F94"/>
    <mergeCell ref="F96:F97"/>
    <mergeCell ref="F99:F100"/>
    <mergeCell ref="D84:D85"/>
    <mergeCell ref="D87:D88"/>
    <mergeCell ref="D90:D91"/>
    <mergeCell ref="D93:D94"/>
    <mergeCell ref="F102:F103"/>
    <mergeCell ref="D78:D79"/>
    <mergeCell ref="F78:F79"/>
    <mergeCell ref="D81:D82"/>
    <mergeCell ref="F81:F82"/>
    <mergeCell ref="D66:D67"/>
    <mergeCell ref="F66:F67"/>
    <mergeCell ref="D69:D70"/>
    <mergeCell ref="F69:F70"/>
    <mergeCell ref="D72:D73"/>
    <mergeCell ref="F72:F73"/>
    <mergeCell ref="D75:D76"/>
    <mergeCell ref="D57:D58"/>
    <mergeCell ref="F57:F58"/>
    <mergeCell ref="D60:D61"/>
    <mergeCell ref="F60:F61"/>
    <mergeCell ref="D63:D64"/>
    <mergeCell ref="F63:F64"/>
    <mergeCell ref="D48:D49"/>
    <mergeCell ref="F48:F49"/>
    <mergeCell ref="D51:D52"/>
    <mergeCell ref="F51:F52"/>
    <mergeCell ref="D54:D55"/>
    <mergeCell ref="F54:F55"/>
    <mergeCell ref="D42:D43"/>
    <mergeCell ref="F42:F43"/>
    <mergeCell ref="D45:D46"/>
    <mergeCell ref="F45:F46"/>
    <mergeCell ref="D33:D34"/>
    <mergeCell ref="F33:F34"/>
    <mergeCell ref="D36:D37"/>
    <mergeCell ref="F36:F37"/>
    <mergeCell ref="D39:D40"/>
    <mergeCell ref="F39:F40"/>
    <mergeCell ref="R1:S1"/>
    <mergeCell ref="P31:R31"/>
    <mergeCell ref="V32:Y32"/>
    <mergeCell ref="D27:D28"/>
    <mergeCell ref="F27:F28"/>
    <mergeCell ref="D30:D31"/>
    <mergeCell ref="F30:F31"/>
    <mergeCell ref="G2:G4"/>
    <mergeCell ref="I2:I4"/>
    <mergeCell ref="I17:I19"/>
    <mergeCell ref="I8:I9"/>
    <mergeCell ref="G8:G9"/>
    <mergeCell ref="I13:I1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F70"/>
  <sheetViews>
    <sheetView zoomScale="70" zoomScaleNormal="70" workbookViewId="0">
      <selection activeCell="U32" sqref="U32"/>
    </sheetView>
  </sheetViews>
  <sheetFormatPr defaultColWidth="9.140625" defaultRowHeight="14.45"/>
  <cols>
    <col min="1" max="1" width="9.140625" style="1"/>
    <col min="2" max="3" width="15.7109375" style="1" customWidth="1"/>
    <col min="4" max="4" width="20.42578125" style="1" bestFit="1" customWidth="1"/>
    <col min="5" max="5" width="22.42578125" style="1" bestFit="1" customWidth="1"/>
    <col min="6" max="6" width="17" style="1" bestFit="1" customWidth="1"/>
    <col min="7" max="7" width="19.42578125" style="1" bestFit="1" customWidth="1"/>
    <col min="8" max="8" width="12.42578125" style="1" bestFit="1" customWidth="1"/>
    <col min="9" max="9" width="8.28515625" style="1" bestFit="1" customWidth="1"/>
    <col min="10" max="10" width="9.140625" style="1"/>
    <col min="11" max="11" width="23.140625" style="1" bestFit="1" customWidth="1"/>
    <col min="12" max="14" width="9.140625" style="1"/>
    <col min="15" max="16" width="15.7109375" style="1" customWidth="1"/>
    <col min="17" max="17" width="14.7109375" style="1" bestFit="1" customWidth="1"/>
    <col min="18" max="18" width="22" style="1" bestFit="1" customWidth="1"/>
    <col min="19" max="19" width="17" style="1" bestFit="1" customWidth="1"/>
    <col min="20" max="20" width="19.42578125" style="1" bestFit="1" customWidth="1"/>
    <col min="21" max="21" width="9.140625" style="1"/>
    <col min="22" max="22" width="14.42578125" style="1" bestFit="1" customWidth="1"/>
    <col min="23" max="23" width="16.28515625" style="1" customWidth="1"/>
    <col min="24" max="24" width="48.85546875" style="1" bestFit="1" customWidth="1"/>
    <col min="25" max="25" width="25.140625" style="1" bestFit="1" customWidth="1"/>
    <col min="26" max="26" width="20.5703125" style="1" bestFit="1" customWidth="1"/>
    <col min="27" max="27" width="22.42578125" style="1" bestFit="1" customWidth="1"/>
    <col min="28" max="28" width="14" style="1" bestFit="1" customWidth="1"/>
    <col min="29" max="29" width="9.42578125" style="1" bestFit="1" customWidth="1"/>
    <col min="30" max="30" width="9.140625" style="1"/>
    <col min="31" max="31" width="25.85546875" style="1" bestFit="1" customWidth="1"/>
    <col min="32" max="33" width="14" style="1" bestFit="1" customWidth="1"/>
    <col min="34" max="16384" width="9.140625" style="1"/>
  </cols>
  <sheetData>
    <row r="2" spans="1:27">
      <c r="B2" s="478" t="s">
        <v>52</v>
      </c>
      <c r="C2" s="478"/>
      <c r="D2" s="478"/>
      <c r="E2" s="478"/>
      <c r="F2" s="478"/>
      <c r="G2" s="478"/>
      <c r="H2" s="5"/>
      <c r="I2" s="5"/>
      <c r="V2" s="480" t="s">
        <v>65</v>
      </c>
      <c r="W2" s="481"/>
      <c r="X2" s="481"/>
      <c r="Y2" s="481"/>
      <c r="Z2" s="481"/>
      <c r="AA2" s="482"/>
    </row>
    <row r="3" spans="1:27">
      <c r="B3" s="478" t="s">
        <v>56</v>
      </c>
      <c r="C3" s="478"/>
      <c r="D3" s="478" t="s">
        <v>57</v>
      </c>
      <c r="E3" s="478" t="s">
        <v>58</v>
      </c>
      <c r="F3" s="478" t="s">
        <v>59</v>
      </c>
      <c r="G3" s="478" t="s">
        <v>60</v>
      </c>
      <c r="V3" s="479" t="s">
        <v>56</v>
      </c>
      <c r="W3" s="479"/>
      <c r="X3" s="479" t="s">
        <v>57</v>
      </c>
      <c r="Y3" s="479" t="s">
        <v>58</v>
      </c>
      <c r="Z3" s="479" t="s">
        <v>59</v>
      </c>
      <c r="AA3" s="479" t="s">
        <v>60</v>
      </c>
    </row>
    <row r="4" spans="1:27">
      <c r="B4" s="425" t="s">
        <v>61</v>
      </c>
      <c r="C4" s="425" t="s">
        <v>62</v>
      </c>
      <c r="D4" s="478"/>
      <c r="E4" s="478"/>
      <c r="F4" s="478"/>
      <c r="G4" s="478"/>
      <c r="V4" s="426" t="s">
        <v>61</v>
      </c>
      <c r="W4" s="426" t="s">
        <v>62</v>
      </c>
      <c r="X4" s="479"/>
      <c r="Y4" s="479"/>
      <c r="Z4" s="479"/>
      <c r="AA4" s="479"/>
    </row>
    <row r="5" spans="1:27">
      <c r="A5" s="1">
        <v>1</v>
      </c>
      <c r="B5" s="23">
        <v>52.665870539244999</v>
      </c>
      <c r="C5" s="24">
        <v>79.682662970324998</v>
      </c>
      <c r="D5" s="25" t="s">
        <v>351</v>
      </c>
      <c r="E5" s="25">
        <f>H37</f>
        <v>223.16516715592147</v>
      </c>
      <c r="F5" s="25">
        <v>0</v>
      </c>
      <c r="G5" s="25">
        <f t="shared" ref="G5:G14" si="0">((C5-B5)*E5)+F5</f>
        <v>6029.2069988988014</v>
      </c>
      <c r="V5" s="27">
        <v>34.237975520699003</v>
      </c>
      <c r="W5" s="27">
        <v>35.237975520699003</v>
      </c>
      <c r="X5" s="27" t="s">
        <v>352</v>
      </c>
      <c r="Y5" s="27">
        <f>AB39</f>
        <v>1941.3120951504</v>
      </c>
      <c r="Z5" s="27">
        <v>0</v>
      </c>
      <c r="AA5" s="27">
        <f>((W5-V5)*Y5)+Z5</f>
        <v>1941.3120951504</v>
      </c>
    </row>
    <row r="6" spans="1:27">
      <c r="A6" s="1">
        <v>2</v>
      </c>
      <c r="B6" s="26">
        <f>C5</f>
        <v>79.682662970324998</v>
      </c>
      <c r="C6" s="24">
        <v>80.682662970324998</v>
      </c>
      <c r="D6" s="25" t="s">
        <v>353</v>
      </c>
      <c r="E6" s="25">
        <f>E5+H39</f>
        <v>898.08935583232153</v>
      </c>
      <c r="F6" s="25">
        <f>G5</f>
        <v>6029.2069988988014</v>
      </c>
      <c r="G6" s="25">
        <f t="shared" si="0"/>
        <v>6927.2963547311228</v>
      </c>
      <c r="V6" s="27">
        <f>W5</f>
        <v>35.237975520699003</v>
      </c>
      <c r="W6" s="27">
        <v>55</v>
      </c>
      <c r="X6" s="27" t="s">
        <v>238</v>
      </c>
      <c r="Y6" s="27">
        <v>0</v>
      </c>
      <c r="Z6" s="27">
        <f>AA5</f>
        <v>1941.3120951504</v>
      </c>
      <c r="AA6" s="27">
        <f t="shared" ref="AA6:AA28" si="1">((W6-V6)*Y6)+Z6</f>
        <v>1941.3120951504</v>
      </c>
    </row>
    <row r="7" spans="1:27">
      <c r="A7" s="1">
        <v>3</v>
      </c>
      <c r="B7" s="26">
        <f t="shared" ref="B7:B27" si="2">C6</f>
        <v>80.682662970324998</v>
      </c>
      <c r="C7" s="24">
        <v>86.301073542672995</v>
      </c>
      <c r="D7" s="25" t="s">
        <v>351</v>
      </c>
      <c r="E7" s="25">
        <f>H37</f>
        <v>223.16516715592147</v>
      </c>
      <c r="F7" s="25">
        <f t="shared" ref="F7:F27" si="3">G6</f>
        <v>6927.2963547311228</v>
      </c>
      <c r="G7" s="25">
        <f t="shared" si="0"/>
        <v>8181.1298892597606</v>
      </c>
      <c r="V7" s="27">
        <f t="shared" ref="V7:V28" si="4">W6</f>
        <v>55</v>
      </c>
      <c r="W7" s="27">
        <v>57.090125847096999</v>
      </c>
      <c r="X7" s="27" t="s">
        <v>354</v>
      </c>
      <c r="Y7" s="27">
        <f>SUM(AB40:AB43)</f>
        <v>1297.0055949170892</v>
      </c>
      <c r="Z7" s="27">
        <f t="shared" ref="Z7:Z28" si="5">AA6</f>
        <v>1941.3120951504</v>
      </c>
      <c r="AA7" s="27">
        <f t="shared" si="1"/>
        <v>4652.2170129160286</v>
      </c>
    </row>
    <row r="8" spans="1:27">
      <c r="A8" s="1">
        <v>4</v>
      </c>
      <c r="B8" s="26">
        <f t="shared" si="2"/>
        <v>86.301073542672995</v>
      </c>
      <c r="C8" s="24">
        <v>87.301073542672995</v>
      </c>
      <c r="D8" s="25" t="s">
        <v>355</v>
      </c>
      <c r="E8" s="25">
        <f>H37+H40</f>
        <v>43479.099834155924</v>
      </c>
      <c r="F8" s="25">
        <f t="shared" si="3"/>
        <v>8181.1298892597606</v>
      </c>
      <c r="G8" s="25">
        <f t="shared" si="0"/>
        <v>51660.229723415687</v>
      </c>
      <c r="V8" s="27">
        <f t="shared" si="4"/>
        <v>57.090125847096999</v>
      </c>
      <c r="W8" s="27">
        <v>57.385587871599</v>
      </c>
      <c r="X8" s="27" t="s">
        <v>356</v>
      </c>
      <c r="Y8" s="27">
        <f>SUM(AB40:AB44)+AB45</f>
        <v>2069.771475115971</v>
      </c>
      <c r="Z8" s="27">
        <f t="shared" si="5"/>
        <v>4652.2170129160286</v>
      </c>
      <c r="AA8" s="27">
        <f t="shared" si="1"/>
        <v>5263.7558832102859</v>
      </c>
    </row>
    <row r="9" spans="1:27">
      <c r="A9" s="1">
        <v>5</v>
      </c>
      <c r="B9" s="26">
        <f t="shared" si="2"/>
        <v>87.301073542672995</v>
      </c>
      <c r="C9" s="24">
        <v>100.12182914109501</v>
      </c>
      <c r="D9" s="25" t="s">
        <v>351</v>
      </c>
      <c r="E9" s="25">
        <f>H37</f>
        <v>223.16516715592147</v>
      </c>
      <c r="F9" s="25">
        <f t="shared" si="3"/>
        <v>51660.229723415687</v>
      </c>
      <c r="G9" s="25">
        <f t="shared" si="0"/>
        <v>54521.375789602753</v>
      </c>
      <c r="V9" s="27">
        <f t="shared" si="4"/>
        <v>57.385587871599</v>
      </c>
      <c r="W9" s="27">
        <v>58.090125847096999</v>
      </c>
      <c r="X9" s="27" t="s">
        <v>357</v>
      </c>
      <c r="Y9" s="27">
        <f>SUM(AB40:AB44)+AB45+AB46</f>
        <v>2726.2784665027712</v>
      </c>
      <c r="Z9" s="27">
        <f t="shared" si="5"/>
        <v>5263.7558832102859</v>
      </c>
      <c r="AA9" s="27">
        <f t="shared" si="1"/>
        <v>7184.5225946439377</v>
      </c>
    </row>
    <row r="10" spans="1:27">
      <c r="A10" s="1">
        <v>6</v>
      </c>
      <c r="B10" s="26">
        <f t="shared" si="2"/>
        <v>100.12182914109501</v>
      </c>
      <c r="C10" s="24">
        <v>101.12182914109501</v>
      </c>
      <c r="D10" s="25" t="s">
        <v>358</v>
      </c>
      <c r="E10" s="25">
        <f>H37+H41</f>
        <v>2434.4452036043217</v>
      </c>
      <c r="F10" s="25">
        <f t="shared" si="3"/>
        <v>54521.375789602753</v>
      </c>
      <c r="G10" s="25">
        <f t="shared" si="0"/>
        <v>56955.820993207075</v>
      </c>
      <c r="V10" s="27">
        <f t="shared" si="4"/>
        <v>58.090125847096999</v>
      </c>
      <c r="W10" s="27">
        <v>58.385587871599</v>
      </c>
      <c r="X10" s="27" t="s">
        <v>354</v>
      </c>
      <c r="Y10" s="27"/>
      <c r="Z10" s="27">
        <f t="shared" si="5"/>
        <v>7184.5225946439377</v>
      </c>
      <c r="AA10" s="27">
        <f t="shared" si="1"/>
        <v>7184.5225946439377</v>
      </c>
    </row>
    <row r="11" spans="1:27">
      <c r="A11" s="1">
        <v>7</v>
      </c>
      <c r="B11" s="26">
        <f t="shared" si="2"/>
        <v>101.12182914109501</v>
      </c>
      <c r="C11" s="24">
        <v>113.898087382238</v>
      </c>
      <c r="D11" s="25" t="s">
        <v>351</v>
      </c>
      <c r="E11" s="25">
        <f>H37</f>
        <v>223.16516715592147</v>
      </c>
      <c r="F11" s="25">
        <f t="shared" si="3"/>
        <v>56955.820993207075</v>
      </c>
      <c r="G11" s="25">
        <f t="shared" si="0"/>
        <v>59807.036799218971</v>
      </c>
      <c r="V11" s="27">
        <f t="shared" si="4"/>
        <v>58.385587871599</v>
      </c>
      <c r="W11" s="27">
        <v>65</v>
      </c>
      <c r="X11" s="27" t="s">
        <v>354</v>
      </c>
      <c r="Y11" s="27"/>
      <c r="Z11" s="27">
        <f t="shared" si="5"/>
        <v>7184.5225946439377</v>
      </c>
      <c r="AA11" s="27">
        <f t="shared" si="1"/>
        <v>7184.5225946439377</v>
      </c>
    </row>
    <row r="12" spans="1:27">
      <c r="A12" s="1">
        <v>8</v>
      </c>
      <c r="B12" s="26">
        <f t="shared" si="2"/>
        <v>113.898087382238</v>
      </c>
      <c r="C12" s="24">
        <v>114.898087382238</v>
      </c>
      <c r="D12" s="25" t="s">
        <v>359</v>
      </c>
      <c r="E12" s="25">
        <f>H37+H42</f>
        <v>2680.2515575295215</v>
      </c>
      <c r="F12" s="25">
        <f t="shared" si="3"/>
        <v>59807.036799218971</v>
      </c>
      <c r="G12" s="25">
        <f t="shared" si="0"/>
        <v>62487.28835674849</v>
      </c>
      <c r="V12" s="27">
        <f t="shared" si="4"/>
        <v>65</v>
      </c>
      <c r="W12" s="27">
        <v>66.150063343529993</v>
      </c>
      <c r="X12" s="27" t="s">
        <v>354</v>
      </c>
      <c r="Y12" s="27"/>
      <c r="Z12" s="27">
        <f t="shared" si="5"/>
        <v>7184.5225946439377</v>
      </c>
      <c r="AA12" s="27">
        <f t="shared" si="1"/>
        <v>7184.5225946439377</v>
      </c>
    </row>
    <row r="13" spans="1:27">
      <c r="A13" s="1">
        <v>9</v>
      </c>
      <c r="B13" s="26">
        <f t="shared" si="2"/>
        <v>114.898087382238</v>
      </c>
      <c r="C13" s="24">
        <v>115.734199698658</v>
      </c>
      <c r="D13" s="25" t="s">
        <v>351</v>
      </c>
      <c r="E13" s="25">
        <f>H37</f>
        <v>223.16516715592147</v>
      </c>
      <c r="F13" s="25">
        <f t="shared" si="3"/>
        <v>62487.28835674849</v>
      </c>
      <c r="G13" s="25">
        <f t="shared" si="0"/>
        <v>62673.879501603486</v>
      </c>
      <c r="V13" s="27">
        <f t="shared" si="4"/>
        <v>66.150063343529993</v>
      </c>
      <c r="W13" s="27">
        <v>68.531262298488002</v>
      </c>
      <c r="X13" s="27"/>
      <c r="Y13" s="27"/>
      <c r="Z13" s="27">
        <f t="shared" si="5"/>
        <v>7184.5225946439377</v>
      </c>
      <c r="AA13" s="27">
        <f t="shared" si="1"/>
        <v>7184.5225946439377</v>
      </c>
    </row>
    <row r="14" spans="1:27">
      <c r="A14" s="1">
        <v>10</v>
      </c>
      <c r="B14" s="26">
        <f t="shared" si="2"/>
        <v>115.734199698658</v>
      </c>
      <c r="C14" s="24">
        <v>116.734199698658</v>
      </c>
      <c r="D14" s="25" t="s">
        <v>360</v>
      </c>
      <c r="E14" s="25">
        <f>H37+H43</f>
        <v>896.93928792712154</v>
      </c>
      <c r="F14" s="25">
        <f t="shared" si="3"/>
        <v>62673.879501603486</v>
      </c>
      <c r="G14" s="25">
        <f t="shared" si="0"/>
        <v>63570.818789530604</v>
      </c>
      <c r="V14" s="27">
        <f t="shared" si="4"/>
        <v>68.531262298488002</v>
      </c>
      <c r="W14" s="27">
        <v>69.531262298488002</v>
      </c>
      <c r="X14" s="27"/>
      <c r="Y14" s="27"/>
      <c r="Z14" s="27">
        <f t="shared" si="5"/>
        <v>7184.5225946439377</v>
      </c>
      <c r="AA14" s="27">
        <f t="shared" si="1"/>
        <v>7184.5225946439377</v>
      </c>
    </row>
    <row r="15" spans="1:27">
      <c r="A15" s="1">
        <v>11</v>
      </c>
      <c r="B15" s="26">
        <f t="shared" si="2"/>
        <v>116.734199698658</v>
      </c>
      <c r="C15" s="24">
        <v>140.397197347413</v>
      </c>
      <c r="D15" s="25" t="s">
        <v>351</v>
      </c>
      <c r="E15" s="25">
        <f>H37</f>
        <v>223.16516715592147</v>
      </c>
      <c r="F15" s="25">
        <f t="shared" si="3"/>
        <v>63570.818789530604</v>
      </c>
      <c r="G15" s="25">
        <f t="shared" ref="G15:G27" si="6">((C15-B15)*E15)+F15</f>
        <v>68851.575615225185</v>
      </c>
      <c r="V15" s="27">
        <f t="shared" si="4"/>
        <v>69.531262298488002</v>
      </c>
      <c r="W15" s="27">
        <v>77.177750517301007</v>
      </c>
      <c r="X15" s="27"/>
      <c r="Y15" s="27"/>
      <c r="Z15" s="27">
        <f t="shared" si="5"/>
        <v>7184.5225946439377</v>
      </c>
      <c r="AA15" s="27">
        <f t="shared" si="1"/>
        <v>7184.5225946439377</v>
      </c>
    </row>
    <row r="16" spans="1:27">
      <c r="A16" s="1">
        <v>12</v>
      </c>
      <c r="B16" s="26">
        <f t="shared" si="2"/>
        <v>140.397197347413</v>
      </c>
      <c r="C16" s="24">
        <v>141.397197347413</v>
      </c>
      <c r="D16" s="25" t="s">
        <v>361</v>
      </c>
      <c r="E16" s="25">
        <f>H37+H44</f>
        <v>363.92867356204147</v>
      </c>
      <c r="F16" s="25">
        <f t="shared" si="3"/>
        <v>68851.575615225185</v>
      </c>
      <c r="G16" s="25">
        <f t="shared" si="6"/>
        <v>69215.504288787226</v>
      </c>
      <c r="V16" s="27">
        <f t="shared" si="4"/>
        <v>77.177750517301007</v>
      </c>
      <c r="W16" s="27">
        <v>78.177750517301007</v>
      </c>
      <c r="X16" s="27"/>
      <c r="Y16" s="27"/>
      <c r="Z16" s="27">
        <f t="shared" si="5"/>
        <v>7184.5225946439377</v>
      </c>
      <c r="AA16" s="27">
        <f t="shared" si="1"/>
        <v>7184.5225946439377</v>
      </c>
    </row>
    <row r="17" spans="1:27">
      <c r="A17" s="1">
        <v>13</v>
      </c>
      <c r="B17" s="26">
        <f t="shared" si="2"/>
        <v>141.397197347413</v>
      </c>
      <c r="C17" s="24">
        <v>145.858729681705</v>
      </c>
      <c r="D17" s="25" t="s">
        <v>351</v>
      </c>
      <c r="E17" s="25">
        <f>H37</f>
        <v>223.16516715592147</v>
      </c>
      <c r="F17" s="25">
        <f t="shared" si="3"/>
        <v>69215.504288787226</v>
      </c>
      <c r="G17" s="25">
        <f t="shared" si="6"/>
        <v>70211.162897941045</v>
      </c>
      <c r="V17" s="27">
        <f t="shared" si="4"/>
        <v>78.177750517301007</v>
      </c>
      <c r="W17" s="27">
        <v>103.805621619002</v>
      </c>
      <c r="X17" s="27"/>
      <c r="Y17" s="27"/>
      <c r="Z17" s="27">
        <f t="shared" si="5"/>
        <v>7184.5225946439377</v>
      </c>
      <c r="AA17" s="27">
        <f t="shared" si="1"/>
        <v>7184.5225946439377</v>
      </c>
    </row>
    <row r="18" spans="1:27">
      <c r="A18" s="1">
        <v>14</v>
      </c>
      <c r="B18" s="26">
        <f t="shared" si="2"/>
        <v>145.858729681705</v>
      </c>
      <c r="C18" s="24">
        <v>146.14737264148201</v>
      </c>
      <c r="D18" s="25" t="s">
        <v>362</v>
      </c>
      <c r="E18" s="25">
        <f>H37+H45</f>
        <v>229.02407818661607</v>
      </c>
      <c r="F18" s="25">
        <f t="shared" si="3"/>
        <v>70211.162897941045</v>
      </c>
      <c r="G18" s="25">
        <f t="shared" si="6"/>
        <v>70277.269085729029</v>
      </c>
      <c r="V18" s="27">
        <f t="shared" si="4"/>
        <v>103.805621619002</v>
      </c>
      <c r="W18" s="27">
        <v>104.805621619002</v>
      </c>
      <c r="X18" s="27"/>
      <c r="Y18" s="27"/>
      <c r="Z18" s="27">
        <f t="shared" si="5"/>
        <v>7184.5225946439377</v>
      </c>
      <c r="AA18" s="27">
        <f t="shared" si="1"/>
        <v>7184.5225946439377</v>
      </c>
    </row>
    <row r="19" spans="1:27">
      <c r="A19" s="1">
        <v>15</v>
      </c>
      <c r="B19" s="26">
        <f t="shared" si="2"/>
        <v>146.14737264148201</v>
      </c>
      <c r="C19" s="24">
        <v>147.14737264148201</v>
      </c>
      <c r="D19" s="25" t="s">
        <v>363</v>
      </c>
      <c r="E19" s="25">
        <f>H37+H45+H46</f>
        <v>56857.118975266618</v>
      </c>
      <c r="F19" s="25">
        <f t="shared" si="3"/>
        <v>70277.269085729029</v>
      </c>
      <c r="G19" s="25">
        <f t="shared" si="6"/>
        <v>127134.38806099564</v>
      </c>
      <c r="V19" s="27">
        <f t="shared" si="4"/>
        <v>104.805621619002</v>
      </c>
      <c r="W19" s="27">
        <v>111.25895598061901</v>
      </c>
      <c r="X19" s="27"/>
      <c r="Y19" s="27"/>
      <c r="Z19" s="27">
        <f t="shared" si="5"/>
        <v>7184.5225946439377</v>
      </c>
      <c r="AA19" s="27">
        <f t="shared" si="1"/>
        <v>7184.5225946439377</v>
      </c>
    </row>
    <row r="20" spans="1:27">
      <c r="A20" s="1">
        <v>16</v>
      </c>
      <c r="B20" s="26">
        <f t="shared" si="2"/>
        <v>147.14737264148201</v>
      </c>
      <c r="C20" s="24">
        <v>147.588663490973</v>
      </c>
      <c r="D20" s="25" t="s">
        <v>362</v>
      </c>
      <c r="E20" s="25">
        <f>H37+H45</f>
        <v>229.02407818661607</v>
      </c>
      <c r="F20" s="25">
        <f t="shared" si="3"/>
        <v>127134.38806099564</v>
      </c>
      <c r="G20" s="25">
        <f t="shared" si="6"/>
        <v>127235.4542910125</v>
      </c>
      <c r="V20" s="27">
        <f t="shared" si="4"/>
        <v>111.25895598061901</v>
      </c>
      <c r="W20" s="27">
        <v>112.25895598061901</v>
      </c>
      <c r="X20" s="27"/>
      <c r="Y20" s="27"/>
      <c r="Z20" s="27">
        <f t="shared" si="5"/>
        <v>7184.5225946439377</v>
      </c>
      <c r="AA20" s="27">
        <f t="shared" si="1"/>
        <v>7184.5225946439377</v>
      </c>
    </row>
    <row r="21" spans="1:27">
      <c r="A21" s="1">
        <v>17</v>
      </c>
      <c r="B21" s="26">
        <f t="shared" si="2"/>
        <v>147.588663490973</v>
      </c>
      <c r="C21" s="24">
        <v>148.588663490973</v>
      </c>
      <c r="D21" s="25" t="s">
        <v>364</v>
      </c>
      <c r="E21" s="25">
        <f>H37+H45+H47</f>
        <v>759.86396612381611</v>
      </c>
      <c r="F21" s="25">
        <f t="shared" si="3"/>
        <v>127235.4542910125</v>
      </c>
      <c r="G21" s="25">
        <f t="shared" si="6"/>
        <v>127995.31825713631</v>
      </c>
      <c r="V21" s="27">
        <f t="shared" si="4"/>
        <v>112.25895598061901</v>
      </c>
      <c r="W21" s="27">
        <v>120.246021571727</v>
      </c>
      <c r="X21" s="27"/>
      <c r="Y21" s="27"/>
      <c r="Z21" s="27">
        <f t="shared" si="5"/>
        <v>7184.5225946439377</v>
      </c>
      <c r="AA21" s="27">
        <f t="shared" si="1"/>
        <v>7184.5225946439377</v>
      </c>
    </row>
    <row r="22" spans="1:27">
      <c r="A22" s="1">
        <v>18</v>
      </c>
      <c r="B22" s="26">
        <f t="shared" si="2"/>
        <v>148.588663490973</v>
      </c>
      <c r="C22" s="24">
        <v>160.569383733248</v>
      </c>
      <c r="D22" s="25" t="s">
        <v>362</v>
      </c>
      <c r="E22" s="25">
        <f>H37+H45</f>
        <v>229.02407818661607</v>
      </c>
      <c r="F22" s="25">
        <f t="shared" si="3"/>
        <v>127995.31825713631</v>
      </c>
      <c r="G22" s="25">
        <f t="shared" si="6"/>
        <v>130739.19166663507</v>
      </c>
      <c r="V22" s="27">
        <f t="shared" si="4"/>
        <v>120.246021571727</v>
      </c>
      <c r="W22" s="27">
        <v>121.246021571727</v>
      </c>
      <c r="X22" s="27"/>
      <c r="Y22" s="27"/>
      <c r="Z22" s="27">
        <f t="shared" si="5"/>
        <v>7184.5225946439377</v>
      </c>
      <c r="AA22" s="27">
        <f t="shared" si="1"/>
        <v>7184.5225946439377</v>
      </c>
    </row>
    <row r="23" spans="1:27">
      <c r="A23" s="1">
        <v>19</v>
      </c>
      <c r="B23" s="26">
        <f t="shared" si="2"/>
        <v>160.569383733248</v>
      </c>
      <c r="C23" s="24">
        <v>161.569383733248</v>
      </c>
      <c r="D23" s="25" t="s">
        <v>365</v>
      </c>
      <c r="E23" s="25">
        <f>H37+H45+H48</f>
        <v>2408.5344585214161</v>
      </c>
      <c r="F23" s="25">
        <f t="shared" si="3"/>
        <v>130739.19166663507</v>
      </c>
      <c r="G23" s="25">
        <f t="shared" si="6"/>
        <v>133147.72612515648</v>
      </c>
      <c r="V23" s="27">
        <f t="shared" si="4"/>
        <v>121.246021571727</v>
      </c>
      <c r="W23" s="27">
        <v>136.85163851678701</v>
      </c>
      <c r="X23" s="27"/>
      <c r="Y23" s="27"/>
      <c r="Z23" s="27">
        <f t="shared" si="5"/>
        <v>7184.5225946439377</v>
      </c>
      <c r="AA23" s="27">
        <f t="shared" si="1"/>
        <v>7184.5225946439377</v>
      </c>
    </row>
    <row r="24" spans="1:27">
      <c r="A24" s="1">
        <v>20</v>
      </c>
      <c r="B24" s="26">
        <f t="shared" si="2"/>
        <v>161.569383733248</v>
      </c>
      <c r="C24" s="24">
        <v>161.96057230656001</v>
      </c>
      <c r="D24" s="25" t="s">
        <v>362</v>
      </c>
      <c r="E24" s="25">
        <f>H37+H45</f>
        <v>229.02407818661607</v>
      </c>
      <c r="F24" s="25">
        <f t="shared" si="3"/>
        <v>133147.72612515648</v>
      </c>
      <c r="G24" s="25">
        <f t="shared" si="6"/>
        <v>133237.31772755639</v>
      </c>
      <c r="V24" s="27">
        <f t="shared" si="4"/>
        <v>136.85163851678701</v>
      </c>
      <c r="W24" s="27">
        <v>137.05358729018999</v>
      </c>
      <c r="X24" s="27"/>
      <c r="Y24" s="27"/>
      <c r="Z24" s="27">
        <f t="shared" si="5"/>
        <v>7184.5225946439377</v>
      </c>
      <c r="AA24" s="27">
        <f t="shared" si="1"/>
        <v>7184.5225946439377</v>
      </c>
    </row>
    <row r="25" spans="1:27">
      <c r="A25" s="1">
        <v>21</v>
      </c>
      <c r="B25" s="26">
        <f t="shared" si="2"/>
        <v>161.96057230656001</v>
      </c>
      <c r="C25" s="24">
        <v>162.96057230656001</v>
      </c>
      <c r="D25" s="25" t="s">
        <v>366</v>
      </c>
      <c r="E25" s="25">
        <f>H37+H45+H49</f>
        <v>2513.9129990590159</v>
      </c>
      <c r="F25" s="25">
        <f t="shared" si="3"/>
        <v>133237.31772755639</v>
      </c>
      <c r="G25" s="25">
        <f t="shared" si="6"/>
        <v>135751.23072661541</v>
      </c>
      <c r="V25" s="27">
        <f t="shared" si="4"/>
        <v>137.05358729018999</v>
      </c>
      <c r="W25" s="27">
        <v>137.85163851678701</v>
      </c>
      <c r="X25" s="27"/>
      <c r="Y25" s="27"/>
      <c r="Z25" s="27">
        <f t="shared" si="5"/>
        <v>7184.5225946439377</v>
      </c>
      <c r="AA25" s="27">
        <f t="shared" si="1"/>
        <v>7184.5225946439377</v>
      </c>
    </row>
    <row r="26" spans="1:27">
      <c r="A26" s="1">
        <v>22</v>
      </c>
      <c r="B26" s="26">
        <f t="shared" si="2"/>
        <v>162.96057230656001</v>
      </c>
      <c r="C26" s="24">
        <v>192</v>
      </c>
      <c r="D26" s="25" t="s">
        <v>362</v>
      </c>
      <c r="E26" s="25">
        <f>H37+H45</f>
        <v>229.02407818661607</v>
      </c>
      <c r="F26" s="25">
        <f t="shared" si="3"/>
        <v>135751.23072661541</v>
      </c>
      <c r="G26" s="25">
        <f t="shared" si="6"/>
        <v>142401.95888517238</v>
      </c>
      <c r="L26" s="17"/>
      <c r="M26" s="9"/>
      <c r="N26" s="9"/>
      <c r="O26" s="9"/>
      <c r="P26" s="9"/>
      <c r="Q26" s="9"/>
      <c r="V26" s="27">
        <f t="shared" si="4"/>
        <v>137.85163851678701</v>
      </c>
      <c r="W26" s="27">
        <v>139.04103150819901</v>
      </c>
      <c r="X26" s="27"/>
      <c r="Y26" s="27"/>
      <c r="Z26" s="27">
        <f t="shared" si="5"/>
        <v>7184.5225946439377</v>
      </c>
      <c r="AA26" s="27">
        <f t="shared" si="1"/>
        <v>7184.5225946439377</v>
      </c>
    </row>
    <row r="27" spans="1:27">
      <c r="A27" s="1">
        <v>23</v>
      </c>
      <c r="B27" s="26">
        <f t="shared" si="2"/>
        <v>192</v>
      </c>
      <c r="C27" s="24">
        <v>456.85</v>
      </c>
      <c r="D27" s="25" t="s">
        <v>351</v>
      </c>
      <c r="E27" s="25">
        <f>H37</f>
        <v>223.16516715592147</v>
      </c>
      <c r="F27" s="25">
        <f t="shared" si="3"/>
        <v>142401.95888517238</v>
      </c>
      <c r="G27" s="25">
        <f t="shared" si="6"/>
        <v>201507.2534064182</v>
      </c>
      <c r="L27" s="17"/>
      <c r="M27" s="9"/>
      <c r="N27" s="9"/>
      <c r="O27" s="9"/>
      <c r="P27" s="9"/>
      <c r="Q27" s="9"/>
      <c r="V27" s="27">
        <f t="shared" si="4"/>
        <v>139.04103150819901</v>
      </c>
      <c r="W27" s="27">
        <v>192</v>
      </c>
      <c r="X27" s="27"/>
      <c r="Y27" s="27"/>
      <c r="Z27" s="27">
        <f t="shared" si="5"/>
        <v>7184.5225946439377</v>
      </c>
      <c r="AA27" s="27">
        <f t="shared" si="1"/>
        <v>7184.5225946439377</v>
      </c>
    </row>
    <row r="28" spans="1:27">
      <c r="B28" s="21"/>
      <c r="C28" s="22"/>
      <c r="D28" s="20"/>
      <c r="E28" s="20"/>
      <c r="F28" s="20"/>
      <c r="G28" s="20"/>
      <c r="L28" s="17"/>
      <c r="M28" s="9"/>
      <c r="N28" s="9"/>
      <c r="O28" s="9"/>
      <c r="P28" s="9"/>
      <c r="Q28" s="9"/>
      <c r="V28" s="27">
        <f t="shared" si="4"/>
        <v>192</v>
      </c>
      <c r="W28" s="27">
        <v>400.154028617682</v>
      </c>
      <c r="X28" s="27"/>
      <c r="Y28" s="27"/>
      <c r="Z28" s="27">
        <f t="shared" si="5"/>
        <v>7184.5225946439377</v>
      </c>
      <c r="AA28" s="27">
        <f t="shared" si="1"/>
        <v>7184.5225946439377</v>
      </c>
    </row>
    <row r="29" spans="1:27">
      <c r="B29" s="21"/>
      <c r="C29" s="22"/>
      <c r="D29" s="20"/>
      <c r="E29" s="20"/>
      <c r="F29" s="20"/>
      <c r="G29" s="20"/>
      <c r="L29" s="17"/>
      <c r="M29" s="9"/>
      <c r="N29" s="9"/>
      <c r="O29" s="9"/>
      <c r="P29" s="9"/>
      <c r="Q29" s="9"/>
    </row>
    <row r="30" spans="1:27">
      <c r="B30" s="21"/>
      <c r="C30" s="22"/>
      <c r="D30" s="20"/>
      <c r="E30" s="20"/>
      <c r="F30" s="20"/>
      <c r="G30" s="20"/>
      <c r="L30" s="17"/>
      <c r="M30" s="9"/>
      <c r="N30" s="9"/>
      <c r="O30" s="9"/>
      <c r="P30" s="9"/>
      <c r="Q30" s="9"/>
    </row>
    <row r="31" spans="1:27">
      <c r="B31" s="21"/>
      <c r="C31" s="22"/>
      <c r="D31" s="20"/>
      <c r="E31" s="20"/>
      <c r="F31" s="20"/>
      <c r="G31" s="20"/>
      <c r="L31" s="17"/>
      <c r="M31" s="9"/>
      <c r="N31" s="9"/>
      <c r="O31" s="9"/>
      <c r="P31" s="9"/>
      <c r="Q31" s="9"/>
    </row>
    <row r="32" spans="1:27">
      <c r="B32" s="21"/>
      <c r="C32" s="22"/>
      <c r="D32" s="20"/>
      <c r="E32" s="20"/>
      <c r="F32" s="20"/>
      <c r="G32" s="20"/>
      <c r="L32" s="17"/>
      <c r="M32" s="9"/>
      <c r="N32" s="9"/>
      <c r="O32" s="9"/>
      <c r="P32" s="9"/>
      <c r="Q32" s="9"/>
    </row>
    <row r="33" spans="1:32">
      <c r="B33" s="21"/>
      <c r="C33" s="22"/>
      <c r="D33" s="20"/>
      <c r="E33" s="20"/>
      <c r="F33" s="20"/>
      <c r="G33" s="20"/>
      <c r="L33" s="17"/>
      <c r="M33" s="9"/>
      <c r="N33" s="9"/>
      <c r="O33" s="9"/>
      <c r="P33" s="9"/>
      <c r="Q33" s="9"/>
    </row>
    <row r="34" spans="1:32">
      <c r="L34" s="17"/>
      <c r="M34" s="9"/>
      <c r="N34" s="9"/>
      <c r="O34" s="9"/>
      <c r="P34" s="9"/>
      <c r="Q34" s="9"/>
    </row>
    <row r="35" spans="1:32">
      <c r="L35" s="17"/>
      <c r="M35" s="9"/>
      <c r="N35" s="9"/>
      <c r="O35" s="9"/>
      <c r="P35" s="9"/>
      <c r="Q35" s="9"/>
    </row>
    <row r="36" spans="1:32">
      <c r="A36" s="17"/>
      <c r="B36" s="13"/>
      <c r="C36" s="13"/>
      <c r="D36" s="14" t="s">
        <v>367</v>
      </c>
      <c r="E36" s="14" t="s">
        <v>368</v>
      </c>
      <c r="F36" s="15" t="s">
        <v>369</v>
      </c>
      <c r="G36" s="15" t="s">
        <v>370</v>
      </c>
      <c r="H36" s="15" t="s">
        <v>344</v>
      </c>
      <c r="L36" s="17"/>
      <c r="M36" s="19"/>
      <c r="N36" s="19"/>
      <c r="O36" s="19"/>
      <c r="P36" s="9"/>
      <c r="Q36" s="9"/>
      <c r="V36" s="10"/>
      <c r="W36" s="10"/>
      <c r="X36" s="11" t="s">
        <v>367</v>
      </c>
      <c r="Y36" s="11" t="s">
        <v>368</v>
      </c>
      <c r="Z36" s="10" t="s">
        <v>369</v>
      </c>
      <c r="AA36" s="10" t="s">
        <v>371</v>
      </c>
      <c r="AB36" s="10" t="s">
        <v>344</v>
      </c>
    </row>
    <row r="37" spans="1:32">
      <c r="A37" s="17"/>
      <c r="B37" s="16">
        <v>1</v>
      </c>
      <c r="C37" s="16" t="s">
        <v>372</v>
      </c>
      <c r="D37" s="16">
        <v>52.665870539244999</v>
      </c>
      <c r="E37" s="16">
        <v>456.85</v>
      </c>
      <c r="F37" s="16">
        <f t="shared" ref="F37:F49" si="7">E37-D37</f>
        <v>404.184129460755</v>
      </c>
      <c r="G37" s="16">
        <v>90199.818812879996</v>
      </c>
      <c r="H37" s="16">
        <f t="shared" ref="H37:H49" si="8">G37/F37</f>
        <v>223.16516715592147</v>
      </c>
      <c r="K37" s="28" t="s">
        <v>372</v>
      </c>
      <c r="L37" s="29">
        <v>52.665870539244999</v>
      </c>
      <c r="N37" s="9"/>
      <c r="O37" s="9"/>
      <c r="P37" s="9"/>
      <c r="Q37" s="9"/>
      <c r="V37" s="34">
        <v>1</v>
      </c>
      <c r="W37" s="34" t="s">
        <v>373</v>
      </c>
      <c r="X37" s="34">
        <v>55</v>
      </c>
      <c r="Y37" s="34">
        <v>-35</v>
      </c>
      <c r="Z37" s="34">
        <f t="shared" ref="Z37:Z55" si="9">Y37-X37</f>
        <v>-90</v>
      </c>
      <c r="AA37" s="34">
        <v>-1961.2428918155999</v>
      </c>
      <c r="AB37" s="34">
        <f t="shared" ref="AB37:AB55" si="10">AA37/Z37</f>
        <v>21.79158768684</v>
      </c>
      <c r="AE37" s="28" t="s">
        <v>352</v>
      </c>
      <c r="AF37" s="28">
        <v>34.237975520699003</v>
      </c>
    </row>
    <row r="38" spans="1:32">
      <c r="A38" s="17"/>
      <c r="B38" s="33">
        <v>2</v>
      </c>
      <c r="C38" s="33" t="s">
        <v>374</v>
      </c>
      <c r="D38" s="33">
        <v>57.798837461401</v>
      </c>
      <c r="E38" s="33">
        <v>60</v>
      </c>
      <c r="F38" s="33">
        <f t="shared" si="7"/>
        <v>2.2011625385990001</v>
      </c>
      <c r="G38" s="33">
        <v>-331.67532211596</v>
      </c>
      <c r="H38" s="33">
        <f t="shared" si="8"/>
        <v>-150.68188573073994</v>
      </c>
      <c r="K38" s="28" t="s">
        <v>375</v>
      </c>
      <c r="L38" s="30">
        <v>79.682662970324998</v>
      </c>
      <c r="V38" s="34">
        <v>2</v>
      </c>
      <c r="W38" s="34" t="s">
        <v>376</v>
      </c>
      <c r="X38" s="34">
        <v>55</v>
      </c>
      <c r="Y38" s="34">
        <v>20</v>
      </c>
      <c r="Z38" s="34">
        <f t="shared" si="9"/>
        <v>-35</v>
      </c>
      <c r="AA38" s="34">
        <v>-925.57036617120002</v>
      </c>
      <c r="AB38" s="34">
        <f t="shared" si="10"/>
        <v>26.444867604891428</v>
      </c>
      <c r="AE38" s="28" t="s">
        <v>352</v>
      </c>
      <c r="AF38" s="28">
        <v>35.237975520699003</v>
      </c>
    </row>
    <row r="39" spans="1:32">
      <c r="A39" s="17"/>
      <c r="B39" s="16">
        <v>3</v>
      </c>
      <c r="C39" s="16" t="s">
        <v>375</v>
      </c>
      <c r="D39" s="16">
        <f t="shared" ref="D39:D44" si="11">E39-1</f>
        <v>79.682662970324998</v>
      </c>
      <c r="E39" s="16">
        <v>80.682662970324998</v>
      </c>
      <c r="F39" s="16">
        <f t="shared" si="7"/>
        <v>1</v>
      </c>
      <c r="G39" s="16">
        <v>674.92418867640004</v>
      </c>
      <c r="H39" s="16">
        <f t="shared" si="8"/>
        <v>674.92418867640004</v>
      </c>
      <c r="K39" s="28" t="s">
        <v>375</v>
      </c>
      <c r="L39" s="29">
        <v>80.682662970324998</v>
      </c>
      <c r="V39" s="12">
        <v>3</v>
      </c>
      <c r="W39" s="12" t="s">
        <v>352</v>
      </c>
      <c r="X39" s="12">
        <f>Y39+1</f>
        <v>35.237975520699003</v>
      </c>
      <c r="Y39" s="12">
        <v>34.237975520699003</v>
      </c>
      <c r="Z39" s="12">
        <f t="shared" si="9"/>
        <v>-1</v>
      </c>
      <c r="AA39" s="12">
        <v>-1941.3120951504</v>
      </c>
      <c r="AB39" s="12">
        <f t="shared" si="10"/>
        <v>1941.3120951504</v>
      </c>
      <c r="AE39" s="28" t="s">
        <v>377</v>
      </c>
      <c r="AF39" s="28">
        <v>55</v>
      </c>
    </row>
    <row r="40" spans="1:32">
      <c r="A40" s="17"/>
      <c r="B40" s="16">
        <v>4</v>
      </c>
      <c r="C40" s="16" t="s">
        <v>378</v>
      </c>
      <c r="D40" s="16">
        <f t="shared" si="11"/>
        <v>86.301073542672995</v>
      </c>
      <c r="E40" s="16">
        <v>87.301073542672995</v>
      </c>
      <c r="F40" s="16">
        <f t="shared" si="7"/>
        <v>1</v>
      </c>
      <c r="G40" s="16">
        <v>43255.934667000001</v>
      </c>
      <c r="H40" s="16">
        <f t="shared" si="8"/>
        <v>43255.934667000001</v>
      </c>
      <c r="K40" s="28" t="s">
        <v>378</v>
      </c>
      <c r="L40" s="29">
        <v>86.301073542672995</v>
      </c>
      <c r="V40" s="12">
        <v>4</v>
      </c>
      <c r="W40" s="12" t="s">
        <v>377</v>
      </c>
      <c r="X40" s="12">
        <v>65</v>
      </c>
      <c r="Y40" s="12">
        <v>55</v>
      </c>
      <c r="Z40" s="12">
        <f t="shared" si="9"/>
        <v>-10</v>
      </c>
      <c r="AA40" s="12">
        <v>-2386.0815825059999</v>
      </c>
      <c r="AB40" s="12">
        <f t="shared" si="10"/>
        <v>238.60815825059998</v>
      </c>
      <c r="AE40" s="28" t="s">
        <v>379</v>
      </c>
      <c r="AF40" s="28">
        <v>55</v>
      </c>
    </row>
    <row r="41" spans="1:32">
      <c r="A41" s="17"/>
      <c r="B41" s="16">
        <v>5</v>
      </c>
      <c r="C41" s="16" t="s">
        <v>380</v>
      </c>
      <c r="D41" s="16">
        <f t="shared" si="11"/>
        <v>100.12182914109501</v>
      </c>
      <c r="E41" s="16">
        <v>101.12182914109501</v>
      </c>
      <c r="F41" s="16">
        <f t="shared" si="7"/>
        <v>1</v>
      </c>
      <c r="G41" s="16">
        <v>2211.2800364484001</v>
      </c>
      <c r="H41" s="16">
        <f t="shared" si="8"/>
        <v>2211.2800364484001</v>
      </c>
      <c r="K41" s="28" t="s">
        <v>378</v>
      </c>
      <c r="L41" s="30">
        <v>87.301073542672995</v>
      </c>
      <c r="V41" s="12">
        <v>5</v>
      </c>
      <c r="W41" s="12" t="s">
        <v>379</v>
      </c>
      <c r="X41" s="12">
        <v>65.150063343529993</v>
      </c>
      <c r="Y41" s="12">
        <v>55</v>
      </c>
      <c r="Z41" s="12">
        <f t="shared" si="9"/>
        <v>-10.150063343529993</v>
      </c>
      <c r="AA41" s="12">
        <v>-4676.2043885639996</v>
      </c>
      <c r="AB41" s="12">
        <f t="shared" si="10"/>
        <v>460.70691682380254</v>
      </c>
      <c r="AE41" s="28" t="s">
        <v>381</v>
      </c>
      <c r="AF41" s="28">
        <v>55</v>
      </c>
    </row>
    <row r="42" spans="1:32">
      <c r="A42" s="17"/>
      <c r="B42" s="16">
        <v>6</v>
      </c>
      <c r="C42" s="16" t="s">
        <v>382</v>
      </c>
      <c r="D42" s="16">
        <f t="shared" si="11"/>
        <v>113.898087382238</v>
      </c>
      <c r="E42" s="16">
        <v>114.898087382238</v>
      </c>
      <c r="F42" s="16">
        <f t="shared" si="7"/>
        <v>1</v>
      </c>
      <c r="G42" s="16">
        <v>2457.0863903735999</v>
      </c>
      <c r="H42" s="16">
        <f t="shared" si="8"/>
        <v>2457.0863903735999</v>
      </c>
      <c r="K42" s="28" t="s">
        <v>380</v>
      </c>
      <c r="L42" s="29">
        <v>100.12182914109501</v>
      </c>
      <c r="V42" s="12">
        <v>6</v>
      </c>
      <c r="W42" s="12" t="s">
        <v>381</v>
      </c>
      <c r="X42" s="12">
        <v>77.177750517301007</v>
      </c>
      <c r="Y42" s="12">
        <v>55</v>
      </c>
      <c r="Z42" s="12">
        <f t="shared" si="9"/>
        <v>-22.177750517301007</v>
      </c>
      <c r="AA42" s="12">
        <v>-57.3123976308</v>
      </c>
      <c r="AB42" s="12">
        <f t="shared" si="10"/>
        <v>2.5842295225609209</v>
      </c>
      <c r="AE42" s="28" t="s">
        <v>383</v>
      </c>
      <c r="AF42" s="28">
        <v>55</v>
      </c>
    </row>
    <row r="43" spans="1:32">
      <c r="A43" s="17"/>
      <c r="B43" s="16">
        <v>7</v>
      </c>
      <c r="C43" s="16" t="s">
        <v>384</v>
      </c>
      <c r="D43" s="16">
        <f t="shared" si="11"/>
        <v>115.734199698658</v>
      </c>
      <c r="E43" s="16">
        <v>116.734199698658</v>
      </c>
      <c r="F43" s="16">
        <f t="shared" si="7"/>
        <v>1</v>
      </c>
      <c r="G43" s="16">
        <v>673.77412077120005</v>
      </c>
      <c r="H43" s="16">
        <f t="shared" si="8"/>
        <v>673.77412077120005</v>
      </c>
      <c r="K43" s="28" t="s">
        <v>380</v>
      </c>
      <c r="L43" s="30">
        <v>101.12182914109501</v>
      </c>
      <c r="V43" s="12">
        <v>7</v>
      </c>
      <c r="W43" s="12" t="s">
        <v>383</v>
      </c>
      <c r="X43" s="12">
        <v>103.805621619002</v>
      </c>
      <c r="Y43" s="12">
        <v>55</v>
      </c>
      <c r="Z43" s="12">
        <f t="shared" si="9"/>
        <v>-48.805621619001997</v>
      </c>
      <c r="AA43" s="12">
        <v>-29044.532428451999</v>
      </c>
      <c r="AB43" s="12">
        <f t="shared" si="10"/>
        <v>595.10629032012559</v>
      </c>
      <c r="AE43" s="28" t="s">
        <v>385</v>
      </c>
      <c r="AF43" s="28">
        <v>55</v>
      </c>
    </row>
    <row r="44" spans="1:32">
      <c r="A44" s="17"/>
      <c r="B44" s="16">
        <v>8</v>
      </c>
      <c r="C44" s="16" t="s">
        <v>386</v>
      </c>
      <c r="D44" s="16">
        <f t="shared" si="11"/>
        <v>140.397197347413</v>
      </c>
      <c r="E44" s="16">
        <v>141.397197347413</v>
      </c>
      <c r="F44" s="16">
        <f t="shared" si="7"/>
        <v>1</v>
      </c>
      <c r="G44" s="16">
        <v>140.76350640612</v>
      </c>
      <c r="H44" s="16">
        <f t="shared" si="8"/>
        <v>140.76350640612</v>
      </c>
      <c r="K44" s="28" t="s">
        <v>382</v>
      </c>
      <c r="L44" s="29">
        <v>113.898087382238</v>
      </c>
      <c r="V44" s="12">
        <v>8</v>
      </c>
      <c r="W44" s="12" t="s">
        <v>385</v>
      </c>
      <c r="X44" s="12">
        <v>137.05358729018999</v>
      </c>
      <c r="Y44" s="12">
        <v>55</v>
      </c>
      <c r="Z44" s="12">
        <f t="shared" si="9"/>
        <v>-82.053587290189995</v>
      </c>
      <c r="AA44" s="12">
        <v>-1226.8881489600001</v>
      </c>
      <c r="AB44" s="12">
        <f t="shared" si="10"/>
        <v>14.952279229681919</v>
      </c>
      <c r="AE44" s="28" t="s">
        <v>387</v>
      </c>
      <c r="AF44" s="28">
        <v>57.090125847096999</v>
      </c>
    </row>
    <row r="45" spans="1:32">
      <c r="A45" s="17"/>
      <c r="B45" s="16">
        <v>9</v>
      </c>
      <c r="C45" s="16" t="s">
        <v>388</v>
      </c>
      <c r="D45" s="16">
        <v>145.858729681705</v>
      </c>
      <c r="E45" s="16">
        <v>192</v>
      </c>
      <c r="F45" s="16">
        <f t="shared" si="7"/>
        <v>46.141270318295</v>
      </c>
      <c r="G45" s="16">
        <v>270.33759763811997</v>
      </c>
      <c r="H45" s="16">
        <f t="shared" si="8"/>
        <v>5.8589110306946015</v>
      </c>
      <c r="K45" s="28" t="s">
        <v>382</v>
      </c>
      <c r="L45" s="30">
        <v>114.898087382238</v>
      </c>
      <c r="V45" s="12">
        <v>9</v>
      </c>
      <c r="W45" s="12" t="s">
        <v>387</v>
      </c>
      <c r="X45" s="12">
        <f>Y45+1</f>
        <v>58.090125847096999</v>
      </c>
      <c r="Y45" s="12">
        <v>57.090125847096999</v>
      </c>
      <c r="Z45" s="12">
        <f t="shared" si="9"/>
        <v>-1</v>
      </c>
      <c r="AA45" s="12">
        <v>-757.81360096920002</v>
      </c>
      <c r="AB45" s="12">
        <f t="shared" si="10"/>
        <v>757.81360096920002</v>
      </c>
      <c r="AE45" s="28" t="s">
        <v>389</v>
      </c>
      <c r="AF45" s="28">
        <v>57.385587871599</v>
      </c>
    </row>
    <row r="46" spans="1:32">
      <c r="A46" s="17"/>
      <c r="B46" s="16">
        <v>10</v>
      </c>
      <c r="C46" s="16" t="s">
        <v>390</v>
      </c>
      <c r="D46" s="16">
        <f>E46-1</f>
        <v>146.14737264148201</v>
      </c>
      <c r="E46" s="16">
        <v>147.14737264148201</v>
      </c>
      <c r="F46" s="16">
        <f t="shared" si="7"/>
        <v>1</v>
      </c>
      <c r="G46" s="16">
        <v>56628.094897080002</v>
      </c>
      <c r="H46" s="16">
        <f t="shared" si="8"/>
        <v>56628.094897080002</v>
      </c>
      <c r="K46" s="28" t="s">
        <v>384</v>
      </c>
      <c r="L46" s="29">
        <v>115.734199698658</v>
      </c>
      <c r="V46" s="12">
        <v>10</v>
      </c>
      <c r="W46" s="12" t="s">
        <v>389</v>
      </c>
      <c r="X46" s="12">
        <f>Y46+1</f>
        <v>58.385587871599</v>
      </c>
      <c r="Y46" s="12">
        <v>57.385587871599</v>
      </c>
      <c r="Z46" s="12">
        <f t="shared" si="9"/>
        <v>-1</v>
      </c>
      <c r="AA46" s="12">
        <v>-656.5069913868</v>
      </c>
      <c r="AB46" s="12">
        <f t="shared" si="10"/>
        <v>656.5069913868</v>
      </c>
      <c r="AE46" s="28" t="s">
        <v>387</v>
      </c>
      <c r="AF46" s="28">
        <v>58.090125847096999</v>
      </c>
    </row>
    <row r="47" spans="1:32">
      <c r="A47" s="17"/>
      <c r="B47" s="16">
        <v>11</v>
      </c>
      <c r="C47" s="16" t="s">
        <v>391</v>
      </c>
      <c r="D47" s="16">
        <f>E47-1</f>
        <v>147.588663490973</v>
      </c>
      <c r="E47" s="16">
        <v>148.588663490973</v>
      </c>
      <c r="F47" s="16">
        <f t="shared" si="7"/>
        <v>1</v>
      </c>
      <c r="G47" s="16">
        <v>530.83988793720005</v>
      </c>
      <c r="H47" s="16">
        <f t="shared" si="8"/>
        <v>530.83988793720005</v>
      </c>
      <c r="K47" s="28" t="s">
        <v>384</v>
      </c>
      <c r="L47" s="30">
        <v>116.734199698658</v>
      </c>
      <c r="V47" s="12">
        <v>11</v>
      </c>
      <c r="W47" s="12" t="s">
        <v>392</v>
      </c>
      <c r="X47" s="12">
        <v>400.154028617682</v>
      </c>
      <c r="Y47" s="12">
        <v>65</v>
      </c>
      <c r="Z47" s="12">
        <f t="shared" si="9"/>
        <v>-335.154028617682</v>
      </c>
      <c r="AA47" s="12">
        <v>-68303.572011719996</v>
      </c>
      <c r="AB47" s="12">
        <f t="shared" si="10"/>
        <v>203.79755628608441</v>
      </c>
      <c r="AE47" s="18" t="s">
        <v>389</v>
      </c>
      <c r="AF47" s="18">
        <v>58.385587871599</v>
      </c>
    </row>
    <row r="48" spans="1:32">
      <c r="A48" s="17"/>
      <c r="B48" s="16">
        <v>12</v>
      </c>
      <c r="C48" s="16" t="s">
        <v>393</v>
      </c>
      <c r="D48" s="16">
        <f>E48-1</f>
        <v>160.569383733248</v>
      </c>
      <c r="E48" s="16">
        <v>161.569383733248</v>
      </c>
      <c r="F48" s="16">
        <f t="shared" si="7"/>
        <v>1</v>
      </c>
      <c r="G48" s="16">
        <v>2179.5103803348002</v>
      </c>
      <c r="H48" s="16">
        <f t="shared" si="8"/>
        <v>2179.5103803348002</v>
      </c>
      <c r="K48" s="28" t="s">
        <v>386</v>
      </c>
      <c r="L48" s="29">
        <v>140.397197347413</v>
      </c>
      <c r="V48" s="12">
        <v>12</v>
      </c>
      <c r="W48" s="12" t="s">
        <v>394</v>
      </c>
      <c r="X48" s="12">
        <f t="shared" ref="X48:X54" si="12">Y48+1</f>
        <v>66.150063343529993</v>
      </c>
      <c r="Y48" s="12">
        <v>65.150063343529993</v>
      </c>
      <c r="Z48" s="12">
        <f t="shared" si="9"/>
        <v>-1</v>
      </c>
      <c r="AA48" s="12">
        <v>-38338.744811183999</v>
      </c>
      <c r="AB48" s="12">
        <f t="shared" si="10"/>
        <v>38338.744811183999</v>
      </c>
      <c r="AE48" s="18" t="s">
        <v>377</v>
      </c>
      <c r="AF48" s="18">
        <v>65</v>
      </c>
    </row>
    <row r="49" spans="1:32">
      <c r="A49" s="17"/>
      <c r="B49" s="16">
        <v>13</v>
      </c>
      <c r="C49" s="16" t="s">
        <v>395</v>
      </c>
      <c r="D49" s="16">
        <f>E49-1</f>
        <v>161.96057230656001</v>
      </c>
      <c r="E49" s="16">
        <v>162.96057230656001</v>
      </c>
      <c r="F49" s="16">
        <f t="shared" si="7"/>
        <v>1</v>
      </c>
      <c r="G49" s="16">
        <v>2284.8889208723999</v>
      </c>
      <c r="H49" s="16">
        <f t="shared" si="8"/>
        <v>2284.8889208723999</v>
      </c>
      <c r="K49" s="28" t="s">
        <v>386</v>
      </c>
      <c r="L49" s="30">
        <v>141.397197347413</v>
      </c>
      <c r="V49" s="12">
        <v>13</v>
      </c>
      <c r="W49" s="12" t="s">
        <v>396</v>
      </c>
      <c r="X49" s="12">
        <f t="shared" si="12"/>
        <v>69.531262298488002</v>
      </c>
      <c r="Y49" s="12">
        <v>68.531262298488002</v>
      </c>
      <c r="Z49" s="12">
        <f t="shared" si="9"/>
        <v>-1</v>
      </c>
      <c r="AA49" s="12">
        <v>-2016.5455584576</v>
      </c>
      <c r="AB49" s="12">
        <f t="shared" si="10"/>
        <v>2016.5455584576</v>
      </c>
      <c r="AE49" s="18" t="s">
        <v>392</v>
      </c>
      <c r="AF49" s="18">
        <v>65</v>
      </c>
    </row>
    <row r="50" spans="1:32">
      <c r="A50" s="17"/>
      <c r="B50"/>
      <c r="C50"/>
      <c r="D50"/>
      <c r="E50"/>
      <c r="F50"/>
      <c r="G50"/>
      <c r="H50"/>
      <c r="K50" s="28" t="s">
        <v>388</v>
      </c>
      <c r="L50" s="29">
        <v>145.858729681705</v>
      </c>
      <c r="M50" s="20"/>
      <c r="V50" s="12">
        <v>14</v>
      </c>
      <c r="W50" s="12" t="s">
        <v>397</v>
      </c>
      <c r="X50" s="12">
        <f t="shared" si="12"/>
        <v>78.177750517301007</v>
      </c>
      <c r="Y50" s="12">
        <v>77.177750517301007</v>
      </c>
      <c r="Z50" s="12">
        <f t="shared" si="9"/>
        <v>-1</v>
      </c>
      <c r="AA50" s="12">
        <v>-2149.7103540396001</v>
      </c>
      <c r="AB50" s="12">
        <f t="shared" si="10"/>
        <v>2149.7103540396001</v>
      </c>
      <c r="AE50" s="18" t="s">
        <v>379</v>
      </c>
      <c r="AF50" s="18">
        <v>65.150063343529993</v>
      </c>
    </row>
    <row r="51" spans="1:32">
      <c r="A51" s="17"/>
      <c r="B51"/>
      <c r="C51"/>
      <c r="D51"/>
      <c r="E51"/>
      <c r="F51"/>
      <c r="G51"/>
      <c r="H51"/>
      <c r="K51" s="28" t="s">
        <v>390</v>
      </c>
      <c r="L51" s="29">
        <v>146.14737264148201</v>
      </c>
      <c r="M51" s="20"/>
      <c r="V51" s="12">
        <v>15</v>
      </c>
      <c r="W51" s="12" t="s">
        <v>398</v>
      </c>
      <c r="X51" s="12">
        <f t="shared" si="12"/>
        <v>104.805621619002</v>
      </c>
      <c r="Y51" s="12">
        <v>103.805621619002</v>
      </c>
      <c r="Z51" s="12">
        <f t="shared" si="9"/>
        <v>-1</v>
      </c>
      <c r="AA51" s="12">
        <v>-27109.033529256001</v>
      </c>
      <c r="AB51" s="12">
        <f t="shared" si="10"/>
        <v>27109.033529256001</v>
      </c>
      <c r="AE51" s="18" t="s">
        <v>394</v>
      </c>
      <c r="AF51" s="18">
        <v>65.150063343529993</v>
      </c>
    </row>
    <row r="52" spans="1:32">
      <c r="A52" s="17"/>
      <c r="B52"/>
      <c r="C52"/>
      <c r="D52"/>
      <c r="E52"/>
      <c r="F52"/>
      <c r="G52"/>
      <c r="H52"/>
      <c r="K52" s="28" t="s">
        <v>390</v>
      </c>
      <c r="L52" s="30">
        <v>147.14737264148201</v>
      </c>
      <c r="M52" s="20"/>
      <c r="V52" s="12">
        <v>16</v>
      </c>
      <c r="W52" s="12" t="s">
        <v>399</v>
      </c>
      <c r="X52" s="12">
        <f t="shared" si="12"/>
        <v>112.25895598061901</v>
      </c>
      <c r="Y52" s="12">
        <v>111.25895598061901</v>
      </c>
      <c r="Z52" s="12">
        <f t="shared" si="9"/>
        <v>-1</v>
      </c>
      <c r="AA52" s="12">
        <v>-134.58950207603999</v>
      </c>
      <c r="AB52" s="12">
        <f t="shared" si="10"/>
        <v>134.58950207603999</v>
      </c>
      <c r="AE52" s="18" t="s">
        <v>394</v>
      </c>
      <c r="AF52" s="18">
        <v>66.150063343529993</v>
      </c>
    </row>
    <row r="53" spans="1:32">
      <c r="A53" s="17"/>
      <c r="B53"/>
      <c r="C53"/>
      <c r="D53"/>
      <c r="E53"/>
      <c r="F53"/>
      <c r="G53"/>
      <c r="H53"/>
      <c r="K53" s="28" t="s">
        <v>391</v>
      </c>
      <c r="L53" s="29">
        <v>147.588663490973</v>
      </c>
      <c r="M53" s="20"/>
      <c r="V53" s="12">
        <v>17</v>
      </c>
      <c r="W53" s="12" t="s">
        <v>400</v>
      </c>
      <c r="X53" s="12">
        <f t="shared" si="12"/>
        <v>121.246021571727</v>
      </c>
      <c r="Y53" s="12">
        <v>120.246021571727</v>
      </c>
      <c r="Z53" s="12">
        <f t="shared" si="9"/>
        <v>-1</v>
      </c>
      <c r="AA53" s="12">
        <v>-272.78140265316</v>
      </c>
      <c r="AB53" s="12">
        <f t="shared" si="10"/>
        <v>272.78140265316</v>
      </c>
      <c r="AE53" s="18" t="s">
        <v>396</v>
      </c>
      <c r="AF53" s="18">
        <v>68.531262298488002</v>
      </c>
    </row>
    <row r="54" spans="1:32">
      <c r="A54" s="17"/>
      <c r="B54"/>
      <c r="C54"/>
      <c r="D54"/>
      <c r="E54"/>
      <c r="F54"/>
      <c r="G54"/>
      <c r="H54"/>
      <c r="K54" s="28" t="s">
        <v>391</v>
      </c>
      <c r="L54" s="30">
        <v>148.588663490973</v>
      </c>
      <c r="M54" s="20"/>
      <c r="V54" s="12">
        <v>18</v>
      </c>
      <c r="W54" s="12" t="s">
        <v>401</v>
      </c>
      <c r="X54" s="12">
        <f t="shared" si="12"/>
        <v>137.85163851678701</v>
      </c>
      <c r="Y54" s="12">
        <v>136.85163851678701</v>
      </c>
      <c r="Z54" s="12">
        <f t="shared" si="9"/>
        <v>-1</v>
      </c>
      <c r="AA54" s="12">
        <v>-2278.078471026</v>
      </c>
      <c r="AB54" s="12">
        <f t="shared" si="10"/>
        <v>2278.078471026</v>
      </c>
      <c r="AE54" s="18" t="s">
        <v>396</v>
      </c>
      <c r="AF54" s="18">
        <v>69.531262298488002</v>
      </c>
    </row>
    <row r="55" spans="1:32">
      <c r="B55"/>
      <c r="C55"/>
      <c r="D55"/>
      <c r="E55"/>
      <c r="F55"/>
      <c r="G55"/>
      <c r="H55"/>
      <c r="K55" s="28" t="s">
        <v>393</v>
      </c>
      <c r="L55" s="29">
        <v>160.569383733248</v>
      </c>
      <c r="M55" s="20"/>
      <c r="V55" s="12">
        <v>19</v>
      </c>
      <c r="W55" s="12" t="s">
        <v>402</v>
      </c>
      <c r="X55" s="12">
        <v>192</v>
      </c>
      <c r="Y55" s="12">
        <v>139.04103150819901</v>
      </c>
      <c r="Z55" s="12">
        <f t="shared" si="9"/>
        <v>-52.958968491800988</v>
      </c>
      <c r="AA55" s="12">
        <v>-278.39160119088001</v>
      </c>
      <c r="AB55" s="12">
        <f t="shared" si="10"/>
        <v>5.2567413814712065</v>
      </c>
      <c r="AE55" s="18" t="s">
        <v>381</v>
      </c>
      <c r="AF55" s="18">
        <v>77.177750517301007</v>
      </c>
    </row>
    <row r="56" spans="1:32">
      <c r="B56"/>
      <c r="C56"/>
      <c r="D56"/>
      <c r="E56"/>
      <c r="F56"/>
      <c r="G56"/>
      <c r="H56"/>
      <c r="K56" s="28" t="s">
        <v>393</v>
      </c>
      <c r="L56" s="30">
        <v>161.569383733248</v>
      </c>
      <c r="M56" s="20"/>
      <c r="AE56" s="18" t="s">
        <v>397</v>
      </c>
      <c r="AF56" s="18">
        <v>77.177750517301007</v>
      </c>
    </row>
    <row r="57" spans="1:32">
      <c r="B57"/>
      <c r="C57"/>
      <c r="D57"/>
      <c r="E57"/>
      <c r="F57"/>
      <c r="G57"/>
      <c r="H57"/>
      <c r="K57" s="28" t="s">
        <v>395</v>
      </c>
      <c r="L57" s="29">
        <v>161.96057230656001</v>
      </c>
      <c r="M57" s="20"/>
      <c r="AE57" s="18" t="s">
        <v>397</v>
      </c>
      <c r="AF57" s="18">
        <v>78.177750517301007</v>
      </c>
    </row>
    <row r="58" spans="1:32">
      <c r="B58"/>
      <c r="C58"/>
      <c r="D58"/>
      <c r="E58"/>
      <c r="F58"/>
      <c r="G58"/>
      <c r="H58"/>
      <c r="K58" s="28" t="s">
        <v>395</v>
      </c>
      <c r="L58" s="30">
        <v>162.96057230656001</v>
      </c>
      <c r="M58" s="20"/>
      <c r="AE58" s="18" t="s">
        <v>383</v>
      </c>
      <c r="AF58" s="18">
        <v>103.805621619002</v>
      </c>
    </row>
    <row r="59" spans="1:32">
      <c r="B59"/>
      <c r="C59"/>
      <c r="D59"/>
      <c r="E59"/>
      <c r="F59"/>
      <c r="G59"/>
      <c r="H59"/>
      <c r="K59" s="28" t="s">
        <v>388</v>
      </c>
      <c r="L59" s="30">
        <v>192</v>
      </c>
      <c r="M59" s="20"/>
      <c r="AE59" s="18" t="s">
        <v>398</v>
      </c>
      <c r="AF59" s="18">
        <v>103.805621619002</v>
      </c>
    </row>
    <row r="60" spans="1:32">
      <c r="B60"/>
      <c r="C60"/>
      <c r="D60"/>
      <c r="E60"/>
      <c r="F60"/>
      <c r="G60"/>
      <c r="H60"/>
      <c r="K60" s="28" t="s">
        <v>372</v>
      </c>
      <c r="L60" s="30">
        <v>456.85</v>
      </c>
      <c r="M60" s="20"/>
      <c r="AE60" s="18" t="s">
        <v>398</v>
      </c>
      <c r="AF60" s="18">
        <v>104.805621619002</v>
      </c>
    </row>
    <row r="61" spans="1:32">
      <c r="M61" s="20"/>
      <c r="AE61" s="18" t="s">
        <v>399</v>
      </c>
      <c r="AF61" s="18">
        <v>111.25895598061901</v>
      </c>
    </row>
    <row r="62" spans="1:32">
      <c r="M62" s="20"/>
      <c r="AE62" s="18" t="s">
        <v>399</v>
      </c>
      <c r="AF62" s="18">
        <v>112.25895598061901</v>
      </c>
    </row>
    <row r="63" spans="1:32">
      <c r="AE63" s="18" t="s">
        <v>400</v>
      </c>
      <c r="AF63" s="18">
        <v>120.246021571727</v>
      </c>
    </row>
    <row r="64" spans="1:32">
      <c r="AE64" s="18" t="s">
        <v>400</v>
      </c>
      <c r="AF64" s="18">
        <v>121.246021571727</v>
      </c>
    </row>
    <row r="65" spans="31:32">
      <c r="AE65" s="18" t="s">
        <v>401</v>
      </c>
      <c r="AF65" s="18">
        <v>136.85163851678701</v>
      </c>
    </row>
    <row r="66" spans="31:32">
      <c r="AE66" s="18" t="s">
        <v>385</v>
      </c>
      <c r="AF66" s="18">
        <v>137.05358729018999</v>
      </c>
    </row>
    <row r="67" spans="31:32">
      <c r="AE67" s="18" t="s">
        <v>401</v>
      </c>
      <c r="AF67" s="18">
        <v>137.85163851678701</v>
      </c>
    </row>
    <row r="68" spans="31:32">
      <c r="AE68" s="18" t="s">
        <v>402</v>
      </c>
      <c r="AF68" s="18">
        <v>139.04103150819901</v>
      </c>
    </row>
    <row r="69" spans="31:32">
      <c r="AE69" s="18" t="s">
        <v>402</v>
      </c>
      <c r="AF69" s="18">
        <v>192</v>
      </c>
    </row>
    <row r="70" spans="31:32">
      <c r="AE70" s="18" t="s">
        <v>392</v>
      </c>
      <c r="AF70" s="18">
        <v>400.154028617682</v>
      </c>
    </row>
  </sheetData>
  <sortState xmlns:xlrd2="http://schemas.microsoft.com/office/spreadsheetml/2017/richdata2" ref="AE37:AF70">
    <sortCondition ref="AF37:AF70"/>
  </sortState>
  <mergeCells count="12">
    <mergeCell ref="B2:G2"/>
    <mergeCell ref="B3:C3"/>
    <mergeCell ref="V3:W3"/>
    <mergeCell ref="X3:X4"/>
    <mergeCell ref="Z3:Z4"/>
    <mergeCell ref="V2:AA2"/>
    <mergeCell ref="AA3:AA4"/>
    <mergeCell ref="D3:D4"/>
    <mergeCell ref="E3:E4"/>
    <mergeCell ref="F3:F4"/>
    <mergeCell ref="G3:G4"/>
    <mergeCell ref="Y3:Y4"/>
  </mergeCells>
  <phoneticPr fontId="3" type="noConversion"/>
  <conditionalFormatting sqref="O26">
    <cfRule type="cellIs" dxfId="1" priority="1" operator="greaterThan">
      <formula>$B$7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C5501-6A3A-4FF8-821A-BA8246A736D9}">
  <dimension ref="A1:G36"/>
  <sheetViews>
    <sheetView workbookViewId="0">
      <selection activeCell="I16" sqref="I16"/>
    </sheetView>
  </sheetViews>
  <sheetFormatPr defaultRowHeight="14.45"/>
  <cols>
    <col min="1" max="1" width="28.5703125" bestFit="1" customWidth="1"/>
    <col min="2" max="2" width="14.140625" bestFit="1" customWidth="1"/>
    <col min="3" max="3" width="15.85546875" bestFit="1" customWidth="1"/>
    <col min="4" max="4" width="12.42578125" bestFit="1" customWidth="1"/>
    <col min="6" max="6" width="25.140625" bestFit="1" customWidth="1"/>
  </cols>
  <sheetData>
    <row r="1" spans="1:7">
      <c r="A1" t="s">
        <v>403</v>
      </c>
    </row>
    <row r="3" spans="1:7">
      <c r="A3" t="s">
        <v>404</v>
      </c>
      <c r="B3" t="s">
        <v>405</v>
      </c>
      <c r="C3" t="s">
        <v>406</v>
      </c>
      <c r="D3" t="s">
        <v>407</v>
      </c>
    </row>
    <row r="5" spans="1:7">
      <c r="A5" t="s">
        <v>408</v>
      </c>
      <c r="B5" s="6">
        <v>60.011420632092999</v>
      </c>
      <c r="C5" s="6">
        <v>65.150063343529993</v>
      </c>
      <c r="D5" s="7">
        <v>-38338.744811183999</v>
      </c>
      <c r="F5" t="s">
        <v>409</v>
      </c>
      <c r="G5" t="s">
        <v>410</v>
      </c>
    </row>
    <row r="6" spans="1:7">
      <c r="A6" t="s">
        <v>411</v>
      </c>
      <c r="B6" s="6">
        <v>60.011420632092999</v>
      </c>
      <c r="C6" s="6">
        <v>87.301073542672995</v>
      </c>
      <c r="D6" s="6">
        <v>43255.934667000001</v>
      </c>
      <c r="F6">
        <f>SUM(D5,D7,D9,D11,D13,D15,D17,D19,D21,D23,D26:D32,D34:D36)</f>
        <v>-184846.58745532521</v>
      </c>
      <c r="G6">
        <f>SUM(D6,D8,D10,D12,D14,D16,D18,D20,D22,D24:D25,D33)</f>
        <v>201507.25340641823</v>
      </c>
    </row>
    <row r="7" spans="1:7">
      <c r="A7" t="s">
        <v>412</v>
      </c>
      <c r="B7" s="6">
        <v>60.025288334602998</v>
      </c>
      <c r="C7" s="6">
        <v>103.805621619002</v>
      </c>
      <c r="D7" s="7">
        <v>-27109.033529256001</v>
      </c>
    </row>
    <row r="8" spans="1:7">
      <c r="A8" t="s">
        <v>413</v>
      </c>
      <c r="B8" s="6">
        <v>60.025288334602998</v>
      </c>
      <c r="C8" s="6">
        <v>147.14737264148201</v>
      </c>
      <c r="D8" s="6">
        <v>56628.094897080002</v>
      </c>
      <c r="F8" t="s">
        <v>414</v>
      </c>
    </row>
    <row r="9" spans="1:7">
      <c r="A9" t="s">
        <v>415</v>
      </c>
      <c r="B9" s="7">
        <v>87.301073542672995</v>
      </c>
      <c r="C9" s="7">
        <v>77.177750517301007</v>
      </c>
      <c r="D9" s="7">
        <v>-2149.7103540396001</v>
      </c>
      <c r="F9">
        <f>G6-(ABS(F6))</f>
        <v>16660.665951093019</v>
      </c>
    </row>
    <row r="10" spans="1:7">
      <c r="A10" t="s">
        <v>416</v>
      </c>
      <c r="B10" s="6">
        <v>87.301073542672995</v>
      </c>
      <c r="C10" s="6">
        <v>101.12182914109501</v>
      </c>
      <c r="D10" s="6">
        <v>2211.2800364484001</v>
      </c>
    </row>
    <row r="11" spans="1:7">
      <c r="A11" t="s">
        <v>417</v>
      </c>
      <c r="B11" s="6">
        <v>-34.943225543676</v>
      </c>
      <c r="C11" s="6">
        <v>120.246021571727</v>
      </c>
      <c r="D11" s="7">
        <v>-272.78140265316</v>
      </c>
      <c r="F11" t="s">
        <v>418</v>
      </c>
    </row>
    <row r="12" spans="1:7">
      <c r="A12" t="s">
        <v>419</v>
      </c>
      <c r="B12" s="6">
        <v>-34.943225543676</v>
      </c>
      <c r="C12" s="6">
        <v>148.588663490973</v>
      </c>
      <c r="D12" s="6">
        <v>530.83988793720005</v>
      </c>
      <c r="F12" s="8">
        <f>F9*109.1885</f>
        <v>1819153.1242009201</v>
      </c>
    </row>
    <row r="13" spans="1:7">
      <c r="A13" t="s">
        <v>420</v>
      </c>
      <c r="B13" s="7">
        <v>120.306591897456</v>
      </c>
      <c r="C13" s="7">
        <v>111.25895598061901</v>
      </c>
      <c r="D13" s="7">
        <v>-134.58950207603999</v>
      </c>
    </row>
    <row r="14" spans="1:7">
      <c r="A14" t="s">
        <v>421</v>
      </c>
      <c r="B14" s="6">
        <v>120.306591897456</v>
      </c>
      <c r="C14" s="6">
        <v>141.397197347413</v>
      </c>
      <c r="D14" s="6">
        <v>140.76350640612</v>
      </c>
    </row>
    <row r="15" spans="1:7">
      <c r="A15" t="s">
        <v>422</v>
      </c>
      <c r="B15" s="7">
        <v>139.166736777392</v>
      </c>
      <c r="C15" s="7">
        <v>136.85163851678701</v>
      </c>
      <c r="D15" s="7">
        <v>-2278.078471026</v>
      </c>
    </row>
    <row r="16" spans="1:7">
      <c r="A16" t="s">
        <v>423</v>
      </c>
      <c r="B16" s="6">
        <v>139.166736777392</v>
      </c>
      <c r="C16" s="6">
        <v>162.96057230656001</v>
      </c>
      <c r="D16" s="6">
        <v>2284.8889208723999</v>
      </c>
    </row>
    <row r="17" spans="1:4">
      <c r="A17" t="s">
        <v>424</v>
      </c>
      <c r="B17" s="7">
        <v>55.021431259613998</v>
      </c>
      <c r="C17" s="7">
        <v>34.237975520699003</v>
      </c>
      <c r="D17" s="7">
        <v>-1941.3120951504</v>
      </c>
    </row>
    <row r="18" spans="1:4">
      <c r="A18" t="s">
        <v>425</v>
      </c>
      <c r="B18" s="6">
        <v>55.021431259613998</v>
      </c>
      <c r="C18" s="6">
        <v>114.898087382238</v>
      </c>
      <c r="D18" s="6">
        <v>2457.0863903735999</v>
      </c>
    </row>
    <row r="19" spans="1:4">
      <c r="A19" t="s">
        <v>426</v>
      </c>
      <c r="B19" s="6">
        <v>34.953937596705998</v>
      </c>
      <c r="C19" s="6">
        <v>68.531262298488002</v>
      </c>
      <c r="D19" s="7">
        <v>-2016.5455584576</v>
      </c>
    </row>
    <row r="20" spans="1:4">
      <c r="A20" t="s">
        <v>427</v>
      </c>
      <c r="B20" s="6">
        <v>34.953937596705998</v>
      </c>
      <c r="C20" s="6">
        <v>161.569383733248</v>
      </c>
      <c r="D20" s="6">
        <v>2179.5103803348002</v>
      </c>
    </row>
    <row r="21" spans="1:4">
      <c r="A21" t="s">
        <v>428</v>
      </c>
      <c r="B21" s="7">
        <v>161.569383733248</v>
      </c>
      <c r="C21" s="7">
        <v>57.090125847096999</v>
      </c>
      <c r="D21" s="7">
        <v>-757.81360096920002</v>
      </c>
    </row>
    <row r="22" spans="1:4">
      <c r="A22" t="s">
        <v>429</v>
      </c>
      <c r="B22" s="7">
        <v>161.569383733248</v>
      </c>
      <c r="C22" s="7">
        <v>116.734199698658</v>
      </c>
      <c r="D22" s="6">
        <v>673.77412077120005</v>
      </c>
    </row>
    <row r="23" spans="1:4">
      <c r="A23" t="s">
        <v>430</v>
      </c>
      <c r="B23" s="6">
        <v>57.099616802897998</v>
      </c>
      <c r="C23" s="6">
        <v>57.385587871599</v>
      </c>
      <c r="D23" s="7">
        <v>-656.5069913868</v>
      </c>
    </row>
    <row r="24" spans="1:4">
      <c r="A24" t="s">
        <v>431</v>
      </c>
      <c r="B24" s="6">
        <v>57.099616802897998</v>
      </c>
      <c r="C24" s="6">
        <v>80.682662970324998</v>
      </c>
      <c r="D24" s="6">
        <v>674.92418867640004</v>
      </c>
    </row>
    <row r="25" spans="1:4">
      <c r="A25" t="s">
        <v>432</v>
      </c>
      <c r="B25" s="6">
        <v>52.665870539244999</v>
      </c>
      <c r="C25" s="6">
        <v>456.85</v>
      </c>
      <c r="D25" s="6">
        <v>90199.818812879996</v>
      </c>
    </row>
    <row r="26" spans="1:4">
      <c r="A26" t="s">
        <v>23</v>
      </c>
      <c r="B26" s="7">
        <v>400.154028617682</v>
      </c>
      <c r="C26" s="7">
        <v>65</v>
      </c>
      <c r="D26" s="7">
        <v>-68303.572011719996</v>
      </c>
    </row>
    <row r="27" spans="1:4">
      <c r="A27" t="s">
        <v>27</v>
      </c>
      <c r="B27" s="7">
        <v>65</v>
      </c>
      <c r="C27" s="7">
        <v>55</v>
      </c>
      <c r="D27" s="7">
        <v>-2386.0815825059999</v>
      </c>
    </row>
    <row r="28" spans="1:4">
      <c r="A28" t="s">
        <v>374</v>
      </c>
      <c r="B28" s="6">
        <v>57.798837461401</v>
      </c>
      <c r="C28" s="6">
        <v>60</v>
      </c>
      <c r="D28" s="7">
        <v>-331.67532211596</v>
      </c>
    </row>
    <row r="29" spans="1:4">
      <c r="A29" t="s">
        <v>29</v>
      </c>
      <c r="B29" s="7">
        <v>65.150063343529993</v>
      </c>
      <c r="C29" s="7">
        <v>55</v>
      </c>
      <c r="D29" s="7">
        <v>-4676.2043885639996</v>
      </c>
    </row>
    <row r="30" spans="1:4">
      <c r="A30" t="s">
        <v>31</v>
      </c>
      <c r="B30" s="7">
        <v>77.177750517301007</v>
      </c>
      <c r="C30" s="7">
        <v>55</v>
      </c>
      <c r="D30" s="7">
        <v>-57.3123976308</v>
      </c>
    </row>
    <row r="31" spans="1:4">
      <c r="A31" t="s">
        <v>33</v>
      </c>
      <c r="B31" s="7">
        <v>103.805621619002</v>
      </c>
      <c r="C31" s="7">
        <v>55</v>
      </c>
      <c r="D31" s="7">
        <v>-29044.532428451999</v>
      </c>
    </row>
    <row r="32" spans="1:4">
      <c r="A32" t="s">
        <v>35</v>
      </c>
      <c r="B32" s="7">
        <v>137.05358729018999</v>
      </c>
      <c r="C32" s="7">
        <v>55</v>
      </c>
      <c r="D32" s="7">
        <v>-1226.8881489600001</v>
      </c>
    </row>
    <row r="33" spans="1:4">
      <c r="A33" t="s">
        <v>19</v>
      </c>
      <c r="B33" s="6">
        <v>145.858729681705</v>
      </c>
      <c r="C33" s="6">
        <v>192</v>
      </c>
      <c r="D33" s="6">
        <v>270.33759763811997</v>
      </c>
    </row>
    <row r="34" spans="1:4">
      <c r="A34" t="s">
        <v>36</v>
      </c>
      <c r="B34" s="7">
        <v>192</v>
      </c>
      <c r="C34" s="7">
        <v>139.04103150819901</v>
      </c>
      <c r="D34" s="7">
        <v>-278.39160119088001</v>
      </c>
    </row>
    <row r="35" spans="1:4">
      <c r="A35" t="s">
        <v>373</v>
      </c>
      <c r="B35" s="7">
        <v>55</v>
      </c>
      <c r="C35" s="7">
        <v>-35</v>
      </c>
      <c r="D35" s="7">
        <v>-1961.2428918155999</v>
      </c>
    </row>
    <row r="36" spans="1:4">
      <c r="A36" t="s">
        <v>376</v>
      </c>
      <c r="B36" s="7">
        <v>55</v>
      </c>
      <c r="C36" s="7">
        <v>20</v>
      </c>
      <c r="D36" s="7">
        <v>-925.57036617120002</v>
      </c>
    </row>
  </sheetData>
  <phoneticPr fontId="3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6CDC1-5CFB-4107-B057-6ED5C667D359}">
  <dimension ref="A1:I63"/>
  <sheetViews>
    <sheetView zoomScale="80" zoomScaleNormal="80" workbookViewId="0">
      <selection activeCell="I29" sqref="I29"/>
    </sheetView>
  </sheetViews>
  <sheetFormatPr defaultRowHeight="14.45"/>
  <cols>
    <col min="1" max="1" width="14.85546875" customWidth="1"/>
    <col min="2" max="2" width="40.5703125" bestFit="1" customWidth="1"/>
    <col min="3" max="3" width="16.85546875" bestFit="1" customWidth="1"/>
    <col min="4" max="4" width="12.7109375" bestFit="1" customWidth="1"/>
  </cols>
  <sheetData>
    <row r="1" spans="1:9">
      <c r="A1" t="s">
        <v>403</v>
      </c>
    </row>
    <row r="3" spans="1:9">
      <c r="B3" t="s">
        <v>404</v>
      </c>
      <c r="C3" t="s">
        <v>405</v>
      </c>
      <c r="D3" t="s">
        <v>406</v>
      </c>
      <c r="E3" t="s">
        <v>407</v>
      </c>
      <c r="F3" t="s">
        <v>344</v>
      </c>
    </row>
    <row r="5" spans="1:9">
      <c r="A5">
        <v>1</v>
      </c>
      <c r="B5" s="2" t="s">
        <v>433</v>
      </c>
      <c r="C5" s="2">
        <v>298.83801310000001</v>
      </c>
      <c r="D5" s="2">
        <v>730</v>
      </c>
      <c r="E5" s="2">
        <v>94350.950630000007</v>
      </c>
      <c r="F5" s="2">
        <f>E5/(D5-C5)</f>
        <v>218.82947360079532</v>
      </c>
      <c r="I5">
        <v>1</v>
      </c>
    </row>
    <row r="7" spans="1:9">
      <c r="A7">
        <v>2</v>
      </c>
      <c r="B7" s="3" t="s">
        <v>434</v>
      </c>
      <c r="C7" s="3">
        <v>673.30655879999995</v>
      </c>
      <c r="D7" s="3">
        <v>338.15</v>
      </c>
      <c r="E7" s="3">
        <v>-68281.11318</v>
      </c>
      <c r="F7" s="3">
        <f>E7/(D7-C7)</f>
        <v>203.72900779407337</v>
      </c>
      <c r="I7">
        <v>1</v>
      </c>
    </row>
    <row r="9" spans="1:9">
      <c r="A9">
        <v>3</v>
      </c>
      <c r="B9" s="3" t="s">
        <v>435</v>
      </c>
      <c r="C9" s="3">
        <v>338.15</v>
      </c>
      <c r="D9" s="3">
        <v>293.14999999999998</v>
      </c>
      <c r="E9" s="3">
        <v>-3299.8001389999999</v>
      </c>
      <c r="F9" s="3">
        <f>E9/(D9-C9)</f>
        <v>73.328891977777772</v>
      </c>
    </row>
    <row r="11" spans="1:9">
      <c r="A11">
        <v>4</v>
      </c>
      <c r="B11" s="2" t="s">
        <v>436</v>
      </c>
      <c r="C11" s="2">
        <v>330.94764493713302</v>
      </c>
      <c r="D11" s="2">
        <v>333.15</v>
      </c>
      <c r="E11" s="2">
        <v>-331.36426213523998</v>
      </c>
      <c r="F11" s="2">
        <f>E11/(D11-C11)</f>
        <v>-150.45905527325843</v>
      </c>
    </row>
    <row r="13" spans="1:9">
      <c r="A13">
        <v>5</v>
      </c>
      <c r="B13" s="2" t="s">
        <v>437</v>
      </c>
      <c r="C13" s="2">
        <v>333.16141979999998</v>
      </c>
      <c r="D13" s="2">
        <v>360.45493371421298</v>
      </c>
      <c r="E13" s="2">
        <v>43254.995990000003</v>
      </c>
      <c r="F13" s="2">
        <f>E13/(D13-C13)</f>
        <v>1584.8086151880614</v>
      </c>
      <c r="I13">
        <v>1</v>
      </c>
    </row>
    <row r="15" spans="1:9">
      <c r="A15">
        <v>6</v>
      </c>
      <c r="B15" s="4" t="s">
        <v>438</v>
      </c>
      <c r="C15" s="4">
        <v>333.16141979999998</v>
      </c>
      <c r="D15" s="4">
        <v>338.302783224118</v>
      </c>
      <c r="E15" s="4">
        <v>-38337.702129999998</v>
      </c>
      <c r="F15" s="4">
        <f>E15/(D15-C15)</f>
        <v>-7456.7189609975158</v>
      </c>
      <c r="I15">
        <v>1</v>
      </c>
    </row>
    <row r="17" spans="1:9">
      <c r="A17">
        <v>7</v>
      </c>
      <c r="B17" s="2" t="s">
        <v>439</v>
      </c>
      <c r="C17" s="2">
        <f>60.02529587+273.15</f>
        <v>333.17529586999996</v>
      </c>
      <c r="D17" s="2">
        <f>147.1454948+273.15</f>
        <v>420.29549479999997</v>
      </c>
      <c r="E17" s="2">
        <v>56602.160600000003</v>
      </c>
      <c r="F17" s="2">
        <f>E17/(D17-C17)</f>
        <v>649.70192096874257</v>
      </c>
      <c r="I17">
        <v>1</v>
      </c>
    </row>
    <row r="19" spans="1:9">
      <c r="A19">
        <v>8</v>
      </c>
      <c r="B19" s="4" t="s">
        <v>440</v>
      </c>
      <c r="C19" s="4">
        <f>60.02529587+273.15</f>
        <v>333.17529586999996</v>
      </c>
      <c r="D19" s="4">
        <f>273.15+103.818738</f>
        <v>376.96873799999997</v>
      </c>
      <c r="E19" s="4">
        <v>-27094.85987</v>
      </c>
      <c r="F19" s="4">
        <f>E19/(D19-C19)</f>
        <v>-618.69673978970218</v>
      </c>
      <c r="I19">
        <v>1</v>
      </c>
    </row>
    <row r="21" spans="1:9">
      <c r="A21">
        <v>9</v>
      </c>
      <c r="B21" s="2" t="s">
        <v>441</v>
      </c>
      <c r="C21" s="2">
        <v>87.351292389999998</v>
      </c>
      <c r="D21" s="2">
        <v>101.12218230000001</v>
      </c>
      <c r="E21" s="2">
        <v>2211.5196930000002</v>
      </c>
      <c r="F21" s="2">
        <f>E21/(D21-C21)</f>
        <v>160.59381110831922</v>
      </c>
      <c r="I21">
        <v>1</v>
      </c>
    </row>
    <row r="23" spans="1:9">
      <c r="A23">
        <v>10</v>
      </c>
      <c r="B23" s="3" t="s">
        <v>442</v>
      </c>
      <c r="C23" s="3">
        <v>87.351292389999998</v>
      </c>
      <c r="D23" s="3">
        <v>77.235272359999996</v>
      </c>
      <c r="E23" s="3">
        <v>-2150.2932070000002</v>
      </c>
      <c r="F23" s="3">
        <f>E23/(D23-C23)</f>
        <v>212.56316225384143</v>
      </c>
      <c r="I23">
        <v>1</v>
      </c>
    </row>
    <row r="25" spans="1:9">
      <c r="A25">
        <v>11</v>
      </c>
      <c r="B25" s="3" t="s">
        <v>443</v>
      </c>
      <c r="C25" s="3">
        <v>338.31169340000002</v>
      </c>
      <c r="D25" s="3">
        <v>293</v>
      </c>
      <c r="E25" s="3">
        <v>-5159.4261710000001</v>
      </c>
      <c r="F25" s="3">
        <f>E25/(D25-C25)</f>
        <v>113.86522515179266</v>
      </c>
      <c r="I25">
        <v>1</v>
      </c>
    </row>
    <row r="27" spans="1:9">
      <c r="A27">
        <v>12</v>
      </c>
      <c r="B27" s="3" t="s">
        <v>444</v>
      </c>
      <c r="C27" s="3">
        <v>350.38527240000002</v>
      </c>
      <c r="D27" s="3">
        <v>293</v>
      </c>
      <c r="E27" s="3">
        <v>-141.72470899999999</v>
      </c>
      <c r="F27" s="3">
        <f>E27/(D27-C27)</f>
        <v>2.469705258382636</v>
      </c>
      <c r="I27">
        <v>1</v>
      </c>
    </row>
    <row r="29" spans="1:9">
      <c r="A29">
        <v>13</v>
      </c>
      <c r="B29" s="3" t="s">
        <v>445</v>
      </c>
      <c r="C29" s="3">
        <v>410.2037699</v>
      </c>
      <c r="D29" s="3">
        <v>238.15</v>
      </c>
      <c r="E29" s="3">
        <v>-3188.0685319999998</v>
      </c>
      <c r="F29" s="3">
        <f>E29/(D29-C29)</f>
        <v>18.529489553486382</v>
      </c>
    </row>
    <row r="31" spans="1:9">
      <c r="A31">
        <v>14</v>
      </c>
      <c r="B31" s="2" t="s">
        <v>446</v>
      </c>
      <c r="C31" s="2">
        <v>-34.94322614</v>
      </c>
      <c r="D31" s="2">
        <v>148.58929649999999</v>
      </c>
      <c r="E31" s="2">
        <v>-273.0835113</v>
      </c>
      <c r="F31" s="2">
        <f>E31/(D31-C31)</f>
        <v>-1.4879298086893009</v>
      </c>
      <c r="I31">
        <v>1</v>
      </c>
    </row>
    <row r="33" spans="1:9">
      <c r="A33">
        <v>15</v>
      </c>
      <c r="B33" s="2" t="s">
        <v>447</v>
      </c>
      <c r="C33" s="2">
        <v>-34.94322614</v>
      </c>
      <c r="D33" s="2">
        <v>120.26112019999999</v>
      </c>
      <c r="E33" s="2">
        <v>531.27173540000001</v>
      </c>
      <c r="F33" s="2">
        <f>E33/(D33-C33)</f>
        <v>3.4230467633693977</v>
      </c>
      <c r="I33">
        <v>1</v>
      </c>
    </row>
    <row r="35" spans="1:9">
      <c r="A35">
        <v>16</v>
      </c>
      <c r="B35" s="2" t="s">
        <v>448</v>
      </c>
      <c r="C35" s="2">
        <v>393.47168799999997</v>
      </c>
      <c r="D35" s="2">
        <v>414.61643859999998</v>
      </c>
      <c r="E35" s="2">
        <v>141.0768277</v>
      </c>
      <c r="F35" s="2">
        <f>E35/(D35-C35)</f>
        <v>6.6719551518380138</v>
      </c>
      <c r="I35">
        <v>1</v>
      </c>
    </row>
    <row r="37" spans="1:9">
      <c r="A37">
        <v>17</v>
      </c>
      <c r="B37" s="3" t="s">
        <v>449</v>
      </c>
      <c r="C37" s="3">
        <v>393.47168799999997</v>
      </c>
      <c r="D37" s="3">
        <v>384.4127957</v>
      </c>
      <c r="E37" s="3">
        <v>-134.8870081</v>
      </c>
      <c r="F37" s="3">
        <f>E37/(D37-C37)</f>
        <v>14.890011232388808</v>
      </c>
      <c r="I37">
        <v>1</v>
      </c>
    </row>
    <row r="39" spans="1:9">
      <c r="A39">
        <v>18</v>
      </c>
      <c r="B39" s="2" t="s">
        <v>450</v>
      </c>
      <c r="C39" s="2">
        <v>419.03234379999998</v>
      </c>
      <c r="D39" s="2">
        <v>465.15</v>
      </c>
      <c r="E39" s="2">
        <v>270.32756519999998</v>
      </c>
      <c r="F39" s="2">
        <f>E39/(D39-C39)</f>
        <v>5.8616934917000396</v>
      </c>
      <c r="I39">
        <v>1</v>
      </c>
    </row>
    <row r="41" spans="1:9">
      <c r="A41">
        <v>19</v>
      </c>
      <c r="B41" s="3" t="s">
        <v>451</v>
      </c>
      <c r="C41" s="3">
        <v>465.15</v>
      </c>
      <c r="D41" s="3">
        <v>412.21231569999998</v>
      </c>
      <c r="E41" s="3">
        <v>-278.3799866</v>
      </c>
      <c r="F41" s="3">
        <f>E41/(D41-C41)</f>
        <v>5.2586355123206623</v>
      </c>
      <c r="I41">
        <v>1</v>
      </c>
    </row>
    <row r="43" spans="1:9">
      <c r="A43">
        <v>20</v>
      </c>
      <c r="B43" s="2" t="s">
        <v>452</v>
      </c>
      <c r="C43" s="2">
        <v>412.33801679999999</v>
      </c>
      <c r="D43" s="2">
        <v>436.1105695</v>
      </c>
      <c r="E43" s="2">
        <v>2284.8578000000002</v>
      </c>
      <c r="F43" s="2">
        <f>E43/(D43-C43)</f>
        <v>96.113270999289853</v>
      </c>
      <c r="I43">
        <v>1</v>
      </c>
    </row>
    <row r="45" spans="1:9">
      <c r="A45">
        <v>21</v>
      </c>
      <c r="B45" s="3" t="s">
        <v>453</v>
      </c>
      <c r="C45" s="3">
        <v>412.33801679999999</v>
      </c>
      <c r="D45" s="3">
        <v>410.02995019999997</v>
      </c>
      <c r="E45" s="3">
        <v>-2278.050131</v>
      </c>
      <c r="F45" s="3">
        <f>E45/(D45-C45)</f>
        <v>986.99497276204352</v>
      </c>
      <c r="I45">
        <v>1</v>
      </c>
    </row>
    <row r="47" spans="1:9">
      <c r="A47">
        <v>22</v>
      </c>
      <c r="B47" s="4" t="s">
        <v>454</v>
      </c>
      <c r="C47" s="4">
        <v>293.02189770000001</v>
      </c>
      <c r="D47" s="4">
        <v>307.30859420000002</v>
      </c>
      <c r="E47" s="4">
        <v>-1936.8665129999999</v>
      </c>
      <c r="F47" s="4">
        <f>E47/(D47-C47)</f>
        <v>-135.57133470288244</v>
      </c>
      <c r="I47">
        <v>1</v>
      </c>
    </row>
    <row r="49" spans="1:9">
      <c r="A49">
        <v>23</v>
      </c>
      <c r="B49" s="2" t="s">
        <v>455</v>
      </c>
      <c r="C49" s="2">
        <v>293.02189770000001</v>
      </c>
      <c r="D49" s="2">
        <v>388.1032548</v>
      </c>
      <c r="E49" s="2">
        <v>2857.80537</v>
      </c>
      <c r="F49" s="2">
        <f>E49/(D49-C49)</f>
        <v>30.056421754628072</v>
      </c>
      <c r="I49">
        <v>1</v>
      </c>
    </row>
    <row r="51" spans="1:9">
      <c r="A51">
        <v>24</v>
      </c>
      <c r="B51" s="4" t="s">
        <v>456</v>
      </c>
      <c r="C51" s="4">
        <v>308.02184670000003</v>
      </c>
      <c r="D51" s="4">
        <v>341.86693989999998</v>
      </c>
      <c r="E51" s="4">
        <v>-2015.4773889999999</v>
      </c>
      <c r="F51" s="4">
        <f>E51/(D51-C51)</f>
        <v>-59.550061720616057</v>
      </c>
      <c r="I51">
        <v>1</v>
      </c>
    </row>
    <row r="53" spans="1:9">
      <c r="A53">
        <v>25</v>
      </c>
      <c r="B53" s="2" t="s">
        <v>457</v>
      </c>
      <c r="C53" s="2">
        <v>308.02184670000003</v>
      </c>
      <c r="D53" s="2">
        <v>434.57382039999999</v>
      </c>
      <c r="E53" s="2">
        <v>2178.1186630000002</v>
      </c>
      <c r="F53" s="2">
        <f>E53/(D53-C53)</f>
        <v>17.211257946583892</v>
      </c>
      <c r="I53">
        <v>1</v>
      </c>
    </row>
    <row r="55" spans="1:9">
      <c r="A55">
        <v>26</v>
      </c>
      <c r="B55" s="3" t="s">
        <v>458</v>
      </c>
      <c r="C55" s="3">
        <v>434.57382039999999</v>
      </c>
      <c r="D55" s="3">
        <v>330.23759890000002</v>
      </c>
      <c r="E55" s="3">
        <v>-751.60920299999998</v>
      </c>
      <c r="F55" s="3">
        <f>E55/(D55-C55)</f>
        <v>7.203722659249264</v>
      </c>
      <c r="I55">
        <v>1</v>
      </c>
    </row>
    <row r="57" spans="1:9">
      <c r="A57">
        <v>27</v>
      </c>
      <c r="B57" s="3" t="s">
        <v>459</v>
      </c>
      <c r="C57" s="3">
        <v>434.57382039999999</v>
      </c>
      <c r="D57" s="3">
        <v>387.18077369999997</v>
      </c>
      <c r="E57" s="3">
        <v>668.16791599999999</v>
      </c>
      <c r="F57" s="3">
        <f>E57/(D57-C57)</f>
        <v>-14.098437693392684</v>
      </c>
      <c r="I57">
        <v>1</v>
      </c>
    </row>
    <row r="59" spans="1:9">
      <c r="A59">
        <v>28</v>
      </c>
      <c r="B59" s="4" t="s">
        <v>460</v>
      </c>
      <c r="C59" s="4">
        <v>330.24713430000003</v>
      </c>
      <c r="D59" s="4">
        <v>330.53353650000003</v>
      </c>
      <c r="E59" s="4">
        <v>-626.31554530000005</v>
      </c>
      <c r="F59" s="4">
        <f>E59/(D59-C59)</f>
        <v>-2186.8391559143229</v>
      </c>
      <c r="I59">
        <v>1</v>
      </c>
    </row>
    <row r="61" spans="1:9">
      <c r="A61">
        <v>29</v>
      </c>
      <c r="B61" s="2" t="s">
        <v>461</v>
      </c>
      <c r="C61" s="2">
        <v>330.24713430000003</v>
      </c>
      <c r="D61" s="2">
        <v>344.66575440000003</v>
      </c>
      <c r="E61" s="2">
        <v>637.24420280000004</v>
      </c>
      <c r="F61" s="2">
        <f>E61/(D61-C61)</f>
        <v>44.195921550079547</v>
      </c>
      <c r="I61">
        <v>1</v>
      </c>
    </row>
    <row r="63" spans="1:9">
      <c r="A63">
        <v>30</v>
      </c>
      <c r="B63" s="3" t="s">
        <v>462</v>
      </c>
      <c r="C63" s="3">
        <v>376.95904735823598</v>
      </c>
      <c r="D63" s="3">
        <v>328.15</v>
      </c>
      <c r="E63" s="3">
        <v>-29030.112838043999</v>
      </c>
      <c r="F63" s="3">
        <f>E63/(D63-C63)</f>
        <v>594.76909321700748</v>
      </c>
      <c r="I63">
        <v>1</v>
      </c>
    </row>
  </sheetData>
  <phoneticPr fontId="3" type="noConversion"/>
  <conditionalFormatting sqref="D7">
    <cfRule type="cellIs" dxfId="0" priority="1" operator="greaterThan">
      <formula>$C$7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502AD-4AC8-4119-9C97-1A05FF8306F6}">
  <dimension ref="A1:AJ36"/>
  <sheetViews>
    <sheetView topLeftCell="T1" zoomScale="70" zoomScaleNormal="70" workbookViewId="0">
      <selection activeCell="X37" sqref="X37"/>
    </sheetView>
  </sheetViews>
  <sheetFormatPr defaultRowHeight="14.45"/>
  <cols>
    <col min="1" max="1" width="3.28515625" bestFit="1" customWidth="1"/>
    <col min="2" max="2" width="24.7109375" bestFit="1" customWidth="1"/>
    <col min="3" max="4" width="12.85546875" bestFit="1" customWidth="1"/>
    <col min="5" max="5" width="13.5703125" bestFit="1" customWidth="1"/>
    <col min="6" max="6" width="16.85546875" bestFit="1" customWidth="1"/>
    <col min="7" max="7" width="13.5703125" bestFit="1" customWidth="1"/>
    <col min="8" max="8" width="2.85546875" customWidth="1"/>
    <col min="9" max="9" width="7.140625" bestFit="1" customWidth="1"/>
    <col min="10" max="10" width="13.5703125" bestFit="1" customWidth="1"/>
    <col min="11" max="11" width="10.5703125" bestFit="1" customWidth="1"/>
    <col min="12" max="12" width="12.42578125" bestFit="1" customWidth="1"/>
    <col min="13" max="13" width="15.42578125" bestFit="1" customWidth="1"/>
    <col min="14" max="14" width="1.5703125" bestFit="1" customWidth="1"/>
    <col min="15" max="15" width="15.85546875" bestFit="1" customWidth="1"/>
    <col min="16" max="18" width="12.85546875" bestFit="1" customWidth="1"/>
    <col min="19" max="19" width="16.85546875" bestFit="1" customWidth="1"/>
    <col min="20" max="20" width="3.28515625" bestFit="1" customWidth="1"/>
    <col min="21" max="21" width="10.28515625" bestFit="1" customWidth="1"/>
    <col min="22" max="23" width="12.85546875" bestFit="1" customWidth="1"/>
    <col min="24" max="24" width="16.85546875" bestFit="1" customWidth="1"/>
    <col min="25" max="25" width="2.28515625" bestFit="1" customWidth="1"/>
    <col min="26" max="27" width="12.85546875" bestFit="1" customWidth="1"/>
    <col min="28" max="28" width="7.85546875" bestFit="1" customWidth="1"/>
    <col min="29" max="33" width="12.85546875" bestFit="1" customWidth="1"/>
    <col min="35" max="36" width="12.85546875" bestFit="1" customWidth="1"/>
  </cols>
  <sheetData>
    <row r="1" spans="1:32">
      <c r="A1" s="13"/>
      <c r="B1" s="13"/>
      <c r="C1" s="14" t="s">
        <v>367</v>
      </c>
      <c r="D1" s="14" t="s">
        <v>368</v>
      </c>
      <c r="E1" s="15" t="s">
        <v>369</v>
      </c>
      <c r="F1" s="15" t="s">
        <v>370</v>
      </c>
      <c r="G1" s="15" t="s">
        <v>344</v>
      </c>
      <c r="I1" s="31" t="s">
        <v>41</v>
      </c>
      <c r="J1" s="28">
        <f>SUM(F2:F13)</f>
        <v>201507.25340641828</v>
      </c>
    </row>
    <row r="2" spans="1:32">
      <c r="A2" s="16">
        <v>1</v>
      </c>
      <c r="B2" s="16" t="s">
        <v>372</v>
      </c>
      <c r="C2" s="16">
        <v>52.665870539244999</v>
      </c>
      <c r="D2" s="16">
        <v>456.85</v>
      </c>
      <c r="E2" s="16">
        <f>D2-C2</f>
        <v>404.184129460755</v>
      </c>
      <c r="F2" s="16">
        <v>90199.818812879996</v>
      </c>
      <c r="G2" s="16">
        <f>F2/E2</f>
        <v>223.16516715592147</v>
      </c>
      <c r="I2" s="32" t="s">
        <v>42</v>
      </c>
      <c r="J2" s="28">
        <f>SUM(F18:F34)</f>
        <v>-181628.09887522247</v>
      </c>
      <c r="O2" s="9"/>
      <c r="P2" s="9"/>
      <c r="Q2" s="179" t="s">
        <v>367</v>
      </c>
      <c r="R2" s="179" t="s">
        <v>368</v>
      </c>
      <c r="S2" s="180" t="s">
        <v>370</v>
      </c>
      <c r="V2" s="183" t="s">
        <v>367</v>
      </c>
      <c r="W2" s="183" t="s">
        <v>368</v>
      </c>
      <c r="X2" s="51" t="s">
        <v>370</v>
      </c>
      <c r="Z2" s="483" t="s">
        <v>463</v>
      </c>
      <c r="AA2" s="483"/>
      <c r="AE2" s="42" t="s">
        <v>264</v>
      </c>
      <c r="AF2" s="42" t="s">
        <v>265</v>
      </c>
    </row>
    <row r="3" spans="1:32">
      <c r="A3" s="16">
        <v>2</v>
      </c>
      <c r="B3" s="16" t="s">
        <v>378</v>
      </c>
      <c r="C3" s="16">
        <f t="shared" ref="C3:C12" si="0">D3-1</f>
        <v>86.301073542672995</v>
      </c>
      <c r="D3" s="16">
        <v>87.301073542672995</v>
      </c>
      <c r="E3" s="16">
        <f t="shared" ref="E3:E14" si="1">D3-C3</f>
        <v>1</v>
      </c>
      <c r="F3" s="16">
        <v>43255.934667000001</v>
      </c>
      <c r="G3" s="16">
        <f t="shared" ref="G3:G14" si="2">F3/E3</f>
        <v>43255.934667000001</v>
      </c>
      <c r="I3" s="32" t="s">
        <v>45</v>
      </c>
      <c r="J3" s="28">
        <f>J1+J2</f>
        <v>19879.154531195818</v>
      </c>
      <c r="K3" t="s">
        <v>464</v>
      </c>
      <c r="O3" s="34">
        <v>2</v>
      </c>
      <c r="P3" s="34" t="s">
        <v>378</v>
      </c>
      <c r="Q3" s="10">
        <f>R3-1</f>
        <v>86.301073542672995</v>
      </c>
      <c r="R3" s="10">
        <v>87.301073542672995</v>
      </c>
      <c r="S3" s="10">
        <v>43255.934667000001</v>
      </c>
      <c r="T3" s="178">
        <v>2</v>
      </c>
      <c r="U3" s="178" t="s">
        <v>394</v>
      </c>
      <c r="V3" s="181">
        <f>W3+1</f>
        <v>66.150063343529993</v>
      </c>
      <c r="W3" s="181">
        <v>65.150063343529993</v>
      </c>
      <c r="X3" s="181">
        <v>38338.744811183999</v>
      </c>
      <c r="Y3" t="s">
        <v>465</v>
      </c>
      <c r="Z3">
        <f>Q3</f>
        <v>86.301073542672995</v>
      </c>
      <c r="AA3">
        <f>V3</f>
        <v>66.150063343529993</v>
      </c>
      <c r="AE3" s="181">
        <v>456.85</v>
      </c>
      <c r="AF3" s="184">
        <v>31998.19584522357</v>
      </c>
    </row>
    <row r="4" spans="1:32">
      <c r="A4" s="16">
        <v>3</v>
      </c>
      <c r="B4" s="16" t="s">
        <v>390</v>
      </c>
      <c r="C4" s="16">
        <f t="shared" si="0"/>
        <v>146.14737264148201</v>
      </c>
      <c r="D4" s="16">
        <v>147.14737264148201</v>
      </c>
      <c r="E4" s="16">
        <f t="shared" si="1"/>
        <v>1</v>
      </c>
      <c r="F4" s="16">
        <v>56628.094897080002</v>
      </c>
      <c r="G4" s="16">
        <f t="shared" si="2"/>
        <v>56628.094897080002</v>
      </c>
      <c r="O4" s="34">
        <v>8</v>
      </c>
      <c r="P4" s="34" t="s">
        <v>382</v>
      </c>
      <c r="Q4" s="10">
        <f>R4-1</f>
        <v>113.898087382238</v>
      </c>
      <c r="R4" s="10">
        <v>114.898087382238</v>
      </c>
      <c r="S4" s="10">
        <v>2457.0863903735999</v>
      </c>
      <c r="T4" s="178">
        <v>8</v>
      </c>
      <c r="U4" s="178" t="s">
        <v>352</v>
      </c>
      <c r="V4" s="181">
        <f>W4+1</f>
        <v>35.237975520699003</v>
      </c>
      <c r="W4" s="181">
        <v>34.237975520699003</v>
      </c>
      <c r="X4" s="182">
        <v>1941.3120951504</v>
      </c>
      <c r="Y4" t="s">
        <v>465</v>
      </c>
      <c r="Z4">
        <f>Q4</f>
        <v>113.898087382238</v>
      </c>
      <c r="AA4">
        <f>V4</f>
        <v>35.237975520699003</v>
      </c>
      <c r="AE4" s="181">
        <v>380.154028617682</v>
      </c>
      <c r="AF4" s="184">
        <v>30929.466683099417</v>
      </c>
    </row>
    <row r="5" spans="1:32">
      <c r="A5" s="16">
        <v>4</v>
      </c>
      <c r="B5" s="16" t="s">
        <v>380</v>
      </c>
      <c r="C5" s="16">
        <f t="shared" si="0"/>
        <v>100.12182914109501</v>
      </c>
      <c r="D5" s="16">
        <v>101.12182914109501</v>
      </c>
      <c r="E5" s="16">
        <f t="shared" si="1"/>
        <v>1</v>
      </c>
      <c r="F5" s="16">
        <v>2211.2800364484001</v>
      </c>
      <c r="G5" s="16">
        <f t="shared" si="2"/>
        <v>2211.2800364484001</v>
      </c>
      <c r="O5" s="34">
        <v>9</v>
      </c>
      <c r="P5" s="34" t="s">
        <v>393</v>
      </c>
      <c r="Q5" s="10">
        <f>R5-1</f>
        <v>160.569383733248</v>
      </c>
      <c r="R5" s="10">
        <v>161.569383733248</v>
      </c>
      <c r="S5" s="10">
        <v>2179.5103803348002</v>
      </c>
      <c r="T5" s="178">
        <v>9</v>
      </c>
      <c r="U5" s="178" t="s">
        <v>396</v>
      </c>
      <c r="V5" s="181">
        <f>W5+1</f>
        <v>69.531262298488002</v>
      </c>
      <c r="W5" s="181">
        <v>68.531262298488002</v>
      </c>
      <c r="X5" s="182">
        <v>2016.5455584576</v>
      </c>
      <c r="Y5" t="s">
        <v>465</v>
      </c>
      <c r="Z5">
        <f>Q5</f>
        <v>160.569383733248</v>
      </c>
      <c r="AA5">
        <f>V5</f>
        <v>69.531262298488002</v>
      </c>
      <c r="AE5" s="181">
        <v>195.2</v>
      </c>
      <c r="AF5" s="184">
        <v>28352.202708558601</v>
      </c>
    </row>
    <row r="6" spans="1:32">
      <c r="A6" s="16">
        <v>5</v>
      </c>
      <c r="B6" s="16" t="s">
        <v>391</v>
      </c>
      <c r="C6" s="16">
        <f t="shared" si="0"/>
        <v>147.588663490973</v>
      </c>
      <c r="D6" s="16">
        <v>148.588663490973</v>
      </c>
      <c r="E6" s="16">
        <f t="shared" si="1"/>
        <v>1</v>
      </c>
      <c r="F6" s="16">
        <v>530.83988793720005</v>
      </c>
      <c r="G6" s="16">
        <f t="shared" si="2"/>
        <v>530.83988793720005</v>
      </c>
      <c r="O6" s="34">
        <v>10</v>
      </c>
      <c r="P6" s="34" t="s">
        <v>384</v>
      </c>
      <c r="Q6" s="10">
        <f>R6-1</f>
        <v>115.734199698658</v>
      </c>
      <c r="R6" s="10">
        <v>116.734199698658</v>
      </c>
      <c r="S6" s="10">
        <v>673.77412077120005</v>
      </c>
      <c r="T6" s="178">
        <v>10</v>
      </c>
      <c r="U6" s="178" t="s">
        <v>387</v>
      </c>
      <c r="V6" s="181">
        <f>W6+1</f>
        <v>58.090125847096999</v>
      </c>
      <c r="W6" s="181">
        <v>57.090125847096999</v>
      </c>
      <c r="X6" s="182">
        <v>757.81360096920002</v>
      </c>
      <c r="Y6" t="s">
        <v>465</v>
      </c>
      <c r="Z6">
        <f>Q6</f>
        <v>115.734199698658</v>
      </c>
      <c r="AA6">
        <f>V6</f>
        <v>58.090125847096999</v>
      </c>
      <c r="AE6" s="181">
        <v>192</v>
      </c>
      <c r="AF6" s="184">
        <v>26788.059826141023</v>
      </c>
    </row>
    <row r="7" spans="1:32">
      <c r="A7" s="16">
        <v>6</v>
      </c>
      <c r="B7" s="16" t="s">
        <v>386</v>
      </c>
      <c r="C7" s="16">
        <f t="shared" si="0"/>
        <v>140.397197347413</v>
      </c>
      <c r="D7" s="16">
        <v>141.397197347413</v>
      </c>
      <c r="E7" s="16">
        <f t="shared" si="1"/>
        <v>1</v>
      </c>
      <c r="F7" s="16">
        <v>140.76350640612</v>
      </c>
      <c r="G7" s="16">
        <f t="shared" si="2"/>
        <v>140.76350640612</v>
      </c>
      <c r="S7">
        <f>SUM(S3:S6)</f>
        <v>48566.305558479609</v>
      </c>
      <c r="AE7" s="181">
        <v>172</v>
      </c>
      <c r="AF7" s="184">
        <v>16894.98859041723</v>
      </c>
    </row>
    <row r="8" spans="1:32">
      <c r="A8" s="16">
        <v>7</v>
      </c>
      <c r="B8" s="16" t="s">
        <v>395</v>
      </c>
      <c r="C8" s="16">
        <f t="shared" si="0"/>
        <v>161.96057230656001</v>
      </c>
      <c r="D8" s="16">
        <v>162.96057230656001</v>
      </c>
      <c r="E8" s="16">
        <f t="shared" si="1"/>
        <v>1</v>
      </c>
      <c r="F8" s="16">
        <v>2284.8889208723999</v>
      </c>
      <c r="G8" s="16">
        <f t="shared" si="2"/>
        <v>2284.8889208723999</v>
      </c>
      <c r="AE8" s="181">
        <v>145.858729681705</v>
      </c>
      <c r="AF8" s="184">
        <v>3993.3280214410152</v>
      </c>
    </row>
    <row r="9" spans="1:32">
      <c r="A9" s="16">
        <v>8</v>
      </c>
      <c r="B9" s="16" t="s">
        <v>382</v>
      </c>
      <c r="C9" s="16">
        <f t="shared" si="0"/>
        <v>113.898087382238</v>
      </c>
      <c r="D9" s="16">
        <v>114.898087382238</v>
      </c>
      <c r="E9" s="16">
        <f t="shared" si="1"/>
        <v>1</v>
      </c>
      <c r="F9" s="16">
        <v>2457.0863903735999</v>
      </c>
      <c r="G9" s="16">
        <f t="shared" si="2"/>
        <v>2457.0863903735999</v>
      </c>
      <c r="O9" s="34">
        <v>3</v>
      </c>
      <c r="P9" s="34" t="s">
        <v>390</v>
      </c>
      <c r="Q9" s="10">
        <f t="shared" ref="Q9:Q14" si="3">R9-1</f>
        <v>146.14737264148201</v>
      </c>
      <c r="R9" s="10">
        <v>147.14737264148201</v>
      </c>
      <c r="S9" s="10">
        <v>56628.094897080002</v>
      </c>
      <c r="T9" s="178">
        <v>3</v>
      </c>
      <c r="U9" s="178" t="s">
        <v>398</v>
      </c>
      <c r="V9" s="181">
        <f t="shared" ref="V9:V14" si="4">W9+1</f>
        <v>104.805621619002</v>
      </c>
      <c r="W9" s="181">
        <v>103.805621619002</v>
      </c>
      <c r="X9" s="182">
        <v>27109.033529256001</v>
      </c>
      <c r="Z9">
        <f t="shared" ref="Z9:Z14" si="5">Q9</f>
        <v>146.14737264148201</v>
      </c>
      <c r="AA9">
        <f t="shared" ref="AA9:AA14" si="6">V9</f>
        <v>104.805621619002</v>
      </c>
      <c r="AE9" s="181">
        <v>137.5</v>
      </c>
      <c r="AF9" s="184">
        <v>1292.1872345142297</v>
      </c>
    </row>
    <row r="10" spans="1:32">
      <c r="A10" s="16">
        <v>9</v>
      </c>
      <c r="B10" s="16" t="s">
        <v>393</v>
      </c>
      <c r="C10" s="16">
        <f t="shared" si="0"/>
        <v>160.569383733248</v>
      </c>
      <c r="D10" s="16">
        <v>161.569383733248</v>
      </c>
      <c r="E10" s="16">
        <f t="shared" si="1"/>
        <v>1</v>
      </c>
      <c r="F10" s="16">
        <v>2179.5103803348002</v>
      </c>
      <c r="G10" s="16">
        <f t="shared" si="2"/>
        <v>2179.5103803348002</v>
      </c>
      <c r="O10" s="34">
        <v>4</v>
      </c>
      <c r="P10" s="34" t="s">
        <v>380</v>
      </c>
      <c r="Q10" s="10">
        <f t="shared" si="3"/>
        <v>100.12182914109501</v>
      </c>
      <c r="R10" s="10">
        <v>101.12182914109501</v>
      </c>
      <c r="S10" s="10">
        <v>2211.2800364484001</v>
      </c>
      <c r="T10" s="178">
        <v>4</v>
      </c>
      <c r="U10" s="178" t="s">
        <v>397</v>
      </c>
      <c r="V10" s="181">
        <f t="shared" si="4"/>
        <v>78.177750517301007</v>
      </c>
      <c r="W10" s="181">
        <v>77.177750517301007</v>
      </c>
      <c r="X10" s="182">
        <v>2149.7103540396001</v>
      </c>
      <c r="Z10">
        <f t="shared" si="5"/>
        <v>100.12182914109501</v>
      </c>
      <c r="AA10">
        <f t="shared" si="6"/>
        <v>78.177750517301007</v>
      </c>
      <c r="AE10" s="181">
        <v>120.477</v>
      </c>
      <c r="AF10" s="184">
        <v>667.3119184079942</v>
      </c>
    </row>
    <row r="11" spans="1:32">
      <c r="A11" s="16">
        <v>10</v>
      </c>
      <c r="B11" s="16" t="s">
        <v>384</v>
      </c>
      <c r="C11" s="16">
        <f t="shared" si="0"/>
        <v>115.734199698658</v>
      </c>
      <c r="D11" s="16">
        <v>116.734199698658</v>
      </c>
      <c r="E11" s="16">
        <f t="shared" si="1"/>
        <v>1</v>
      </c>
      <c r="F11" s="16">
        <v>673.77412077120005</v>
      </c>
      <c r="G11" s="16">
        <f t="shared" si="2"/>
        <v>673.77412077120005</v>
      </c>
      <c r="O11" s="34">
        <v>5</v>
      </c>
      <c r="P11" s="34" t="s">
        <v>391</v>
      </c>
      <c r="Q11" s="10">
        <f t="shared" si="3"/>
        <v>147.588663490973</v>
      </c>
      <c r="R11" s="10">
        <v>148.588663490973</v>
      </c>
      <c r="S11" s="10">
        <v>530.83988793720005</v>
      </c>
      <c r="T11" s="178">
        <v>5</v>
      </c>
      <c r="U11" s="178" t="s">
        <v>400</v>
      </c>
      <c r="V11" s="181">
        <f t="shared" si="4"/>
        <v>121.246021571727</v>
      </c>
      <c r="W11" s="181">
        <v>120.246021571727</v>
      </c>
      <c r="X11" s="182">
        <v>272.78140265316</v>
      </c>
      <c r="Z11">
        <f t="shared" si="5"/>
        <v>147.588663490973</v>
      </c>
      <c r="AA11">
        <f t="shared" si="6"/>
        <v>121.246021571727</v>
      </c>
      <c r="AB11" t="s">
        <v>466</v>
      </c>
      <c r="AE11" s="181">
        <v>119.04300000000001</v>
      </c>
      <c r="AF11" s="184">
        <v>835.27924924324225</v>
      </c>
    </row>
    <row r="12" spans="1:32">
      <c r="A12" s="16">
        <v>11</v>
      </c>
      <c r="B12" s="16" t="s">
        <v>375</v>
      </c>
      <c r="C12" s="16">
        <f t="shared" si="0"/>
        <v>79.682662970324998</v>
      </c>
      <c r="D12" s="16">
        <v>80.682662970324998</v>
      </c>
      <c r="E12" s="16">
        <f t="shared" si="1"/>
        <v>1</v>
      </c>
      <c r="F12" s="16">
        <v>674.92418867640004</v>
      </c>
      <c r="G12" s="16">
        <f t="shared" si="2"/>
        <v>674.92418867640004</v>
      </c>
      <c r="O12" s="34">
        <v>6</v>
      </c>
      <c r="P12" s="34" t="s">
        <v>386</v>
      </c>
      <c r="Q12" s="10">
        <f t="shared" si="3"/>
        <v>140.397197347413</v>
      </c>
      <c r="R12" s="10">
        <v>141.397197347413</v>
      </c>
      <c r="S12" s="10">
        <v>140.76350640612</v>
      </c>
      <c r="T12" s="178">
        <v>6</v>
      </c>
      <c r="U12" s="178" t="s">
        <v>399</v>
      </c>
      <c r="V12" s="181">
        <f t="shared" si="4"/>
        <v>112.25895598061901</v>
      </c>
      <c r="W12" s="181">
        <v>111.25895598061901</v>
      </c>
      <c r="X12" s="182">
        <v>134.58950207603999</v>
      </c>
      <c r="Z12">
        <f t="shared" si="5"/>
        <v>140.397197347413</v>
      </c>
      <c r="AA12">
        <f t="shared" si="6"/>
        <v>112.25895598061901</v>
      </c>
      <c r="AB12" t="s">
        <v>466</v>
      </c>
      <c r="AE12" s="181">
        <v>119.04103150819901</v>
      </c>
      <c r="AF12" s="184">
        <v>835.89583293370538</v>
      </c>
    </row>
    <row r="13" spans="1:32">
      <c r="A13" s="16">
        <v>12</v>
      </c>
      <c r="B13" s="16" t="s">
        <v>388</v>
      </c>
      <c r="C13" s="16">
        <v>145.858729681705</v>
      </c>
      <c r="D13" s="16">
        <v>192</v>
      </c>
      <c r="E13" s="16">
        <f t="shared" si="1"/>
        <v>46.141270318295</v>
      </c>
      <c r="F13" s="16">
        <v>270.33759763811997</v>
      </c>
      <c r="G13" s="16">
        <f t="shared" si="2"/>
        <v>5.8589110306946015</v>
      </c>
      <c r="O13" s="34">
        <v>7</v>
      </c>
      <c r="P13" s="34" t="s">
        <v>395</v>
      </c>
      <c r="Q13" s="10">
        <f t="shared" si="3"/>
        <v>161.96057230656001</v>
      </c>
      <c r="R13" s="10">
        <v>162.96057230656001</v>
      </c>
      <c r="S13" s="10">
        <v>2284.8889208723999</v>
      </c>
      <c r="T13" s="178">
        <v>7</v>
      </c>
      <c r="U13" s="178" t="s">
        <v>401</v>
      </c>
      <c r="V13" s="181">
        <f t="shared" si="4"/>
        <v>137.85163851678701</v>
      </c>
      <c r="W13" s="181">
        <v>136.85163851678701</v>
      </c>
      <c r="X13" s="182">
        <v>2278.078471026</v>
      </c>
      <c r="Z13">
        <f t="shared" si="5"/>
        <v>161.96057230656001</v>
      </c>
      <c r="AA13">
        <f t="shared" si="6"/>
        <v>137.85163851678701</v>
      </c>
      <c r="AB13" t="s">
        <v>466</v>
      </c>
      <c r="AE13" s="181">
        <v>117.05358729018999</v>
      </c>
      <c r="AF13" s="184">
        <v>760.72041511151838</v>
      </c>
    </row>
    <row r="14" spans="1:32">
      <c r="A14" s="16">
        <v>13</v>
      </c>
      <c r="B14" s="16" t="s">
        <v>374</v>
      </c>
      <c r="C14" s="16">
        <v>57.798837461401</v>
      </c>
      <c r="D14" s="16">
        <v>60</v>
      </c>
      <c r="E14" s="16">
        <f t="shared" si="1"/>
        <v>2.2011625385990001</v>
      </c>
      <c r="F14" s="16">
        <v>-331.67532211596</v>
      </c>
      <c r="G14" s="16">
        <f t="shared" si="2"/>
        <v>-150.68188573073994</v>
      </c>
      <c r="O14" s="34">
        <v>11</v>
      </c>
      <c r="P14" s="34" t="s">
        <v>375</v>
      </c>
      <c r="Q14" s="10">
        <f t="shared" si="3"/>
        <v>79.682662970324998</v>
      </c>
      <c r="R14" s="10">
        <v>80.682662970324998</v>
      </c>
      <c r="S14" s="10">
        <v>674.92418867640004</v>
      </c>
      <c r="T14" s="178">
        <v>11</v>
      </c>
      <c r="U14" s="178" t="s">
        <v>389</v>
      </c>
      <c r="V14" s="181">
        <f t="shared" si="4"/>
        <v>58.385587871599</v>
      </c>
      <c r="W14" s="181">
        <v>57.385587871599</v>
      </c>
      <c r="X14" s="182">
        <v>656.5069913868</v>
      </c>
      <c r="Z14">
        <f t="shared" si="5"/>
        <v>79.682662970324998</v>
      </c>
      <c r="AA14">
        <f t="shared" si="6"/>
        <v>58.385587871599</v>
      </c>
      <c r="AB14" t="s">
        <v>466</v>
      </c>
      <c r="AE14" s="181">
        <v>83.805621619001997</v>
      </c>
      <c r="AF14" s="184">
        <v>9.0949470177292824E-13</v>
      </c>
    </row>
    <row r="15" spans="1:32">
      <c r="N15" s="9"/>
      <c r="O15" s="9"/>
      <c r="P15" s="9"/>
      <c r="Q15" s="9"/>
      <c r="R15" s="9"/>
      <c r="S15">
        <f>SUM(S9:S14)</f>
        <v>62470.791437420521</v>
      </c>
      <c r="AE15" s="181">
        <v>82.6</v>
      </c>
      <c r="AF15" s="184">
        <v>74.941865611812375</v>
      </c>
    </row>
    <row r="16" spans="1:32">
      <c r="N16" s="9"/>
      <c r="O16" s="9"/>
      <c r="P16" s="9"/>
      <c r="Q16" s="9"/>
      <c r="R16" s="9"/>
      <c r="AE16" s="181">
        <v>80.3</v>
      </c>
      <c r="AF16" s="184">
        <v>1507.2720116029932</v>
      </c>
    </row>
    <row r="17" spans="1:36">
      <c r="A17" s="10"/>
      <c r="B17" s="10"/>
      <c r="C17" s="11" t="s">
        <v>367</v>
      </c>
      <c r="D17" s="11" t="s">
        <v>368</v>
      </c>
      <c r="E17" s="10" t="s">
        <v>369</v>
      </c>
      <c r="F17" s="10" t="s">
        <v>371</v>
      </c>
      <c r="G17" s="10" t="s">
        <v>344</v>
      </c>
      <c r="N17" s="9"/>
      <c r="AE17" s="181">
        <v>57.177750517301007</v>
      </c>
      <c r="AF17" s="184">
        <v>30694.492785735842</v>
      </c>
    </row>
    <row r="18" spans="1:36">
      <c r="A18" s="12">
        <v>1</v>
      </c>
      <c r="B18" s="12" t="s">
        <v>392</v>
      </c>
      <c r="C18" s="12">
        <v>400.154028617682</v>
      </c>
      <c r="D18" s="12">
        <v>65</v>
      </c>
      <c r="E18" s="12">
        <f>D18-C18</f>
        <v>-335.154028617682</v>
      </c>
      <c r="F18" s="12">
        <v>-68303.572011719996</v>
      </c>
      <c r="G18" s="12">
        <f>F18/E18</f>
        <v>203.79755628608441</v>
      </c>
      <c r="N18" s="9"/>
      <c r="O18" s="41" t="s">
        <v>467</v>
      </c>
      <c r="P18" t="s">
        <v>468</v>
      </c>
      <c r="Q18" t="s">
        <v>469</v>
      </c>
      <c r="AE18" s="181">
        <v>52.665870539244999</v>
      </c>
      <c r="AF18" s="184">
        <v>36401.499640332084</v>
      </c>
    </row>
    <row r="19" spans="1:36">
      <c r="A19" s="12">
        <v>2</v>
      </c>
      <c r="B19" s="12" t="s">
        <v>394</v>
      </c>
      <c r="C19" s="12">
        <f>D19+1</f>
        <v>66.150063343529993</v>
      </c>
      <c r="D19" s="12">
        <v>65.150063343529993</v>
      </c>
      <c r="E19" s="12">
        <f t="shared" ref="E19:E36" si="7">D19-C19</f>
        <v>-1</v>
      </c>
      <c r="F19" s="12">
        <v>-38338.744811183999</v>
      </c>
      <c r="G19" s="12">
        <f t="shared" ref="G19:G36" si="8">F19/E19</f>
        <v>38338.744811183999</v>
      </c>
      <c r="N19" s="9"/>
      <c r="O19" t="s">
        <v>470</v>
      </c>
      <c r="P19">
        <v>146.14737264148201</v>
      </c>
      <c r="Q19">
        <v>147.14737264148201</v>
      </c>
      <c r="AE19" s="181">
        <v>45.150063343529993</v>
      </c>
      <c r="AF19" s="184">
        <v>50680.435477870305</v>
      </c>
    </row>
    <row r="20" spans="1:36">
      <c r="A20" s="12">
        <v>3</v>
      </c>
      <c r="B20" s="12" t="s">
        <v>398</v>
      </c>
      <c r="C20" s="12">
        <f t="shared" ref="C20:C28" si="9">D20+1</f>
        <v>104.805621619002</v>
      </c>
      <c r="D20" s="12">
        <v>103.805621619002</v>
      </c>
      <c r="E20" s="12">
        <f t="shared" si="7"/>
        <v>-1</v>
      </c>
      <c r="F20" s="12">
        <v>-27109.033529256001</v>
      </c>
      <c r="G20" s="12">
        <f t="shared" si="8"/>
        <v>27109.033529256001</v>
      </c>
      <c r="N20" s="9"/>
      <c r="O20" t="s">
        <v>471</v>
      </c>
      <c r="P20">
        <v>100.12182914109501</v>
      </c>
      <c r="Q20">
        <v>101.12182914109501</v>
      </c>
      <c r="AE20" s="181">
        <v>45</v>
      </c>
      <c r="AF20" s="184">
        <v>50965.533910817452</v>
      </c>
    </row>
    <row r="21" spans="1:36">
      <c r="A21" s="12">
        <v>4</v>
      </c>
      <c r="B21" s="12" t="s">
        <v>397</v>
      </c>
      <c r="C21" s="12">
        <f t="shared" si="9"/>
        <v>78.177750517301007</v>
      </c>
      <c r="D21" s="12">
        <v>77.177750517301007</v>
      </c>
      <c r="E21" s="12">
        <f t="shared" si="7"/>
        <v>-1</v>
      </c>
      <c r="F21" s="12">
        <v>-2149.7103540396001</v>
      </c>
      <c r="G21" s="12">
        <f t="shared" si="8"/>
        <v>2149.7103540396001</v>
      </c>
      <c r="M21" s="9"/>
      <c r="N21" s="9"/>
      <c r="O21" t="s">
        <v>305</v>
      </c>
      <c r="P21">
        <v>147.588663490973</v>
      </c>
      <c r="Q21">
        <v>148.588663490973</v>
      </c>
      <c r="AE21" s="181">
        <v>38.4</v>
      </c>
      <c r="AF21" s="184">
        <v>59957.880217919555</v>
      </c>
    </row>
    <row r="22" spans="1:36">
      <c r="A22" s="12">
        <v>5</v>
      </c>
      <c r="B22" s="12" t="s">
        <v>400</v>
      </c>
      <c r="C22" s="12">
        <f t="shared" si="9"/>
        <v>121.246021571727</v>
      </c>
      <c r="D22" s="12">
        <v>120.246021571727</v>
      </c>
      <c r="E22" s="12">
        <f t="shared" si="7"/>
        <v>-1</v>
      </c>
      <c r="F22" s="12">
        <v>-272.78140265316</v>
      </c>
      <c r="G22" s="12">
        <f t="shared" si="8"/>
        <v>272.78140265316</v>
      </c>
      <c r="O22" t="s">
        <v>472</v>
      </c>
      <c r="P22">
        <v>140.397197347413</v>
      </c>
      <c r="Q22">
        <v>141.397197347413</v>
      </c>
      <c r="AE22" s="185">
        <v>35</v>
      </c>
      <c r="AF22" s="184">
        <v>64590.301042790335</v>
      </c>
    </row>
    <row r="23" spans="1:36">
      <c r="A23" s="12">
        <v>6</v>
      </c>
      <c r="B23" s="12" t="s">
        <v>399</v>
      </c>
      <c r="C23" s="12">
        <f t="shared" si="9"/>
        <v>112.25895598061901</v>
      </c>
      <c r="D23" s="12">
        <v>111.25895598061901</v>
      </c>
      <c r="E23" s="12">
        <f t="shared" si="7"/>
        <v>-1</v>
      </c>
      <c r="F23" s="12">
        <v>-134.58950207603999</v>
      </c>
      <c r="G23" s="12">
        <f t="shared" si="8"/>
        <v>134.58950207603999</v>
      </c>
      <c r="O23" t="s">
        <v>473</v>
      </c>
      <c r="P23">
        <v>161.96057230656001</v>
      </c>
      <c r="Q23">
        <v>162.96057230656001</v>
      </c>
    </row>
    <row r="24" spans="1:36">
      <c r="A24" s="12">
        <v>7</v>
      </c>
      <c r="B24" s="12" t="s">
        <v>401</v>
      </c>
      <c r="C24" s="12">
        <f t="shared" si="9"/>
        <v>137.85163851678701</v>
      </c>
      <c r="D24" s="12">
        <v>136.85163851678701</v>
      </c>
      <c r="E24" s="12">
        <f t="shared" si="7"/>
        <v>-1</v>
      </c>
      <c r="F24" s="12">
        <v>-2278.078471026</v>
      </c>
      <c r="G24" s="12">
        <f t="shared" si="8"/>
        <v>2278.078471026</v>
      </c>
      <c r="O24" t="s">
        <v>209</v>
      </c>
      <c r="P24">
        <v>79.682662970324998</v>
      </c>
      <c r="Q24">
        <v>80.682662970324998</v>
      </c>
      <c r="AB24" s="19"/>
      <c r="AC24" s="444" t="s">
        <v>474</v>
      </c>
      <c r="AD24" s="444"/>
      <c r="AE24" s="444"/>
      <c r="AF24" s="444"/>
      <c r="AG24" s="19"/>
      <c r="AH24" s="19"/>
      <c r="AI24" s="19"/>
    </row>
    <row r="25" spans="1:36">
      <c r="A25" s="12">
        <v>8</v>
      </c>
      <c r="B25" s="12" t="s">
        <v>352</v>
      </c>
      <c r="C25" s="12">
        <f t="shared" si="9"/>
        <v>35.237975520699003</v>
      </c>
      <c r="D25" s="12">
        <v>34.237975520699003</v>
      </c>
      <c r="E25" s="12">
        <f t="shared" si="7"/>
        <v>-1</v>
      </c>
      <c r="F25" s="12">
        <v>-1941.3120951504</v>
      </c>
      <c r="G25" s="12">
        <f t="shared" si="8"/>
        <v>1941.3120951504</v>
      </c>
      <c r="AB25" s="19"/>
      <c r="AG25" s="19"/>
      <c r="AH25" s="19"/>
      <c r="AI25" s="19"/>
    </row>
    <row r="26" spans="1:36">
      <c r="A26" s="12">
        <v>9</v>
      </c>
      <c r="B26" s="12" t="s">
        <v>396</v>
      </c>
      <c r="C26" s="12">
        <f t="shared" si="9"/>
        <v>69.531262298488002</v>
      </c>
      <c r="D26" s="12">
        <v>68.531262298488002</v>
      </c>
      <c r="E26" s="12">
        <f t="shared" si="7"/>
        <v>-1</v>
      </c>
      <c r="F26" s="12">
        <v>-2016.5455584576</v>
      </c>
      <c r="G26" s="12">
        <f t="shared" si="8"/>
        <v>2016.5455584576</v>
      </c>
      <c r="AB26" s="19"/>
      <c r="AC26" t="s">
        <v>475</v>
      </c>
      <c r="AF26" t="s">
        <v>476</v>
      </c>
      <c r="AG26" s="19"/>
      <c r="AH26" s="19"/>
      <c r="AI26" s="19" t="s">
        <v>299</v>
      </c>
    </row>
    <row r="27" spans="1:36">
      <c r="A27" s="12">
        <v>10</v>
      </c>
      <c r="B27" s="12" t="s">
        <v>387</v>
      </c>
      <c r="C27" s="12">
        <f t="shared" si="9"/>
        <v>58.090125847096999</v>
      </c>
      <c r="D27" s="12">
        <v>57.090125847096999</v>
      </c>
      <c r="E27" s="12">
        <f t="shared" si="7"/>
        <v>-1</v>
      </c>
      <c r="F27" s="12">
        <v>-757.81360096920002</v>
      </c>
      <c r="G27" s="12">
        <f t="shared" si="8"/>
        <v>757.81360096920002</v>
      </c>
      <c r="AB27" s="19"/>
      <c r="AC27">
        <v>146.14737264148201</v>
      </c>
      <c r="AD27">
        <v>0</v>
      </c>
      <c r="AF27">
        <v>100.12182914109501</v>
      </c>
      <c r="AG27">
        <v>0</v>
      </c>
      <c r="AH27" s="19"/>
      <c r="AI27">
        <v>147.588663490973</v>
      </c>
      <c r="AJ27">
        <v>0</v>
      </c>
    </row>
    <row r="28" spans="1:36">
      <c r="A28" s="12">
        <v>11</v>
      </c>
      <c r="B28" s="12" t="s">
        <v>389</v>
      </c>
      <c r="C28" s="12">
        <f t="shared" si="9"/>
        <v>58.385587871599</v>
      </c>
      <c r="D28" s="12">
        <v>57.385587871599</v>
      </c>
      <c r="E28" s="12">
        <f t="shared" si="7"/>
        <v>-1</v>
      </c>
      <c r="F28" s="12">
        <v>-656.5069913868</v>
      </c>
      <c r="G28" s="12">
        <f t="shared" si="8"/>
        <v>656.5069913868</v>
      </c>
      <c r="AB28" s="19"/>
      <c r="AC28" s="19">
        <v>146.14737264148201</v>
      </c>
      <c r="AD28" s="10">
        <v>56628.094897080002</v>
      </c>
      <c r="AF28" s="19">
        <v>100.12182914109501</v>
      </c>
      <c r="AG28" s="10">
        <v>2211.2800364484001</v>
      </c>
      <c r="AH28" s="19"/>
      <c r="AI28" s="19">
        <v>147.588663490973</v>
      </c>
      <c r="AJ28" s="10">
        <v>530.83988793720005</v>
      </c>
    </row>
    <row r="29" spans="1:36">
      <c r="A29" s="12">
        <v>12</v>
      </c>
      <c r="B29" s="12" t="s">
        <v>377</v>
      </c>
      <c r="C29" s="12">
        <v>65</v>
      </c>
      <c r="D29" s="12">
        <v>55</v>
      </c>
      <c r="E29" s="12">
        <f t="shared" si="7"/>
        <v>-10</v>
      </c>
      <c r="F29" s="12">
        <v>-2386.0815825059999</v>
      </c>
      <c r="G29" s="12">
        <f t="shared" si="8"/>
        <v>238.60815825059998</v>
      </c>
      <c r="AB29" s="19"/>
      <c r="AC29">
        <v>104.805621619002</v>
      </c>
      <c r="AD29">
        <v>27109.033529256001</v>
      </c>
      <c r="AF29">
        <v>78.177750517301007</v>
      </c>
      <c r="AG29">
        <v>2149.7103540396001</v>
      </c>
      <c r="AH29" s="19"/>
      <c r="AI29">
        <v>121.246021571727</v>
      </c>
      <c r="AJ29">
        <v>272.78140265316</v>
      </c>
    </row>
    <row r="30" spans="1:36">
      <c r="A30" s="12">
        <v>13</v>
      </c>
      <c r="B30" s="12" t="s">
        <v>379</v>
      </c>
      <c r="C30" s="12">
        <v>65.150063343529993</v>
      </c>
      <c r="D30" s="12">
        <v>55</v>
      </c>
      <c r="E30" s="12">
        <f t="shared" si="7"/>
        <v>-10.150063343529993</v>
      </c>
      <c r="F30" s="12">
        <v>-4676.2043885639996</v>
      </c>
      <c r="G30" s="12">
        <f t="shared" si="8"/>
        <v>460.70691682380254</v>
      </c>
      <c r="AB30" s="19"/>
      <c r="AC30">
        <v>104.805621619002</v>
      </c>
      <c r="AD30">
        <v>0</v>
      </c>
      <c r="AF30">
        <v>78.177750517301007</v>
      </c>
      <c r="AG30">
        <v>0</v>
      </c>
      <c r="AH30" s="19"/>
      <c r="AI30">
        <v>121.246021571727</v>
      </c>
      <c r="AJ30">
        <v>0</v>
      </c>
    </row>
    <row r="31" spans="1:36">
      <c r="A31" s="12">
        <v>14</v>
      </c>
      <c r="B31" s="12" t="s">
        <v>381</v>
      </c>
      <c r="C31" s="12">
        <v>77.177750517301007</v>
      </c>
      <c r="D31" s="12">
        <v>55</v>
      </c>
      <c r="E31" s="12">
        <f t="shared" si="7"/>
        <v>-22.177750517301007</v>
      </c>
      <c r="F31" s="12">
        <v>-57.3123976308</v>
      </c>
      <c r="G31" s="12">
        <f t="shared" si="8"/>
        <v>2.5842295225609209</v>
      </c>
      <c r="AB31" s="19"/>
      <c r="AH31" s="19"/>
      <c r="AI31" s="19"/>
    </row>
    <row r="32" spans="1:36">
      <c r="A32" s="12">
        <v>15</v>
      </c>
      <c r="B32" s="12" t="s">
        <v>383</v>
      </c>
      <c r="C32" s="12">
        <v>103.805621619002</v>
      </c>
      <c r="D32" s="12">
        <v>55</v>
      </c>
      <c r="E32" s="12">
        <f t="shared" si="7"/>
        <v>-48.805621619001997</v>
      </c>
      <c r="F32" s="12">
        <v>-29044.532428451999</v>
      </c>
      <c r="G32" s="12">
        <f t="shared" si="8"/>
        <v>595.10629032012559</v>
      </c>
      <c r="AB32" s="19"/>
      <c r="AC32" t="s">
        <v>477</v>
      </c>
      <c r="AF32" t="s">
        <v>478</v>
      </c>
      <c r="AG32" s="19"/>
      <c r="AH32" s="19"/>
      <c r="AI32" s="19" t="s">
        <v>309</v>
      </c>
    </row>
    <row r="33" spans="1:36">
      <c r="A33" s="12">
        <v>16</v>
      </c>
      <c r="B33" s="12" t="s">
        <v>385</v>
      </c>
      <c r="C33" s="12">
        <v>137.05358729018999</v>
      </c>
      <c r="D33" s="12">
        <v>55</v>
      </c>
      <c r="E33" s="12">
        <f t="shared" si="7"/>
        <v>-82.053587290189995</v>
      </c>
      <c r="F33" s="12">
        <v>-1226.8881489600001</v>
      </c>
      <c r="G33" s="12">
        <f t="shared" si="8"/>
        <v>14.952279229681919</v>
      </c>
      <c r="AC33">
        <v>140.397197347413</v>
      </c>
      <c r="AD33">
        <v>0</v>
      </c>
      <c r="AF33">
        <v>161.96057230656001</v>
      </c>
      <c r="AG33">
        <v>0</v>
      </c>
      <c r="AI33">
        <v>79.682662970324998</v>
      </c>
      <c r="AJ33">
        <v>0</v>
      </c>
    </row>
    <row r="34" spans="1:36">
      <c r="A34" s="12">
        <v>17</v>
      </c>
      <c r="B34" s="12" t="s">
        <v>402</v>
      </c>
      <c r="C34" s="12">
        <v>192</v>
      </c>
      <c r="D34" s="12">
        <v>139.04103150819901</v>
      </c>
      <c r="E34" s="12">
        <f t="shared" si="7"/>
        <v>-52.958968491800988</v>
      </c>
      <c r="F34" s="12">
        <v>-278.39160119088001</v>
      </c>
      <c r="G34" s="12">
        <f t="shared" si="8"/>
        <v>5.2567413814712065</v>
      </c>
      <c r="AC34" s="19">
        <v>140.397197347413</v>
      </c>
      <c r="AD34" s="10">
        <v>140.76350640612</v>
      </c>
      <c r="AF34" s="19">
        <v>161.96057230656001</v>
      </c>
      <c r="AG34" s="10">
        <v>2284.8889208723999</v>
      </c>
      <c r="AI34" s="19">
        <v>79.682662970324998</v>
      </c>
      <c r="AJ34" s="10">
        <v>674.92418867640004</v>
      </c>
    </row>
    <row r="35" spans="1:36">
      <c r="A35" s="12">
        <v>18</v>
      </c>
      <c r="B35" s="12" t="s">
        <v>376</v>
      </c>
      <c r="C35" s="12">
        <v>55</v>
      </c>
      <c r="D35" s="12">
        <v>20</v>
      </c>
      <c r="E35" s="12">
        <f t="shared" si="7"/>
        <v>-35</v>
      </c>
      <c r="F35" s="12">
        <v>-925.57036617120002</v>
      </c>
      <c r="G35" s="12">
        <f t="shared" si="8"/>
        <v>26.444867604891428</v>
      </c>
      <c r="AC35">
        <v>112.25895598061901</v>
      </c>
      <c r="AD35">
        <v>134.58950207603999</v>
      </c>
      <c r="AF35">
        <v>137.85163851678701</v>
      </c>
      <c r="AG35">
        <v>2278.078471026</v>
      </c>
      <c r="AI35">
        <v>58.385587871599</v>
      </c>
      <c r="AJ35">
        <v>656.5069913868</v>
      </c>
    </row>
    <row r="36" spans="1:36">
      <c r="A36" s="12">
        <v>19</v>
      </c>
      <c r="B36" s="12" t="s">
        <v>373</v>
      </c>
      <c r="C36" s="12">
        <v>55</v>
      </c>
      <c r="D36" s="12">
        <v>-35</v>
      </c>
      <c r="E36" s="12">
        <f t="shared" si="7"/>
        <v>-90</v>
      </c>
      <c r="F36" s="12">
        <v>-1961.2428918155999</v>
      </c>
      <c r="G36" s="12">
        <f t="shared" si="8"/>
        <v>21.79158768684</v>
      </c>
      <c r="X36" s="444" t="s">
        <v>479</v>
      </c>
      <c r="Y36" s="444"/>
      <c r="Z36" s="444"/>
      <c r="AA36" s="444"/>
      <c r="AC36">
        <v>112.25895598061901</v>
      </c>
      <c r="AD36">
        <v>0</v>
      </c>
      <c r="AF36">
        <v>137.85163851678701</v>
      </c>
      <c r="AG36">
        <v>0</v>
      </c>
      <c r="AI36">
        <v>58.385587871599</v>
      </c>
      <c r="AJ36">
        <v>0</v>
      </c>
    </row>
  </sheetData>
  <mergeCells count="3">
    <mergeCell ref="Z2:AA2"/>
    <mergeCell ref="AC24:AF24"/>
    <mergeCell ref="X36:AA36"/>
  </mergeCells>
  <phoneticPr fontId="3" type="noConversion"/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5C6B9A56B0A348A65D492ECBAF7C0B" ma:contentTypeVersion="7" ma:contentTypeDescription="Create a new document." ma:contentTypeScope="" ma:versionID="0d3ce7b1ddca1aa47ce76af82a9f4a4c">
  <xsd:schema xmlns:xsd="http://www.w3.org/2001/XMLSchema" xmlns:xs="http://www.w3.org/2001/XMLSchema" xmlns:p="http://schemas.microsoft.com/office/2006/metadata/properties" xmlns:ns2="a6b95832-3ae1-4680-9ca3-b014ac75c9b3" targetNamespace="http://schemas.microsoft.com/office/2006/metadata/properties" ma:root="true" ma:fieldsID="3c88bfbf298076b6619541e021589af8" ns2:_="">
    <xsd:import namespace="a6b95832-3ae1-4680-9ca3-b014ac75c9b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b95832-3ae1-4680-9ca3-b014ac75c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7EC2992-5981-4EBA-B140-401068DA2B10}"/>
</file>

<file path=customXml/itemProps2.xml><?xml version="1.0" encoding="utf-8"?>
<ds:datastoreItem xmlns:ds="http://schemas.openxmlformats.org/officeDocument/2006/customXml" ds:itemID="{1DFF4383-9644-4B8E-A59F-2D51AFB89A90}"/>
</file>

<file path=customXml/itemProps3.xml><?xml version="1.0" encoding="utf-8"?>
<ds:datastoreItem xmlns:ds="http://schemas.openxmlformats.org/officeDocument/2006/customXml" ds:itemID="{69325663-3054-4283-88F5-46E73899F44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2020-03-06T11:29:37Z</dcterms:created>
  <dcterms:modified xsi:type="dcterms:W3CDTF">2020-03-13T00:34:47Z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0x010100F75C6B9A56B0A348A65D492ECBAF7C0B</vt:lpwstr>
  </property>
</Properties>
</file>