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 Yiakoumi\Documents\Third year Chemical Engineering\flowshitting\"/>
    </mc:Choice>
  </mc:AlternateContent>
  <xr:revisionPtr revIDLastSave="0" documentId="8_{B630B7A3-5A69-4112-805E-FC9CCA13AA0A}" xr6:coauthVersionLast="45" xr6:coauthVersionMax="45" xr10:uidLastSave="{00000000-0000-0000-0000-000000000000}"/>
  <bookViews>
    <workbookView xWindow="-108" yWindow="-108" windowWidth="23256" windowHeight="12576" activeTab="3" xr2:uid="{693A4DAE-B025-4E5C-858B-98641D0F19BC}"/>
  </bookViews>
  <sheets>
    <sheet name="EP2 vary feed ratio" sheetId="1" r:id="rId1"/>
    <sheet name="pumping then compressing" sheetId="2" r:id="rId2"/>
    <sheet name="heat then compress" sheetId="3" r:id="rId3"/>
    <sheet name="Douglas reactor cost" sheetId="6" r:id="rId4"/>
  </sheets>
  <externalReferences>
    <externalReference r:id="rId5"/>
    <externalReference r:id="rId6"/>
  </externalReferences>
  <definedNames>
    <definedName name="_xlchart.v1.0" hidden="1">'pumping then compressing'!$B$2:$B$21</definedName>
    <definedName name="_xlchart.v1.1" hidden="1">'pumping then compressing'!$T$2:$T$21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6" l="1"/>
  <c r="X33" i="6" s="1"/>
  <c r="T77" i="6"/>
  <c r="P77" i="6"/>
  <c r="T76" i="6"/>
  <c r="P76" i="6"/>
  <c r="T75" i="6"/>
  <c r="P75" i="6"/>
  <c r="T74" i="6"/>
  <c r="P74" i="6"/>
  <c r="T73" i="6"/>
  <c r="T78" i="6" s="1"/>
  <c r="T79" i="6" s="1"/>
  <c r="P73" i="6"/>
  <c r="P78" i="6" s="1"/>
  <c r="P79" i="6" s="1"/>
  <c r="T54" i="6"/>
  <c r="T55" i="6" s="1"/>
  <c r="T53" i="6"/>
  <c r="P53" i="6"/>
  <c r="L53" i="6"/>
  <c r="T52" i="6"/>
  <c r="P52" i="6"/>
  <c r="L52" i="6"/>
  <c r="T51" i="6"/>
  <c r="P51" i="6"/>
  <c r="L51" i="6"/>
  <c r="T50" i="6"/>
  <c r="P50" i="6"/>
  <c r="L50" i="6"/>
  <c r="T49" i="6"/>
  <c r="P49" i="6"/>
  <c r="P54" i="6" s="1"/>
  <c r="P55" i="6" s="1"/>
  <c r="L49" i="6"/>
  <c r="L54" i="6" s="1"/>
  <c r="L55" i="6" s="1"/>
  <c r="B19" i="6"/>
  <c r="B17" i="6"/>
  <c r="B18" i="6" s="1"/>
  <c r="Y29" i="6" s="1"/>
  <c r="B16" i="6"/>
  <c r="P31" i="6"/>
  <c r="P32" i="6" s="1"/>
  <c r="T30" i="6"/>
  <c r="P30" i="6"/>
  <c r="L30" i="6"/>
  <c r="X29" i="6"/>
  <c r="T29" i="6"/>
  <c r="P29" i="6"/>
  <c r="L29" i="6"/>
  <c r="T27" i="6"/>
  <c r="P27" i="6"/>
  <c r="L27" i="6"/>
  <c r="E19" i="6"/>
  <c r="X30" i="6" s="1"/>
  <c r="B35" i="6"/>
  <c r="X35" i="6" s="1"/>
  <c r="H27" i="6"/>
  <c r="X34" i="6" s="1"/>
  <c r="T26" i="6"/>
  <c r="P26" i="6"/>
  <c r="L26" i="6"/>
  <c r="E18" i="6"/>
  <c r="Y30" i="6" s="1"/>
  <c r="T25" i="6"/>
  <c r="T31" i="6" s="1"/>
  <c r="T32" i="6" s="1"/>
  <c r="P25" i="6"/>
  <c r="L25" i="6"/>
  <c r="L31" i="6" s="1"/>
  <c r="L32" i="6" s="1"/>
  <c r="E17" i="6"/>
  <c r="B33" i="6"/>
  <c r="B34" i="6" s="1"/>
  <c r="Y35" i="6" s="1"/>
  <c r="H25" i="6"/>
  <c r="H26" i="6" s="1"/>
  <c r="Y34" i="6" s="1"/>
  <c r="E16" i="6"/>
  <c r="B32" i="6"/>
  <c r="H24" i="6"/>
  <c r="H19" i="6"/>
  <c r="X31" i="6" s="1"/>
  <c r="B27" i="6"/>
  <c r="X32" i="6" s="1"/>
  <c r="H17" i="6"/>
  <c r="H18" i="6" s="1"/>
  <c r="Y31" i="6" s="1"/>
  <c r="E25" i="6"/>
  <c r="E26" i="6" s="1"/>
  <c r="Y33" i="6" s="1"/>
  <c r="H16" i="6"/>
  <c r="B24" i="6"/>
  <c r="E24" i="6"/>
  <c r="B5" i="6"/>
  <c r="B25" i="6" s="1"/>
  <c r="B26" i="6" s="1"/>
  <c r="Y32" i="6" s="1"/>
  <c r="L56" i="6" l="1"/>
  <c r="L58" i="6" s="1"/>
  <c r="L59" i="6" s="1"/>
  <c r="X15" i="6" s="1"/>
  <c r="L57" i="6"/>
  <c r="P56" i="6"/>
  <c r="P57" i="6" s="1"/>
  <c r="P58" i="6"/>
  <c r="P59" i="6" s="1"/>
  <c r="L33" i="6"/>
  <c r="L34" i="6"/>
  <c r="L35" i="6"/>
  <c r="L36" i="6" s="1"/>
  <c r="P33" i="6"/>
  <c r="P35" i="6" s="1"/>
  <c r="P36" i="6" s="1"/>
  <c r="T80" i="6"/>
  <c r="T82" i="6" s="1"/>
  <c r="T83" i="6" s="1"/>
  <c r="T33" i="6"/>
  <c r="T34" i="6"/>
  <c r="T35" i="6"/>
  <c r="T36" i="6" s="1"/>
  <c r="P80" i="6"/>
  <c r="P81" i="6" s="1"/>
  <c r="P82" i="6"/>
  <c r="P83" i="6" s="1"/>
  <c r="X13" i="6" s="1"/>
  <c r="T56" i="6"/>
  <c r="T58" i="6" s="1"/>
  <c r="T59" i="6" s="1"/>
  <c r="T57" i="6" l="1"/>
  <c r="X17" i="6"/>
  <c r="X16" i="6"/>
  <c r="T81" i="6"/>
  <c r="P34" i="6"/>
  <c r="G37" i="3" l="1"/>
  <c r="P35" i="3"/>
  <c r="B35" i="3"/>
  <c r="B34" i="3"/>
  <c r="I2" i="2"/>
  <c r="O2" i="2"/>
  <c r="Q29" i="2"/>
  <c r="C29" i="2"/>
  <c r="C28" i="2"/>
  <c r="P37" i="3" l="1"/>
  <c r="G35" i="3"/>
  <c r="I23" i="3" s="1"/>
  <c r="E23" i="3"/>
  <c r="H23" i="3" s="1"/>
  <c r="E22" i="3"/>
  <c r="H22" i="3" s="1"/>
  <c r="E21" i="3"/>
  <c r="H21" i="3" s="1"/>
  <c r="E20" i="3"/>
  <c r="H20" i="3" s="1"/>
  <c r="E19" i="3"/>
  <c r="H19" i="3" s="1"/>
  <c r="I18" i="3"/>
  <c r="E18" i="3"/>
  <c r="H18" i="3" s="1"/>
  <c r="E17" i="3"/>
  <c r="H17" i="3" s="1"/>
  <c r="E16" i="3"/>
  <c r="H16" i="3" s="1"/>
  <c r="I15" i="3"/>
  <c r="E15" i="3"/>
  <c r="H15" i="3" s="1"/>
  <c r="H14" i="3"/>
  <c r="E14" i="3"/>
  <c r="E13" i="3"/>
  <c r="H13" i="3" s="1"/>
  <c r="E12" i="3"/>
  <c r="H12" i="3" s="1"/>
  <c r="E11" i="3"/>
  <c r="H11" i="3" s="1"/>
  <c r="I10" i="3"/>
  <c r="E10" i="3"/>
  <c r="H10" i="3" s="1"/>
  <c r="E9" i="3"/>
  <c r="H9" i="3" s="1"/>
  <c r="E8" i="3"/>
  <c r="H8" i="3" s="1"/>
  <c r="I7" i="3"/>
  <c r="E7" i="3"/>
  <c r="H7" i="3" s="1"/>
  <c r="E6" i="3"/>
  <c r="H6" i="3" s="1"/>
  <c r="E5" i="3"/>
  <c r="H5" i="3" s="1"/>
  <c r="E4" i="3"/>
  <c r="H4" i="3" s="1"/>
  <c r="Q31" i="2"/>
  <c r="O21" i="2" s="1"/>
  <c r="H29" i="2"/>
  <c r="L21" i="2"/>
  <c r="M21" i="2" s="1"/>
  <c r="I21" i="2"/>
  <c r="E21" i="2"/>
  <c r="L20" i="2"/>
  <c r="M20" i="2" s="1"/>
  <c r="I20" i="2"/>
  <c r="F20" i="2"/>
  <c r="E20" i="2"/>
  <c r="L19" i="2"/>
  <c r="M19" i="2" s="1"/>
  <c r="I19" i="2"/>
  <c r="E19" i="2"/>
  <c r="L18" i="2"/>
  <c r="M18" i="2" s="1"/>
  <c r="I18" i="2"/>
  <c r="F18" i="2"/>
  <c r="E18" i="2"/>
  <c r="O17" i="2"/>
  <c r="L17" i="2"/>
  <c r="M17" i="2" s="1"/>
  <c r="I17" i="2"/>
  <c r="E17" i="2"/>
  <c r="L16" i="2"/>
  <c r="M16" i="2" s="1"/>
  <c r="I16" i="2"/>
  <c r="F16" i="2"/>
  <c r="E16" i="2"/>
  <c r="L15" i="2"/>
  <c r="M15" i="2" s="1"/>
  <c r="I15" i="2"/>
  <c r="E15" i="2"/>
  <c r="L14" i="2"/>
  <c r="M14" i="2" s="1"/>
  <c r="I14" i="2"/>
  <c r="F14" i="2"/>
  <c r="E14" i="2"/>
  <c r="L13" i="2"/>
  <c r="M13" i="2" s="1"/>
  <c r="I13" i="2"/>
  <c r="E13" i="2"/>
  <c r="L12" i="2"/>
  <c r="M12" i="2" s="1"/>
  <c r="I12" i="2"/>
  <c r="F12" i="2"/>
  <c r="E12" i="2"/>
  <c r="L11" i="2"/>
  <c r="M11" i="2" s="1"/>
  <c r="I11" i="2"/>
  <c r="E11" i="2"/>
  <c r="L10" i="2"/>
  <c r="M10" i="2" s="1"/>
  <c r="I10" i="2"/>
  <c r="F10" i="2"/>
  <c r="E10" i="2"/>
  <c r="L9" i="2"/>
  <c r="M9" i="2" s="1"/>
  <c r="I9" i="2"/>
  <c r="E9" i="2"/>
  <c r="L8" i="2"/>
  <c r="M8" i="2" s="1"/>
  <c r="I8" i="2"/>
  <c r="F8" i="2"/>
  <c r="E8" i="2"/>
  <c r="L7" i="2"/>
  <c r="M7" i="2" s="1"/>
  <c r="I7" i="2"/>
  <c r="E7" i="2"/>
  <c r="L6" i="2"/>
  <c r="M6" i="2" s="1"/>
  <c r="I6" i="2"/>
  <c r="F6" i="2"/>
  <c r="E6" i="2"/>
  <c r="L5" i="2"/>
  <c r="M5" i="2" s="1"/>
  <c r="I5" i="2"/>
  <c r="F5" i="2"/>
  <c r="E5" i="2"/>
  <c r="L4" i="2"/>
  <c r="M4" i="2" s="1"/>
  <c r="I4" i="2"/>
  <c r="F4" i="2"/>
  <c r="E4" i="2"/>
  <c r="O3" i="2"/>
  <c r="L3" i="2"/>
  <c r="M3" i="2" s="1"/>
  <c r="I3" i="2"/>
  <c r="F3" i="2"/>
  <c r="E3" i="2"/>
  <c r="L2" i="2"/>
  <c r="M2" i="2" s="1"/>
  <c r="E2" i="2"/>
  <c r="J18" i="3" l="1"/>
  <c r="F21" i="2"/>
  <c r="G21" i="2" s="1"/>
  <c r="P21" i="2" s="1"/>
  <c r="R21" i="2" s="1"/>
  <c r="H31" i="2"/>
  <c r="S3" i="2"/>
  <c r="T3" i="2" s="1"/>
  <c r="G5" i="2"/>
  <c r="F7" i="2"/>
  <c r="G7" i="2" s="1"/>
  <c r="F9" i="2"/>
  <c r="G9" i="2" s="1"/>
  <c r="F11" i="2"/>
  <c r="F13" i="2"/>
  <c r="F15" i="2"/>
  <c r="F17" i="2"/>
  <c r="S17" i="2" s="1"/>
  <c r="T17" i="2" s="1"/>
  <c r="F2" i="2"/>
  <c r="F19" i="2"/>
  <c r="J10" i="3"/>
  <c r="G14" i="2"/>
  <c r="I11" i="3"/>
  <c r="J11" i="3" s="1"/>
  <c r="G3" i="2"/>
  <c r="P3" i="2" s="1"/>
  <c r="R3" i="2" s="1"/>
  <c r="J23" i="3"/>
  <c r="G4" i="2"/>
  <c r="G8" i="2"/>
  <c r="G12" i="2"/>
  <c r="G6" i="2"/>
  <c r="G18" i="2"/>
  <c r="O10" i="2"/>
  <c r="S10" i="2" s="1"/>
  <c r="T10" i="2" s="1"/>
  <c r="O14" i="2"/>
  <c r="S14" i="2" s="1"/>
  <c r="T14" i="2" s="1"/>
  <c r="I8" i="3"/>
  <c r="J8" i="3" s="1"/>
  <c r="I16" i="3"/>
  <c r="J16" i="3" s="1"/>
  <c r="O6" i="2"/>
  <c r="S6" i="2" s="1"/>
  <c r="T6" i="2" s="1"/>
  <c r="O9" i="2"/>
  <c r="O13" i="2"/>
  <c r="O20" i="2"/>
  <c r="S20" i="2" s="1"/>
  <c r="T20" i="2" s="1"/>
  <c r="I6" i="3"/>
  <c r="J6" i="3" s="1"/>
  <c r="I14" i="3"/>
  <c r="J14" i="3" s="1"/>
  <c r="O16" i="2"/>
  <c r="S16" i="2" s="1"/>
  <c r="T16" i="2" s="1"/>
  <c r="I9" i="3"/>
  <c r="J9" i="3" s="1"/>
  <c r="O5" i="2"/>
  <c r="G10" i="2"/>
  <c r="O12" i="2"/>
  <c r="S12" i="2" s="1"/>
  <c r="T12" i="2" s="1"/>
  <c r="I4" i="3"/>
  <c r="J4" i="3" s="1"/>
  <c r="I12" i="3"/>
  <c r="J12" i="3" s="1"/>
  <c r="O8" i="2"/>
  <c r="P8" i="2" s="1"/>
  <c r="R8" i="2" s="1"/>
  <c r="O15" i="2"/>
  <c r="O19" i="2"/>
  <c r="O4" i="2"/>
  <c r="S4" i="2" s="1"/>
  <c r="T4" i="2" s="1"/>
  <c r="O7" i="2"/>
  <c r="O11" i="2"/>
  <c r="G16" i="2"/>
  <c r="O18" i="2"/>
  <c r="S18" i="2" s="1"/>
  <c r="T18" i="2" s="1"/>
  <c r="G20" i="2"/>
  <c r="I5" i="3"/>
  <c r="J5" i="3" s="1"/>
  <c r="I13" i="3"/>
  <c r="J13" i="3" s="1"/>
  <c r="J7" i="3"/>
  <c r="J15" i="3"/>
  <c r="I20" i="3"/>
  <c r="J20" i="3" s="1"/>
  <c r="I22" i="3"/>
  <c r="J22" i="3" s="1"/>
  <c r="I17" i="3"/>
  <c r="J17" i="3" s="1"/>
  <c r="I19" i="3"/>
  <c r="J19" i="3" s="1"/>
  <c r="I21" i="3"/>
  <c r="J21" i="3" s="1"/>
  <c r="S21" i="2" l="1"/>
  <c r="T21" i="2" s="1"/>
  <c r="P20" i="2"/>
  <c r="R20" i="2" s="1"/>
  <c r="P4" i="2"/>
  <c r="R4" i="2" s="1"/>
  <c r="P10" i="2"/>
  <c r="R10" i="2" s="1"/>
  <c r="P14" i="2"/>
  <c r="R14" i="2" s="1"/>
  <c r="P16" i="2"/>
  <c r="R16" i="2" s="1"/>
  <c r="P18" i="2"/>
  <c r="R18" i="2" s="1"/>
  <c r="P12" i="2"/>
  <c r="R12" i="2" s="1"/>
  <c r="P5" i="2"/>
  <c r="R5" i="2" s="1"/>
  <c r="S15" i="2"/>
  <c r="T15" i="2" s="1"/>
  <c r="S9" i="2"/>
  <c r="T9" i="2" s="1"/>
  <c r="G19" i="2"/>
  <c r="P19" i="2" s="1"/>
  <c r="R19" i="2" s="1"/>
  <c r="S19" i="2"/>
  <c r="T19" i="2" s="1"/>
  <c r="S7" i="2"/>
  <c r="T7" i="2" s="1"/>
  <c r="S5" i="2"/>
  <c r="T5" i="2" s="1"/>
  <c r="P6" i="2"/>
  <c r="R6" i="2" s="1"/>
  <c r="S8" i="2"/>
  <c r="T8" i="2" s="1"/>
  <c r="S2" i="2"/>
  <c r="T2" i="2" s="1"/>
  <c r="G13" i="2"/>
  <c r="P13" i="2" s="1"/>
  <c r="R13" i="2" s="1"/>
  <c r="S13" i="2"/>
  <c r="T13" i="2" s="1"/>
  <c r="S11" i="2"/>
  <c r="T11" i="2" s="1"/>
  <c r="G15" i="2"/>
  <c r="P15" i="2" s="1"/>
  <c r="R15" i="2" s="1"/>
  <c r="G17" i="2"/>
  <c r="P17" i="2" s="1"/>
  <c r="R17" i="2" s="1"/>
  <c r="G2" i="2"/>
  <c r="P2" i="2" s="1"/>
  <c r="R2" i="2" s="1"/>
  <c r="G11" i="2"/>
  <c r="P11" i="2" s="1"/>
  <c r="R11" i="2" s="1"/>
  <c r="P9" i="2"/>
  <c r="R9" i="2" s="1"/>
  <c r="P7" i="2"/>
  <c r="R7" i="2" s="1"/>
</calcChain>
</file>

<file path=xl/sharedStrings.xml><?xml version="1.0" encoding="utf-8"?>
<sst xmlns="http://schemas.openxmlformats.org/spreadsheetml/2006/main" count="409" uniqueCount="115">
  <si>
    <t>conversion</t>
  </si>
  <si>
    <t>3 to 1</t>
  </si>
  <si>
    <t>4 to 1</t>
  </si>
  <si>
    <t>kW</t>
  </si>
  <si>
    <t xml:space="preserve">Conversion </t>
  </si>
  <si>
    <t>2:1 ratio</t>
  </si>
  <si>
    <t>Conversion</t>
  </si>
  <si>
    <t>conversion (%)</t>
  </si>
  <si>
    <t>heating duty fom ASPEN simulation (kW)</t>
  </si>
  <si>
    <t>pumping duty fom ASPEN simulation (kW)</t>
  </si>
  <si>
    <t>heating cost ($)</t>
  </si>
  <si>
    <t>pumping cost ($)</t>
  </si>
  <si>
    <t>opcost (heting +pumping costs ($))</t>
  </si>
  <si>
    <t>annualised reactor cost (ASPEN ($))</t>
  </si>
  <si>
    <t>Reactor Length (m)</t>
  </si>
  <si>
    <t>Reactor Diameter (m)</t>
  </si>
  <si>
    <t>Reactor Volume (m^3)</t>
  </si>
  <si>
    <t>Total Catalyst cost ($)</t>
  </si>
  <si>
    <t>Isothermal reactor cooling duty (kW)</t>
  </si>
  <si>
    <t>Isothermal reactor cooling cost ($)</t>
  </si>
  <si>
    <t>Total cost (catalyst+reactor+cooling+pumping+heating ($))</t>
  </si>
  <si>
    <t>Total cost (catalyst+reactor+cooling+pumping ($))</t>
  </si>
  <si>
    <t>EP3  (catalyst+reactor+cooling+pumping+heating ($))</t>
  </si>
  <si>
    <t>EP2 ($) reactor feed ratio 1:1</t>
  </si>
  <si>
    <t>EP3 (catalyst+reactor+cooling+pumping ($))</t>
  </si>
  <si>
    <t>Catalyst Data</t>
  </si>
  <si>
    <t>Component</t>
  </si>
  <si>
    <t>Value</t>
  </si>
  <si>
    <t>Units</t>
  </si>
  <si>
    <t>Density</t>
  </si>
  <si>
    <t>kg/m^3</t>
  </si>
  <si>
    <t>No. of catalyst cycles per year</t>
  </si>
  <si>
    <t>-</t>
  </si>
  <si>
    <t>Void fraction</t>
  </si>
  <si>
    <t>Catalyst Price</t>
  </si>
  <si>
    <t>$/kg</t>
  </si>
  <si>
    <t>Heating data</t>
  </si>
  <si>
    <t xml:space="preserve">Component </t>
  </si>
  <si>
    <t xml:space="preserve">Value </t>
  </si>
  <si>
    <t>Combustion oil</t>
  </si>
  <si>
    <t>$/Btu</t>
  </si>
  <si>
    <t>Operation hours</t>
  </si>
  <si>
    <t>hrs</t>
  </si>
  <si>
    <t>$/kW</t>
  </si>
  <si>
    <t>$/kWh</t>
  </si>
  <si>
    <t>Electicity data</t>
  </si>
  <si>
    <t>Electricity Price</t>
  </si>
  <si>
    <t>$/hp.h.</t>
  </si>
  <si>
    <t>Electricty Price</t>
  </si>
  <si>
    <t>Operating hours</t>
  </si>
  <si>
    <t>$/Kw</t>
  </si>
  <si>
    <t>Cooling Water</t>
  </si>
  <si>
    <t>Max Temperature Difference</t>
  </si>
  <si>
    <t>K</t>
  </si>
  <si>
    <t>Water Price</t>
  </si>
  <si>
    <t>$/m3</t>
  </si>
  <si>
    <t>Water density</t>
  </si>
  <si>
    <t>kg/m3</t>
  </si>
  <si>
    <t>Water price</t>
  </si>
  <si>
    <t>Water Heat Capacity</t>
  </si>
  <si>
    <t>kJ/kg*K</t>
  </si>
  <si>
    <t>Water Heat Capacity*Temperature difference</t>
  </si>
  <si>
    <t>kJ/kg</t>
  </si>
  <si>
    <t>Hours to seconds</t>
  </si>
  <si>
    <t>s</t>
  </si>
  <si>
    <t>Duty heating and then compressing</t>
  </si>
  <si>
    <t xml:space="preserve">Compressing units </t>
  </si>
  <si>
    <t>Annualised cost</t>
  </si>
  <si>
    <t>reactor cost (Aspen($))</t>
  </si>
  <si>
    <t>Reactor total cost/3</t>
  </si>
  <si>
    <t>heating duty 1 (up to 550K)</t>
  </si>
  <si>
    <t>heating duty 2 upt to 730K</t>
  </si>
  <si>
    <t>total heat (kW)</t>
  </si>
  <si>
    <t>copressing duty (kW)</t>
  </si>
  <si>
    <t>opcost cor heat and then compress</t>
  </si>
  <si>
    <t>M&amp;S</t>
  </si>
  <si>
    <t>Pressure (psi)</t>
  </si>
  <si>
    <t>Fp</t>
  </si>
  <si>
    <t>Fm</t>
  </si>
  <si>
    <t>Fc</t>
  </si>
  <si>
    <t>meter to feet</t>
  </si>
  <si>
    <t>Isothermal</t>
  </si>
  <si>
    <t>Adiabatic</t>
  </si>
  <si>
    <t>Difference</t>
  </si>
  <si>
    <t>D(m)</t>
  </si>
  <si>
    <t>L1</t>
  </si>
  <si>
    <t>L(m)</t>
  </si>
  <si>
    <t>L2</t>
  </si>
  <si>
    <t>Purchased cost</t>
  </si>
  <si>
    <t>L3</t>
  </si>
  <si>
    <t>Installed cost</t>
  </si>
  <si>
    <t>L4</t>
  </si>
  <si>
    <t>Annualized</t>
  </si>
  <si>
    <t>L5</t>
  </si>
  <si>
    <t>D1</t>
  </si>
  <si>
    <t>D2</t>
  </si>
  <si>
    <t>D3</t>
  </si>
  <si>
    <t>D4</t>
  </si>
  <si>
    <t>D5</t>
  </si>
  <si>
    <t>V1</t>
  </si>
  <si>
    <t>V2</t>
  </si>
  <si>
    <t>V3</t>
  </si>
  <si>
    <t>Conversion %</t>
  </si>
  <si>
    <t>Volume m^3</t>
  </si>
  <si>
    <t>Annualised cost $/yr</t>
  </si>
  <si>
    <t>V4</t>
  </si>
  <si>
    <t>V5</t>
  </si>
  <si>
    <t>Total V</t>
  </si>
  <si>
    <t>Actual D</t>
  </si>
  <si>
    <t>Actual L</t>
  </si>
  <si>
    <t>Purchased cost ($)</t>
  </si>
  <si>
    <t>Installed cost ($)</t>
  </si>
  <si>
    <t>Annualized cost ($)</t>
  </si>
  <si>
    <t>Volume (m3)</t>
  </si>
  <si>
    <t>Diameter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</si>
</sst>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-[$$-409]* #,##0.00_ ;_-[$$-409]* \-#,##0.00\ ;_-[$$-409]* &quot;-&quot;??_ ;_-@_ 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1">
    <xf numFmtId="0" fontId="0" fillId="0" borderId="0" xfId="0"/>
    <xf numFmtId="44" fontId="0" fillId="0" borderId="0" xfId="1" applyFont="1"/>
    <xf numFmtId="0" fontId="0" fillId="0" borderId="1" xfId="0" applyBorder="1"/>
    <xf numFmtId="0" fontId="0" fillId="3" borderId="2" xfId="0" applyFill="1" applyBorder="1"/>
    <xf numFmtId="0" fontId="0" fillId="3" borderId="3" xfId="0" applyFill="1" applyBorder="1"/>
    <xf numFmtId="0" fontId="0" fillId="3" borderId="6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44" fontId="0" fillId="4" borderId="5" xfId="1" applyFont="1" applyFill="1" applyBorder="1"/>
    <xf numFmtId="0" fontId="0" fillId="4" borderId="6" xfId="0" applyFill="1" applyBorder="1"/>
    <xf numFmtId="44" fontId="0" fillId="4" borderId="7" xfId="1" applyFont="1" applyFill="1" applyBorder="1"/>
    <xf numFmtId="0" fontId="0" fillId="0" borderId="0" xfId="0" applyFill="1" applyBorder="1"/>
    <xf numFmtId="44" fontId="0" fillId="0" borderId="0" xfId="1" applyFon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44" fontId="0" fillId="5" borderId="5" xfId="1" applyFont="1" applyFill="1" applyBorder="1"/>
    <xf numFmtId="0" fontId="0" fillId="5" borderId="6" xfId="0" applyFill="1" applyBorder="1"/>
    <xf numFmtId="44" fontId="0" fillId="5" borderId="7" xfId="1" applyFon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44" fontId="0" fillId="6" borderId="5" xfId="1" applyFont="1" applyFill="1" applyBorder="1"/>
    <xf numFmtId="0" fontId="0" fillId="6" borderId="6" xfId="0" applyFill="1" applyBorder="1"/>
    <xf numFmtId="44" fontId="0" fillId="6" borderId="7" xfId="1" applyFont="1" applyFill="1" applyBorder="1"/>
    <xf numFmtId="0" fontId="0" fillId="0" borderId="0" xfId="0" applyBorder="1"/>
    <xf numFmtId="0" fontId="2" fillId="7" borderId="2" xfId="0" applyFont="1" applyFill="1" applyBorder="1"/>
    <xf numFmtId="0" fontId="2" fillId="7" borderId="8" xfId="0" applyFont="1" applyFill="1" applyBorder="1"/>
    <xf numFmtId="0" fontId="2" fillId="7" borderId="3" xfId="0" applyFont="1" applyFill="1" applyBorder="1"/>
    <xf numFmtId="0" fontId="2" fillId="7" borderId="4" xfId="0" applyFont="1" applyFill="1" applyBorder="1"/>
    <xf numFmtId="0" fontId="2" fillId="7" borderId="0" xfId="0" applyFont="1" applyFill="1" applyBorder="1"/>
    <xf numFmtId="0" fontId="2" fillId="7" borderId="5" xfId="0" applyFont="1" applyFill="1" applyBorder="1"/>
    <xf numFmtId="0" fontId="2" fillId="7" borderId="6" xfId="0" applyFont="1" applyFill="1" applyBorder="1"/>
    <xf numFmtId="0" fontId="2" fillId="7" borderId="9" xfId="0" applyFont="1" applyFill="1" applyBorder="1"/>
    <xf numFmtId="0" fontId="2" fillId="7" borderId="7" xfId="0" applyFont="1" applyFill="1" applyBorder="1"/>
    <xf numFmtId="0" fontId="0" fillId="3" borderId="7" xfId="0" applyFill="1" applyBorder="1"/>
    <xf numFmtId="0" fontId="0" fillId="8" borderId="2" xfId="0" applyFill="1" applyBorder="1"/>
    <xf numFmtId="0" fontId="0" fillId="8" borderId="8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9" xfId="0" applyFill="1" applyBorder="1"/>
    <xf numFmtId="0" fontId="0" fillId="8" borderId="7" xfId="0" applyFill="1" applyBorder="1"/>
    <xf numFmtId="164" fontId="0" fillId="0" borderId="0" xfId="0" applyNumberFormat="1"/>
    <xf numFmtId="0" fontId="0" fillId="2" borderId="2" xfId="0" applyFill="1" applyBorder="1"/>
    <xf numFmtId="44" fontId="0" fillId="2" borderId="3" xfId="1" applyFont="1" applyFill="1" applyBorder="1"/>
    <xf numFmtId="0" fontId="0" fillId="2" borderId="4" xfId="0" applyFill="1" applyBorder="1"/>
    <xf numFmtId="44" fontId="0" fillId="2" borderId="5" xfId="1" applyFont="1" applyFill="1" applyBorder="1"/>
    <xf numFmtId="0" fontId="0" fillId="2" borderId="6" xfId="0" applyFill="1" applyBorder="1"/>
    <xf numFmtId="44" fontId="0" fillId="2" borderId="7" xfId="1" applyFont="1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9" xfId="0" applyFill="1" applyBorder="1"/>
    <xf numFmtId="0" fontId="0" fillId="5" borderId="7" xfId="0" applyFill="1" applyBorder="1"/>
    <xf numFmtId="0" fontId="0" fillId="2" borderId="8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5" xfId="0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0" fillId="2" borderId="9" xfId="0" applyFill="1" applyBorder="1"/>
    <xf numFmtId="0" fontId="0" fillId="2" borderId="7" xfId="0" applyFill="1" applyBorder="1"/>
    <xf numFmtId="0" fontId="0" fillId="9" borderId="4" xfId="0" applyFill="1" applyBorder="1"/>
    <xf numFmtId="0" fontId="0" fillId="9" borderId="0" xfId="0" applyFill="1" applyBorder="1"/>
    <xf numFmtId="164" fontId="0" fillId="9" borderId="0" xfId="1" applyNumberFormat="1" applyFont="1" applyFill="1" applyBorder="1"/>
    <xf numFmtId="44" fontId="0" fillId="9" borderId="0" xfId="1" applyFont="1" applyFill="1" applyBorder="1"/>
    <xf numFmtId="44" fontId="0" fillId="9" borderId="0" xfId="0" applyNumberFormat="1" applyFill="1" applyBorder="1"/>
    <xf numFmtId="44" fontId="0" fillId="9" borderId="5" xfId="0" applyNumberFormat="1" applyFill="1" applyBorder="1"/>
    <xf numFmtId="0" fontId="0" fillId="9" borderId="6" xfId="0" applyFill="1" applyBorder="1"/>
    <xf numFmtId="0" fontId="0" fillId="9" borderId="9" xfId="0" applyFill="1" applyBorder="1"/>
    <xf numFmtId="164" fontId="0" fillId="9" borderId="9" xfId="1" applyNumberFormat="1" applyFont="1" applyFill="1" applyBorder="1"/>
    <xf numFmtId="44" fontId="0" fillId="9" borderId="9" xfId="1" applyFont="1" applyFill="1" applyBorder="1"/>
    <xf numFmtId="44" fontId="0" fillId="9" borderId="9" xfId="0" applyNumberFormat="1" applyFill="1" applyBorder="1"/>
    <xf numFmtId="44" fontId="0" fillId="9" borderId="7" xfId="0" applyNumberFormat="1" applyFill="1" applyBorder="1"/>
    <xf numFmtId="0" fontId="0" fillId="10" borderId="0" xfId="0" applyNumberFormat="1" applyFill="1" applyBorder="1"/>
    <xf numFmtId="0" fontId="0" fillId="10" borderId="9" xfId="0" applyNumberFormat="1" applyFill="1" applyBorder="1"/>
    <xf numFmtId="164" fontId="0" fillId="10" borderId="0" xfId="1" applyNumberFormat="1" applyFont="1" applyFill="1" applyBorder="1"/>
    <xf numFmtId="164" fontId="0" fillId="10" borderId="9" xfId="1" applyNumberFormat="1" applyFont="1" applyFill="1" applyBorder="1"/>
    <xf numFmtId="0" fontId="0" fillId="10" borderId="0" xfId="0" applyFill="1" applyBorder="1"/>
    <xf numFmtId="0" fontId="0" fillId="10" borderId="9" xfId="0" applyFill="1" applyBorder="1"/>
    <xf numFmtId="44" fontId="0" fillId="10" borderId="0" xfId="1" applyFont="1" applyFill="1" applyBorder="1"/>
    <xf numFmtId="44" fontId="0" fillId="10" borderId="9" xfId="1" applyFont="1" applyFill="1" applyBorder="1"/>
    <xf numFmtId="0" fontId="0" fillId="11" borderId="2" xfId="0" applyFill="1" applyBorder="1"/>
    <xf numFmtId="0" fontId="0" fillId="11" borderId="8" xfId="0" applyNumberFormat="1" applyFill="1" applyBorder="1"/>
    <xf numFmtId="0" fontId="0" fillId="11" borderId="8" xfId="0" applyFill="1" applyBorder="1"/>
    <xf numFmtId="44" fontId="0" fillId="11" borderId="8" xfId="1" applyFont="1" applyFill="1" applyBorder="1"/>
    <xf numFmtId="0" fontId="0" fillId="11" borderId="3" xfId="0" applyFill="1" applyBorder="1"/>
    <xf numFmtId="0" fontId="0" fillId="11" borderId="0" xfId="0" applyFill="1"/>
    <xf numFmtId="0" fontId="0" fillId="12" borderId="0" xfId="0" applyFill="1"/>
    <xf numFmtId="0" fontId="0" fillId="10" borderId="0" xfId="0" applyFill="1"/>
    <xf numFmtId="164" fontId="0" fillId="12" borderId="0" xfId="1" applyNumberFormat="1" applyFont="1" applyFill="1"/>
    <xf numFmtId="164" fontId="0" fillId="12" borderId="0" xfId="0" applyNumberFormat="1" applyFill="1"/>
    <xf numFmtId="164" fontId="0" fillId="10" borderId="0" xfId="0" applyNumberFormat="1" applyFill="1"/>
    <xf numFmtId="0" fontId="0" fillId="7" borderId="0" xfId="0" applyFill="1" applyBorder="1"/>
    <xf numFmtId="0" fontId="0" fillId="7" borderId="9" xfId="0" applyFill="1" applyBorder="1"/>
    <xf numFmtId="0" fontId="0" fillId="5" borderId="0" xfId="0" applyFill="1"/>
    <xf numFmtId="0" fontId="0" fillId="13" borderId="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5" borderId="1" xfId="0" applyFill="1" applyBorder="1"/>
    <xf numFmtId="166" fontId="0" fillId="15" borderId="1" xfId="0" applyNumberFormat="1" applyFill="1" applyBorder="1"/>
    <xf numFmtId="9" fontId="0" fillId="0" borderId="0" xfId="0" applyNumberFormat="1"/>
    <xf numFmtId="9" fontId="0" fillId="15" borderId="1" xfId="0" applyNumberFormat="1" applyFill="1" applyBorder="1"/>
    <xf numFmtId="0" fontId="0" fillId="16" borderId="1" xfId="0" applyFill="1" applyBorder="1"/>
    <xf numFmtId="0" fontId="0" fillId="17" borderId="1" xfId="0" applyFill="1" applyBorder="1"/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 with changing</a:t>
            </a:r>
            <a:r>
              <a:rPr lang="en-GB" baseline="0"/>
              <a:t> molar reactor feed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3 to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'EP2 vary feed ratio'!$A$41:$A$50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'EP2 vary feed ratio'!$B$41:$B$50</c:f>
              <c:numCache>
                <c:formatCode>_("£"* #,##0.00_);_("£"* \(#,##0.00\);_("£"* "-"??_);_(@_)</c:formatCode>
                <c:ptCount val="10"/>
                <c:pt idx="0">
                  <c:v>29967851.583874859</c:v>
                </c:pt>
                <c:pt idx="1">
                  <c:v>31467689.169642676</c:v>
                </c:pt>
                <c:pt idx="2">
                  <c:v>28628013.330211062</c:v>
                </c:pt>
                <c:pt idx="3">
                  <c:v>26266879.217124444</c:v>
                </c:pt>
                <c:pt idx="4">
                  <c:v>24473966.038314421</c:v>
                </c:pt>
                <c:pt idx="5">
                  <c:v>23407726.928085402</c:v>
                </c:pt>
                <c:pt idx="6">
                  <c:v>21885520.424746968</c:v>
                </c:pt>
                <c:pt idx="7">
                  <c:v>17375089.262323368</c:v>
                </c:pt>
                <c:pt idx="8">
                  <c:v>4189119.4415387581</c:v>
                </c:pt>
                <c:pt idx="9">
                  <c:v>-48001549.444307745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2-4884-A283-2C0DB42F7F28}"/>
            </c:ext>
          </c:extLst>
        </c:ser>
        <c:ser>
          <c:idx val="3"/>
          <c:order val="1"/>
          <c:tx>
            <c:v>4 to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'EP2 vary feed ratio'!$A$55:$A$63</c:f>
              <c:numCache>
                <c:formatCode>General</c:formatCode>
                <c:ptCount val="9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xVal>
          <c:yVal>
            <c:numRef>
              <c:f>'EP2 vary feed ratio'!$B$55:$B$63</c:f>
              <c:numCache>
                <c:formatCode>_("£"* #,##0.00_);_("£"* \(#,##0.00\);_("£"* "-"??_);_(@_)</c:formatCode>
                <c:ptCount val="9"/>
                <c:pt idx="0">
                  <c:v>28918857.007137254</c:v>
                </c:pt>
                <c:pt idx="1">
                  <c:v>31046703.549552608</c:v>
                </c:pt>
                <c:pt idx="2">
                  <c:v>26745353.523377139</c:v>
                </c:pt>
                <c:pt idx="3">
                  <c:v>21434634.197422683</c:v>
                </c:pt>
                <c:pt idx="4">
                  <c:v>15501865.543045627</c:v>
                </c:pt>
                <c:pt idx="5">
                  <c:v>10710472.732510448</c:v>
                </c:pt>
                <c:pt idx="6">
                  <c:v>2274113.25820192</c:v>
                </c:pt>
                <c:pt idx="7">
                  <c:v>-12121640.1443453</c:v>
                </c:pt>
                <c:pt idx="8">
                  <c:v>-49121640.144345298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42-4884-A283-2C0DB42F7F28}"/>
            </c:ext>
          </c:extLst>
        </c:ser>
        <c:ser>
          <c:idx val="1"/>
          <c:order val="2"/>
          <c:tx>
            <c:v>2 to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'EP2 vary feed ratio'!$A$25:$A$35</c:f>
              <c:numCache>
                <c:formatCode>General</c:formatCode>
                <c:ptCount val="11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12.5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17.5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'EP2 vary feed ratio'!$B$25:$B$35</c:f>
              <c:numCache>
                <c:formatCode>_("£"* #,##0.00_);_("£"* \(#,##0.00\);_("£"* "-"??_);_(@_)</c:formatCode>
                <c:ptCount val="11"/>
                <c:pt idx="0">
                  <c:v>30132020.092579596</c:v>
                </c:pt>
                <c:pt idx="1">
                  <c:v>30169772.125801623</c:v>
                </c:pt>
                <c:pt idx="2">
                  <c:v>29863688.269039631</c:v>
                </c:pt>
                <c:pt idx="3">
                  <c:v>28768063.677026339</c:v>
                </c:pt>
                <c:pt idx="4">
                  <c:v>28444382.598700099</c:v>
                </c:pt>
                <c:pt idx="5">
                  <c:v>26026957.326689314</c:v>
                </c:pt>
                <c:pt idx="6">
                  <c:v>24723305.736315683</c:v>
                </c:pt>
                <c:pt idx="7">
                  <c:v>22635768.51641918</c:v>
                </c:pt>
                <c:pt idx="8">
                  <c:v>17650247.119923007</c:v>
                </c:pt>
                <c:pt idx="9">
                  <c:v>1538173.3842212998</c:v>
                </c:pt>
                <c:pt idx="10">
                  <c:v>-81758569.490155146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42-4884-A283-2C0DB42F7F28}"/>
            </c:ext>
          </c:extLst>
        </c:ser>
        <c:ser>
          <c:idx val="0"/>
          <c:order val="3"/>
          <c:tx>
            <c:v>1 to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'EP2 vary feed ratio'!$A$2:$A$20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12.5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17.5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22.5</c:v>
                </c:pt>
                <c:pt idx="17">
                  <c:v>24</c:v>
                </c:pt>
                <c:pt idx="18">
                  <c:v>25</c:v>
                </c:pt>
              </c:numCache>
            </c:numRef>
          </c:xVal>
          <c:yVal>
            <c:numRef>
              <c:f>'EP2 vary feed ratio'!$B$2:$B$20</c:f>
              <c:numCache>
                <c:formatCode>_("£"* #,##0.00_);_("£"* \(#,##0.00\);_("£"* "-"??_);_(@_)</c:formatCode>
                <c:ptCount val="19"/>
                <c:pt idx="0">
                  <c:v>33020475.23674126</c:v>
                </c:pt>
                <c:pt idx="1">
                  <c:v>33136207.761969402</c:v>
                </c:pt>
                <c:pt idx="2">
                  <c:v>32619601.620336354</c:v>
                </c:pt>
                <c:pt idx="3">
                  <c:v>31731989.592939425</c:v>
                </c:pt>
                <c:pt idx="4">
                  <c:v>31322835.06775355</c:v>
                </c:pt>
                <c:pt idx="5">
                  <c:v>31255258.819853306</c:v>
                </c:pt>
                <c:pt idx="6">
                  <c:v>30638527.354729302</c:v>
                </c:pt>
                <c:pt idx="7">
                  <c:v>30375196.9705339</c:v>
                </c:pt>
                <c:pt idx="8">
                  <c:v>29931249.638767593</c:v>
                </c:pt>
                <c:pt idx="9">
                  <c:v>29327784.722881332</c:v>
                </c:pt>
                <c:pt idx="10">
                  <c:v>28886612.882260744</c:v>
                </c:pt>
                <c:pt idx="11">
                  <c:v>28451490.429855257</c:v>
                </c:pt>
                <c:pt idx="12">
                  <c:v>27713495.952759899</c:v>
                </c:pt>
                <c:pt idx="13">
                  <c:v>26733650.380969804</c:v>
                </c:pt>
                <c:pt idx="14">
                  <c:v>25970073.044852994</c:v>
                </c:pt>
                <c:pt idx="15">
                  <c:v>24980912.058568895</c:v>
                </c:pt>
                <c:pt idx="16">
                  <c:v>23484780.084011551</c:v>
                </c:pt>
                <c:pt idx="17">
                  <c:v>21250272.495545186</c:v>
                </c:pt>
                <c:pt idx="18">
                  <c:v>18736215.67622738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A-4A76-BF38-48A69A2F3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592648"/>
        <c:axId val="1575591992"/>
      </c:scatterChart>
      <c:valAx>
        <c:axId val="157559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91992"/>
        <c:crosses val="autoZero"/>
        <c:crossBetween val="midCat"/>
      </c:valAx>
      <c:valAx>
        <c:axId val="157559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92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1:1 Feed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overall EP3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'[2]PUMP HEAT'!$B$2:$B$21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12.5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17.5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22.5</c:v>
                </c:pt>
                <c:pt idx="18">
                  <c:v>24</c:v>
                </c:pt>
                <c:pt idx="19">
                  <c:v>25</c:v>
                </c:pt>
              </c:numCache>
            </c:numRef>
          </c:xVal>
          <c:yVal>
            <c:numRef>
              <c:f>'[2]PUMP HEAT'!$R$2:$R$21</c:f>
              <c:numCache>
                <c:formatCode>General</c:formatCode>
                <c:ptCount val="20"/>
                <c:pt idx="0">
                  <c:v>-59191882.437037408</c:v>
                </c:pt>
                <c:pt idx="1">
                  <c:v>-16931762.9296792</c:v>
                </c:pt>
                <c:pt idx="2">
                  <c:v>-2130436.913490653</c:v>
                </c:pt>
                <c:pt idx="3">
                  <c:v>10295009.616269972</c:v>
                </c:pt>
                <c:pt idx="4">
                  <c:v>12868262.914391421</c:v>
                </c:pt>
                <c:pt idx="5">
                  <c:v>15638351.245218605</c:v>
                </c:pt>
                <c:pt idx="6">
                  <c:v>17598442.8713485</c:v>
                </c:pt>
                <c:pt idx="7">
                  <c:v>18055747.590571918</c:v>
                </c:pt>
                <c:pt idx="8">
                  <c:v>18558016.432816267</c:v>
                </c:pt>
                <c:pt idx="9">
                  <c:v>19048494.345235609</c:v>
                </c:pt>
                <c:pt idx="10">
                  <c:v>19123245.28375265</c:v>
                </c:pt>
                <c:pt idx="11">
                  <c:v>19027819.070933886</c:v>
                </c:pt>
                <c:pt idx="12">
                  <c:v>18845620.713586695</c:v>
                </c:pt>
                <c:pt idx="13">
                  <c:v>18366142.153227463</c:v>
                </c:pt>
                <c:pt idx="14">
                  <c:v>17530938.339367613</c:v>
                </c:pt>
                <c:pt idx="15">
                  <c:v>16800165.510171443</c:v>
                </c:pt>
                <c:pt idx="16">
                  <c:v>15753132.544369696</c:v>
                </c:pt>
                <c:pt idx="17">
                  <c:v>14017920.1105446</c:v>
                </c:pt>
                <c:pt idx="18">
                  <c:v>11273013.939629192</c:v>
                </c:pt>
                <c:pt idx="19">
                  <c:v>8117304.0591556299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448-9464-5E9B7A3B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44448"/>
        <c:axId val="653847400"/>
      </c:scatterChart>
      <c:valAx>
        <c:axId val="6538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47400"/>
        <c:crosses val="autoZero"/>
        <c:crossBetween val="midCat"/>
      </c:valAx>
      <c:valAx>
        <c:axId val="65384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capex &amp; opex level 3 </a:t>
            </a:r>
            <a:r>
              <a:rPr lang="en-GB" sz="1400" b="0" i="0" u="none" strike="noStrike" baseline="0">
                <a:effectLst/>
              </a:rPr>
              <a:t>1:1 Feed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capex &amp; opex level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'[2]PUMP HEAT'!$B$2:$B$21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12.5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17.5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22.5</c:v>
                </c:pt>
                <c:pt idx="18">
                  <c:v>24</c:v>
                </c:pt>
                <c:pt idx="19">
                  <c:v>25</c:v>
                </c:pt>
              </c:numCache>
            </c:numRef>
          </c:xVal>
          <c:yVal>
            <c:numRef>
              <c:f>'[2]PUMP HEAT'!$P$2:$P$21</c:f>
              <c:numCache>
                <c:formatCode>General</c:formatCode>
                <c:ptCount val="20"/>
                <c:pt idx="0">
                  <c:v>89073016.737834856</c:v>
                </c:pt>
                <c:pt idx="1">
                  <c:v>49952238.16642046</c:v>
                </c:pt>
                <c:pt idx="2">
                  <c:v>35266644.675460055</c:v>
                </c:pt>
                <c:pt idx="3">
                  <c:v>22324592.004066382</c:v>
                </c:pt>
                <c:pt idx="4">
                  <c:v>18863726.678548004</c:v>
                </c:pt>
                <c:pt idx="5">
                  <c:v>15684483.822534945</c:v>
                </c:pt>
                <c:pt idx="6">
                  <c:v>13656815.948504806</c:v>
                </c:pt>
                <c:pt idx="7">
                  <c:v>12582779.764157386</c:v>
                </c:pt>
                <c:pt idx="8">
                  <c:v>11817180.537717631</c:v>
                </c:pt>
                <c:pt idx="9">
                  <c:v>10882755.293531986</c:v>
                </c:pt>
                <c:pt idx="10">
                  <c:v>10204539.439128684</c:v>
                </c:pt>
                <c:pt idx="11">
                  <c:v>9858793.8113268595</c:v>
                </c:pt>
                <c:pt idx="12">
                  <c:v>9605869.7162685636</c:v>
                </c:pt>
                <c:pt idx="13">
                  <c:v>9347353.799532434</c:v>
                </c:pt>
                <c:pt idx="14">
                  <c:v>9202712.0416021924</c:v>
                </c:pt>
                <c:pt idx="15">
                  <c:v>9169907.534681553</c:v>
                </c:pt>
                <c:pt idx="16">
                  <c:v>9227779.5141991992</c:v>
                </c:pt>
                <c:pt idx="17">
                  <c:v>9466859.9734669514</c:v>
                </c:pt>
                <c:pt idx="18">
                  <c:v>9977258.5559159946</c:v>
                </c:pt>
                <c:pt idx="19">
                  <c:v>10618911.61707175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2-4628-A06A-4632F3681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192464"/>
        <c:axId val="836197056"/>
      </c:scatterChart>
      <c:valAx>
        <c:axId val="8361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97056"/>
        <c:crosses val="autoZero"/>
        <c:crossBetween val="midCat"/>
      </c:valAx>
      <c:valAx>
        <c:axId val="8361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EP3</a:t>
            </a:r>
            <a:r>
              <a:rPr lang="en-GB" baseline="0"/>
              <a:t> no heating costs 1:1 Feed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'pumping then compressing'!$B$2:$B$21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12.5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17.5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22.5</c:v>
                </c:pt>
                <c:pt idx="18">
                  <c:v>24</c:v>
                </c:pt>
                <c:pt idx="19">
                  <c:v>25</c:v>
                </c:pt>
              </c:numCache>
            </c:numRef>
          </c:xVal>
          <c:yVal>
            <c:numRef>
              <c:f>'pumping then compressing'!$T$2:$T$21</c:f>
              <c:numCache>
                <c:formatCode>_("£"* #,##0.00_);_("£"* \(#,##0.00\);_("£"* "-"??_);_(@_)</c:formatCode>
                <c:ptCount val="20"/>
                <c:pt idx="0">
                  <c:v>27759652.312547591</c:v>
                </c:pt>
                <c:pt idx="1">
                  <c:v>30873033.927517727</c:v>
                </c:pt>
                <c:pt idx="2">
                  <c:v>30974900.890073638</c:v>
                </c:pt>
                <c:pt idx="3">
                  <c:v>30408156.671159837</c:v>
                </c:pt>
                <c:pt idx="4">
                  <c:v>29525070.474263921</c:v>
                </c:pt>
                <c:pt idx="5">
                  <c:v>29045424.461478166</c:v>
                </c:pt>
                <c:pt idx="6">
                  <c:v>28858261.448781207</c:v>
                </c:pt>
                <c:pt idx="7">
                  <c:v>28200176.947024673</c:v>
                </c:pt>
                <c:pt idx="8">
                  <c:v>27865197.347572625</c:v>
                </c:pt>
                <c:pt idx="9">
                  <c:v>27287759.783541247</c:v>
                </c:pt>
                <c:pt idx="10">
                  <c:v>26546110.122026581</c:v>
                </c:pt>
                <c:pt idx="11">
                  <c:v>25996856.432321109</c:v>
                </c:pt>
                <c:pt idx="12">
                  <c:v>25445864.186170265</c:v>
                </c:pt>
                <c:pt idx="13">
                  <c:v>24479462.47057182</c:v>
                </c:pt>
                <c:pt idx="14">
                  <c:v>23249842.3559127</c:v>
                </c:pt>
                <c:pt idx="15">
                  <c:v>22297115.641666003</c:v>
                </c:pt>
                <c:pt idx="16">
                  <c:v>21042733.512164623</c:v>
                </c:pt>
                <c:pt idx="17">
                  <c:v>19102995.184153091</c:v>
                </c:pt>
                <c:pt idx="18">
                  <c:v>16208667.846829452</c:v>
                </c:pt>
                <c:pt idx="19">
                  <c:v>12990642.696562445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3-453A-B637-CFCB7FB92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317880"/>
        <c:axId val="644316896"/>
      </c:scatterChart>
      <c:valAx>
        <c:axId val="64431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16896"/>
        <c:crosses val="autoZero"/>
        <c:crossBetween val="midCat"/>
      </c:valAx>
      <c:valAx>
        <c:axId val="6443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1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Pump</a:t>
            </a:r>
            <a:r>
              <a:rPr lang="en-GB" baseline="0"/>
              <a:t> vs compress opex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75335528036064E-2"/>
          <c:y val="0.16759183621190216"/>
          <c:w val="0.91156567535350919"/>
          <c:h val="0.72758637129552672"/>
        </c:manualLayout>
      </c:layout>
      <c:scatterChart>
        <c:scatterStyle val="lineMarker"/>
        <c:varyColors val="0"/>
        <c:ser>
          <c:idx val="0"/>
          <c:order val="0"/>
          <c:tx>
            <c:v>heat then compress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[2]COMPRES!$B$2:$B$21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12.5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17.5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22.5</c:v>
                </c:pt>
                <c:pt idx="18">
                  <c:v>24</c:v>
                </c:pt>
                <c:pt idx="19">
                  <c:v>25</c:v>
                </c:pt>
              </c:numCache>
            </c:numRef>
          </c:xVal>
          <c:yVal>
            <c:numRef>
              <c:f>[2]COMPRES!$J$2:$J$21</c:f>
              <c:numCache>
                <c:formatCode>General</c:formatCode>
                <c:ptCount val="20"/>
                <c:pt idx="0">
                  <c:v>142310623.35438824</c:v>
                </c:pt>
                <c:pt idx="1">
                  <c:v>79850341.576707184</c:v>
                </c:pt>
                <c:pt idx="2">
                  <c:v>55298712.336823866</c:v>
                </c:pt>
                <c:pt idx="3">
                  <c:v>33598819.542095795</c:v>
                </c:pt>
                <c:pt idx="4">
                  <c:v>27826797.26072659</c:v>
                </c:pt>
                <c:pt idx="5">
                  <c:v>22408891.698272727</c:v>
                </c:pt>
                <c:pt idx="6">
                  <c:v>18814316.628716744</c:v>
                </c:pt>
                <c:pt idx="7">
                  <c:v>16950973.676000789</c:v>
                </c:pt>
                <c:pt idx="8">
                  <c:v>15550261.400070783</c:v>
                </c:pt>
                <c:pt idx="9">
                  <c:v>13767519.242866803</c:v>
                </c:pt>
                <c:pt idx="10">
                  <c:v>12402888.473941978</c:v>
                </c:pt>
                <c:pt idx="11">
                  <c:v>11642113.443662871</c:v>
                </c:pt>
                <c:pt idx="12">
                  <c:v>11029681.700179592</c:v>
                </c:pt>
                <c:pt idx="13">
                  <c:v>10216448.742024908</c:v>
                </c:pt>
                <c:pt idx="14">
                  <c:v>9558006.6621316001</c:v>
                </c:pt>
                <c:pt idx="15">
                  <c:v>9187676.6093428787</c:v>
                </c:pt>
                <c:pt idx="16">
                  <c:v>8838749.2408382036</c:v>
                </c:pt>
                <c:pt idx="17">
                  <c:v>8501129.9866961725</c:v>
                </c:pt>
                <c:pt idx="18">
                  <c:v>8252392.741488006</c:v>
                </c:pt>
                <c:pt idx="19">
                  <c:v>8144653.1771275355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9-4648-85CE-04267DF24258}"/>
            </c:ext>
          </c:extLst>
        </c:ser>
        <c:ser>
          <c:idx val="1"/>
          <c:order val="1"/>
          <c:tx>
            <c:v>pump and heat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'[2]PUMP HEAT'!$B$2:$B$21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12.5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17.5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22.5</c:v>
                </c:pt>
                <c:pt idx="18">
                  <c:v>24</c:v>
                </c:pt>
                <c:pt idx="19">
                  <c:v>25</c:v>
                </c:pt>
              </c:numCache>
            </c:numRef>
          </c:xVal>
          <c:yVal>
            <c:numRef>
              <c:f>'[2]PUMP HEAT'!$G$2:$G$21</c:f>
              <c:numCache>
                <c:formatCode>General</c:formatCode>
                <c:ptCount val="20"/>
                <c:pt idx="0">
                  <c:v>87246151.391902819</c:v>
                </c:pt>
                <c:pt idx="1">
                  <c:v>47958930.726089865</c:v>
                </c:pt>
                <c:pt idx="2">
                  <c:v>33213521.043896392</c:v>
                </c:pt>
                <c:pt idx="3">
                  <c:v>20180817.170676019</c:v>
                </c:pt>
                <c:pt idx="4">
                  <c:v>16713587.814091487</c:v>
                </c:pt>
                <c:pt idx="5">
                  <c:v>13453498.914390147</c:v>
                </c:pt>
                <c:pt idx="6">
                  <c:v>11299407.575068234</c:v>
                </c:pt>
                <c:pt idx="7">
                  <c:v>10180426.979650227</c:v>
                </c:pt>
                <c:pt idx="8">
                  <c:v>9340479.4862434044</c:v>
                </c:pt>
                <c:pt idx="9">
                  <c:v>8269085.4046494868</c:v>
                </c:pt>
                <c:pt idx="10">
                  <c:v>7450017.2622209899</c:v>
                </c:pt>
                <c:pt idx="11">
                  <c:v>6994710.013928473</c:v>
                </c:pt>
                <c:pt idx="12">
                  <c:v>6624682.6042744359</c:v>
                </c:pt>
                <c:pt idx="13">
                  <c:v>6136145.8907476934</c:v>
                </c:pt>
                <c:pt idx="14">
                  <c:v>5740415.4185244562</c:v>
                </c:pt>
                <c:pt idx="15">
                  <c:v>5517718.5296929702</c:v>
                </c:pt>
                <c:pt idx="16">
                  <c:v>5309687.3797742464</c:v>
                </c:pt>
                <c:pt idx="17">
                  <c:v>5104456.2567165783</c:v>
                </c:pt>
                <c:pt idx="18">
                  <c:v>4954528.4539529951</c:v>
                </c:pt>
                <c:pt idx="19">
                  <c:v>4892020.4369733492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9-4648-85CE-04267DF2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161888"/>
        <c:axId val="760164512"/>
      </c:scatterChart>
      <c:valAx>
        <c:axId val="7601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64512"/>
        <c:crosses val="autoZero"/>
        <c:crossBetween val="midCat"/>
      </c:valAx>
      <c:valAx>
        <c:axId val="7601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6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5</xdr:row>
      <xdr:rowOff>30480</xdr:rowOff>
    </xdr:from>
    <xdr:to>
      <xdr:col>10</xdr:col>
      <xdr:colOff>38100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01D6A-4C55-4826-B045-06C361D03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937260</xdr:colOff>
      <xdr:row>42</xdr:row>
      <xdr:rowOff>38100</xdr:rowOff>
    </xdr:from>
    <xdr:to>
      <xdr:col>13</xdr:col>
      <xdr:colOff>1752600</xdr:colOff>
      <xdr:row>57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58BDCD-6A0D-4C92-9175-4D93C7145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487680</xdr:colOff>
      <xdr:row>41</xdr:row>
      <xdr:rowOff>160020</xdr:rowOff>
    </xdr:from>
    <xdr:to>
      <xdr:col>5</xdr:col>
      <xdr:colOff>922020</xdr:colOff>
      <xdr:row>56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067136-7796-4DEF-AB43-5BD3AC991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1821180</xdr:colOff>
      <xdr:row>42</xdr:row>
      <xdr:rowOff>0</xdr:rowOff>
    </xdr:from>
    <xdr:to>
      <xdr:col>18</xdr:col>
      <xdr:colOff>2712720</xdr:colOff>
      <xdr:row>57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A0427E-48C2-4234-9CE0-0D0F9CE25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426198</xdr:colOff>
      <xdr:row>50</xdr:row>
      <xdr:rowOff>74077</xdr:rowOff>
    </xdr:from>
    <xdr:to>
      <xdr:col>8</xdr:col>
      <xdr:colOff>249836</xdr:colOff>
      <xdr:row>65</xdr:row>
      <xdr:rowOff>74077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13267-437C-49C7-B91E-C492B33F6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vel%203/level%203%20pumping%20vs%20compressing-28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evel%203/level%203%20pumping%20vs%20compressing-2802%20(version%201)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fference in heat with methods"/>
      <sheetName val="cooling costs isothermal"/>
      <sheetName val="Volume catalyst regen"/>
      <sheetName val="EP2 fix ratios"/>
      <sheetName val="Douglas reactor cost"/>
      <sheetName val="total costs EP3"/>
      <sheetName val="EP2 fix ratios graph"/>
      <sheetName val="pumping vs compressig 730K"/>
      <sheetName val="pump vs comp 750K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>
            <v>2.5</v>
          </cell>
          <cell r="B3">
            <v>32241103.279998336</v>
          </cell>
        </row>
        <row r="4">
          <cell r="A4">
            <v>5</v>
          </cell>
          <cell r="B4">
            <v>32092063.538844611</v>
          </cell>
        </row>
        <row r="5">
          <cell r="A5">
            <v>10</v>
          </cell>
          <cell r="B5">
            <v>31156809.170150053</v>
          </cell>
        </row>
        <row r="6">
          <cell r="A6">
            <v>15</v>
          </cell>
          <cell r="B6">
            <v>29704249.672664009</v>
          </cell>
        </row>
        <row r="7">
          <cell r="A7">
            <v>20</v>
          </cell>
          <cell r="B7">
            <v>28177451.090244737</v>
          </cell>
        </row>
        <row r="8">
          <cell r="A8">
            <v>25</v>
          </cell>
          <cell r="B8">
            <v>25800310.554359559</v>
          </cell>
        </row>
        <row r="13">
          <cell r="A13">
            <v>2.5</v>
          </cell>
          <cell r="B13">
            <v>28918857.007137254</v>
          </cell>
        </row>
        <row r="14">
          <cell r="A14">
            <v>5</v>
          </cell>
          <cell r="B14">
            <v>31046703.549552608</v>
          </cell>
        </row>
        <row r="15">
          <cell r="A15">
            <v>10</v>
          </cell>
          <cell r="B15">
            <v>26745353.523377139</v>
          </cell>
        </row>
        <row r="16">
          <cell r="A16">
            <v>12.5</v>
          </cell>
          <cell r="B16">
            <v>10710472.732510448</v>
          </cell>
        </row>
        <row r="17">
          <cell r="A17">
            <v>15</v>
          </cell>
          <cell r="B17">
            <v>-11121640.144345293</v>
          </cell>
        </row>
        <row r="18">
          <cell r="A18">
            <v>20</v>
          </cell>
        </row>
        <row r="19">
          <cell r="A19">
            <v>25</v>
          </cell>
        </row>
        <row r="21">
          <cell r="B21" t="str">
            <v>3 to 1</v>
          </cell>
        </row>
        <row r="27">
          <cell r="A27">
            <v>15</v>
          </cell>
          <cell r="B27">
            <v>21756316.595325742</v>
          </cell>
        </row>
        <row r="28">
          <cell r="A28">
            <v>17.5</v>
          </cell>
          <cell r="B28">
            <v>-58160267.731243998</v>
          </cell>
        </row>
        <row r="29">
          <cell r="A29">
            <v>20</v>
          </cell>
          <cell r="B29">
            <v>-123507899.23025271</v>
          </cell>
        </row>
        <row r="30">
          <cell r="A30">
            <v>25</v>
          </cell>
        </row>
        <row r="32">
          <cell r="A32">
            <v>0</v>
          </cell>
          <cell r="B32">
            <v>0</v>
          </cell>
        </row>
        <row r="33">
          <cell r="A33">
            <v>2.5</v>
          </cell>
          <cell r="B33">
            <v>30132020.092579596</v>
          </cell>
        </row>
        <row r="34">
          <cell r="A34">
            <v>5</v>
          </cell>
          <cell r="B34">
            <v>30169772.125801623</v>
          </cell>
        </row>
        <row r="35">
          <cell r="A35">
            <v>10</v>
          </cell>
          <cell r="B35">
            <v>29863688.269039631</v>
          </cell>
        </row>
        <row r="36">
          <cell r="A36">
            <v>12.5</v>
          </cell>
          <cell r="B36">
            <v>28744382.598700099</v>
          </cell>
        </row>
        <row r="37">
          <cell r="A37">
            <v>15</v>
          </cell>
          <cell r="B37">
            <v>27209836.362626914</v>
          </cell>
        </row>
        <row r="38">
          <cell r="A38">
            <v>17.5</v>
          </cell>
          <cell r="B38">
            <v>23650247.119922999</v>
          </cell>
        </row>
        <row r="39">
          <cell r="A39">
            <v>20</v>
          </cell>
          <cell r="B39">
            <v>21218040.877300054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fference in heat with methods"/>
      <sheetName val="cooling costs isothermal"/>
      <sheetName val="Volume catalyst regen"/>
      <sheetName val="EP2 fix ratios"/>
      <sheetName val="Douglas reactor cost"/>
      <sheetName val="total costs EP3"/>
      <sheetName val="EP2 fix ratios graph"/>
      <sheetName val="pumping vs compressig 730K"/>
      <sheetName val="PUMP HEAT"/>
      <sheetName val="COMPRES"/>
      <sheetName val="pump vs comp 750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1</v>
          </cell>
          <cell r="G2">
            <v>87246151.391902819</v>
          </cell>
          <cell r="P2">
            <v>89073016.737834856</v>
          </cell>
          <cell r="R2">
            <v>-59191882.437037408</v>
          </cell>
        </row>
        <row r="3">
          <cell r="B3">
            <v>2</v>
          </cell>
          <cell r="G3">
            <v>47958930.726089865</v>
          </cell>
          <cell r="P3">
            <v>49952238.16642046</v>
          </cell>
          <cell r="R3">
            <v>-16931762.9296792</v>
          </cell>
        </row>
        <row r="4">
          <cell r="B4">
            <v>3</v>
          </cell>
          <cell r="G4">
            <v>33213521.043896392</v>
          </cell>
          <cell r="P4">
            <v>35266644.675460055</v>
          </cell>
          <cell r="R4">
            <v>-2130436.913490653</v>
          </cell>
        </row>
        <row r="5">
          <cell r="B5">
            <v>5</v>
          </cell>
          <cell r="G5">
            <v>20180817.170676019</v>
          </cell>
          <cell r="P5">
            <v>22324592.004066382</v>
          </cell>
          <cell r="R5">
            <v>10295009.616269972</v>
          </cell>
        </row>
        <row r="6">
          <cell r="B6">
            <v>6</v>
          </cell>
          <cell r="G6">
            <v>16713587.814091487</v>
          </cell>
          <cell r="P6">
            <v>18863726.678548004</v>
          </cell>
          <cell r="R6">
            <v>12868262.914391421</v>
          </cell>
        </row>
        <row r="7">
          <cell r="B7">
            <v>7.5</v>
          </cell>
          <cell r="G7">
            <v>13453498.914390147</v>
          </cell>
          <cell r="P7">
            <v>15684483.822534945</v>
          </cell>
          <cell r="R7">
            <v>15638351.245218605</v>
          </cell>
        </row>
        <row r="8">
          <cell r="B8">
            <v>9</v>
          </cell>
          <cell r="G8">
            <v>11299407.575068234</v>
          </cell>
          <cell r="P8">
            <v>13656815.948504806</v>
          </cell>
          <cell r="R8">
            <v>17598442.8713485</v>
          </cell>
        </row>
        <row r="9">
          <cell r="B9">
            <v>10</v>
          </cell>
          <cell r="G9">
            <v>10180426.979650227</v>
          </cell>
          <cell r="P9">
            <v>12582779.764157386</v>
          </cell>
          <cell r="R9">
            <v>18055747.590571918</v>
          </cell>
        </row>
        <row r="10">
          <cell r="B10">
            <v>11</v>
          </cell>
          <cell r="G10">
            <v>9340479.4862434044</v>
          </cell>
          <cell r="P10">
            <v>11817180.537717631</v>
          </cell>
          <cell r="R10">
            <v>18558016.432816267</v>
          </cell>
        </row>
        <row r="11">
          <cell r="B11">
            <v>12.5</v>
          </cell>
          <cell r="G11">
            <v>8269085.4046494868</v>
          </cell>
          <cell r="P11">
            <v>10882755.293531986</v>
          </cell>
          <cell r="R11">
            <v>19048494.345235609</v>
          </cell>
        </row>
        <row r="12">
          <cell r="B12">
            <v>14</v>
          </cell>
          <cell r="G12">
            <v>7450017.2622209899</v>
          </cell>
          <cell r="P12">
            <v>10204539.439128684</v>
          </cell>
          <cell r="R12">
            <v>19123245.28375265</v>
          </cell>
        </row>
        <row r="13">
          <cell r="B13">
            <v>15</v>
          </cell>
          <cell r="G13">
            <v>6994710.013928473</v>
          </cell>
          <cell r="P13">
            <v>9858793.8113268595</v>
          </cell>
          <cell r="R13">
            <v>19027819.070933886</v>
          </cell>
        </row>
        <row r="14">
          <cell r="B14">
            <v>16</v>
          </cell>
          <cell r="G14">
            <v>6624682.6042744359</v>
          </cell>
          <cell r="P14">
            <v>9605869.7162685636</v>
          </cell>
          <cell r="R14">
            <v>18845620.713586695</v>
          </cell>
        </row>
        <row r="15">
          <cell r="B15">
            <v>17.5</v>
          </cell>
          <cell r="G15">
            <v>6136145.8907476934</v>
          </cell>
          <cell r="P15">
            <v>9347353.799532434</v>
          </cell>
          <cell r="R15">
            <v>18366142.153227463</v>
          </cell>
        </row>
        <row r="16">
          <cell r="B16">
            <v>19</v>
          </cell>
          <cell r="G16">
            <v>5740415.4185244562</v>
          </cell>
          <cell r="P16">
            <v>9202712.0416021924</v>
          </cell>
          <cell r="R16">
            <v>17530938.339367613</v>
          </cell>
        </row>
        <row r="17">
          <cell r="B17">
            <v>20</v>
          </cell>
          <cell r="G17">
            <v>5517718.5296929702</v>
          </cell>
          <cell r="P17">
            <v>9169907.534681553</v>
          </cell>
          <cell r="R17">
            <v>16800165.510171443</v>
          </cell>
        </row>
        <row r="18">
          <cell r="B18">
            <v>21</v>
          </cell>
          <cell r="G18">
            <v>5309687.3797742464</v>
          </cell>
          <cell r="P18">
            <v>9227779.5141991992</v>
          </cell>
          <cell r="R18">
            <v>15753132.544369696</v>
          </cell>
        </row>
        <row r="19">
          <cell r="B19">
            <v>22.5</v>
          </cell>
          <cell r="G19">
            <v>5104456.2567165783</v>
          </cell>
          <cell r="P19">
            <v>9466859.9734669514</v>
          </cell>
          <cell r="R19">
            <v>14017920.1105446</v>
          </cell>
        </row>
        <row r="20">
          <cell r="B20">
            <v>24</v>
          </cell>
          <cell r="G20">
            <v>4954528.4539529951</v>
          </cell>
          <cell r="P20">
            <v>9977258.5559159946</v>
          </cell>
          <cell r="R20">
            <v>11273013.939629192</v>
          </cell>
        </row>
        <row r="21">
          <cell r="B21">
            <v>25</v>
          </cell>
          <cell r="G21">
            <v>4892020.4369733492</v>
          </cell>
          <cell r="P21">
            <v>10618911.61707175</v>
          </cell>
          <cell r="R21">
            <v>8117304.0591556299</v>
          </cell>
        </row>
      </sheetData>
      <sheetData sheetId="9">
        <row r="2">
          <cell r="B2">
            <v>1</v>
          </cell>
          <cell r="J2">
            <v>142310623.35438824</v>
          </cell>
        </row>
        <row r="3">
          <cell r="B3">
            <v>2</v>
          </cell>
          <cell r="J3">
            <v>79850341.576707184</v>
          </cell>
        </row>
        <row r="4">
          <cell r="B4">
            <v>3</v>
          </cell>
          <cell r="J4">
            <v>55298712.336823866</v>
          </cell>
        </row>
        <row r="5">
          <cell r="B5">
            <v>5</v>
          </cell>
          <cell r="J5">
            <v>33598819.542095795</v>
          </cell>
        </row>
        <row r="6">
          <cell r="B6">
            <v>6</v>
          </cell>
          <cell r="J6">
            <v>27826797.26072659</v>
          </cell>
        </row>
        <row r="7">
          <cell r="B7">
            <v>7.5</v>
          </cell>
          <cell r="J7">
            <v>22408891.698272727</v>
          </cell>
        </row>
        <row r="8">
          <cell r="B8">
            <v>9</v>
          </cell>
          <cell r="J8">
            <v>18814316.628716744</v>
          </cell>
        </row>
        <row r="9">
          <cell r="B9">
            <v>10</v>
          </cell>
          <cell r="J9">
            <v>16950973.676000789</v>
          </cell>
        </row>
        <row r="10">
          <cell r="B10">
            <v>11</v>
          </cell>
          <cell r="J10">
            <v>15550261.400070783</v>
          </cell>
        </row>
        <row r="11">
          <cell r="B11">
            <v>12.5</v>
          </cell>
          <cell r="J11">
            <v>13767519.242866803</v>
          </cell>
        </row>
        <row r="12">
          <cell r="B12">
            <v>14</v>
          </cell>
          <cell r="J12">
            <v>12402888.473941978</v>
          </cell>
        </row>
        <row r="13">
          <cell r="B13">
            <v>15</v>
          </cell>
          <cell r="J13">
            <v>11642113.443662871</v>
          </cell>
        </row>
        <row r="14">
          <cell r="B14">
            <v>16</v>
          </cell>
          <cell r="J14">
            <v>11029681.700179592</v>
          </cell>
        </row>
        <row r="15">
          <cell r="B15">
            <v>17.5</v>
          </cell>
          <cell r="J15">
            <v>10216448.742024908</v>
          </cell>
        </row>
        <row r="16">
          <cell r="B16">
            <v>19</v>
          </cell>
          <cell r="J16">
            <v>9558006.6621316001</v>
          </cell>
        </row>
        <row r="17">
          <cell r="B17">
            <v>20</v>
          </cell>
          <cell r="J17">
            <v>9187676.6093428787</v>
          </cell>
        </row>
        <row r="18">
          <cell r="B18">
            <v>21</v>
          </cell>
          <cell r="J18">
            <v>8838749.2408382036</v>
          </cell>
        </row>
        <row r="19">
          <cell r="B19">
            <v>22.5</v>
          </cell>
          <cell r="J19">
            <v>8501129.9866961725</v>
          </cell>
        </row>
        <row r="20">
          <cell r="B20">
            <v>24</v>
          </cell>
          <cell r="J20">
            <v>8252392.741488006</v>
          </cell>
        </row>
        <row r="21">
          <cell r="B21">
            <v>25</v>
          </cell>
          <cell r="J21">
            <v>8144653.1771275355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FE5CD-E6BC-434F-A5AE-102E784D4D35}">
  <dimension ref="A1:C63"/>
  <sheetViews>
    <sheetView zoomScale="121" zoomScaleNormal="80" workbookViewId="0">
      <selection activeCell="L41" sqref="L41"/>
    </sheetView>
  </sheetViews>
  <sheetFormatPr defaultRowHeight="14.4" x14ac:dyDescent="0.3"/>
  <cols>
    <col min="1" max="1" width="10.5546875" bestFit="1" customWidth="1"/>
    <col min="2" max="2" width="17.109375" bestFit="1" customWidth="1"/>
    <col min="3" max="3" width="15.88671875" bestFit="1" customWidth="1"/>
    <col min="4" max="4" width="10.5546875" bestFit="1" customWidth="1"/>
    <col min="5" max="5" width="15.88671875" bestFit="1" customWidth="1"/>
    <col min="15" max="15" width="14.88671875" bestFit="1" customWidth="1"/>
  </cols>
  <sheetData>
    <row r="1" spans="1:3" x14ac:dyDescent="0.3">
      <c r="A1" s="48">
        <v>1</v>
      </c>
      <c r="B1" s="49">
        <v>29881134.300797451</v>
      </c>
    </row>
    <row r="2" spans="1:3" x14ac:dyDescent="0.3">
      <c r="A2" s="50">
        <v>2</v>
      </c>
      <c r="B2" s="51">
        <v>33020475.23674126</v>
      </c>
    </row>
    <row r="3" spans="1:3" x14ac:dyDescent="0.3">
      <c r="A3" s="50">
        <v>3</v>
      </c>
      <c r="B3" s="51">
        <v>33136207.761969402</v>
      </c>
      <c r="C3" s="1"/>
    </row>
    <row r="4" spans="1:3" x14ac:dyDescent="0.3">
      <c r="A4" s="50">
        <v>5</v>
      </c>
      <c r="B4" s="51">
        <v>32619601.620336354</v>
      </c>
      <c r="C4" s="1"/>
    </row>
    <row r="5" spans="1:3" x14ac:dyDescent="0.3">
      <c r="A5" s="50">
        <v>6</v>
      </c>
      <c r="B5" s="51">
        <v>31731989.592939425</v>
      </c>
      <c r="C5" s="1"/>
    </row>
    <row r="6" spans="1:3" x14ac:dyDescent="0.3">
      <c r="A6" s="50">
        <v>7.5</v>
      </c>
      <c r="B6" s="51">
        <v>31322835.06775355</v>
      </c>
      <c r="C6" s="1"/>
    </row>
    <row r="7" spans="1:3" x14ac:dyDescent="0.3">
      <c r="A7" s="50">
        <v>9</v>
      </c>
      <c r="B7" s="51">
        <v>31255258.819853306</v>
      </c>
      <c r="C7" s="1"/>
    </row>
    <row r="8" spans="1:3" x14ac:dyDescent="0.3">
      <c r="A8" s="50">
        <v>10</v>
      </c>
      <c r="B8" s="51">
        <v>30638527.354729302</v>
      </c>
      <c r="C8" s="1"/>
    </row>
    <row r="9" spans="1:3" x14ac:dyDescent="0.3">
      <c r="A9" s="50">
        <v>11</v>
      </c>
      <c r="B9" s="51">
        <v>30375196.9705339</v>
      </c>
    </row>
    <row r="10" spans="1:3" x14ac:dyDescent="0.3">
      <c r="A10" s="50">
        <v>12.5</v>
      </c>
      <c r="B10" s="51">
        <v>29931249.638767593</v>
      </c>
    </row>
    <row r="11" spans="1:3" x14ac:dyDescent="0.3">
      <c r="A11" s="50">
        <v>14</v>
      </c>
      <c r="B11" s="51">
        <v>29327784.722881332</v>
      </c>
    </row>
    <row r="12" spans="1:3" x14ac:dyDescent="0.3">
      <c r="A12" s="50">
        <v>15</v>
      </c>
      <c r="B12" s="51">
        <v>28886612.882260744</v>
      </c>
    </row>
    <row r="13" spans="1:3" x14ac:dyDescent="0.3">
      <c r="A13" s="50">
        <v>16</v>
      </c>
      <c r="B13" s="51">
        <v>28451490.429855257</v>
      </c>
    </row>
    <row r="14" spans="1:3" x14ac:dyDescent="0.3">
      <c r="A14" s="50">
        <v>17.5</v>
      </c>
      <c r="B14" s="51">
        <v>27713495.952759899</v>
      </c>
    </row>
    <row r="15" spans="1:3" x14ac:dyDescent="0.3">
      <c r="A15" s="50">
        <v>19</v>
      </c>
      <c r="B15" s="51">
        <v>26733650.380969804</v>
      </c>
    </row>
    <row r="16" spans="1:3" x14ac:dyDescent="0.3">
      <c r="A16" s="50">
        <v>20</v>
      </c>
      <c r="B16" s="51">
        <v>25970073.044852994</v>
      </c>
    </row>
    <row r="17" spans="1:2" x14ac:dyDescent="0.3">
      <c r="A17" s="50">
        <v>21</v>
      </c>
      <c r="B17" s="51">
        <v>24980912.058568895</v>
      </c>
    </row>
    <row r="18" spans="1:2" x14ac:dyDescent="0.3">
      <c r="A18" s="50">
        <v>22.5</v>
      </c>
      <c r="B18" s="51">
        <v>23484780.084011551</v>
      </c>
    </row>
    <row r="19" spans="1:2" x14ac:dyDescent="0.3">
      <c r="A19" s="50">
        <v>24</v>
      </c>
      <c r="B19" s="51">
        <v>21250272.495545186</v>
      </c>
    </row>
    <row r="20" spans="1:2" ht="15" thickBot="1" x14ac:dyDescent="0.35">
      <c r="A20" s="52">
        <v>25</v>
      </c>
      <c r="B20" s="53">
        <v>18736215.67622738</v>
      </c>
    </row>
    <row r="22" spans="1:2" ht="15" thickBot="1" x14ac:dyDescent="0.35"/>
    <row r="23" spans="1:2" x14ac:dyDescent="0.3">
      <c r="A23" s="20" t="s">
        <v>4</v>
      </c>
      <c r="B23" s="21" t="s">
        <v>5</v>
      </c>
    </row>
    <row r="24" spans="1:2" x14ac:dyDescent="0.3">
      <c r="A24" s="22">
        <v>0</v>
      </c>
      <c r="B24" s="23">
        <v>0</v>
      </c>
    </row>
    <row r="25" spans="1:2" x14ac:dyDescent="0.3">
      <c r="A25" s="22">
        <v>2.5</v>
      </c>
      <c r="B25" s="24">
        <v>30132020.092579596</v>
      </c>
    </row>
    <row r="26" spans="1:2" x14ac:dyDescent="0.3">
      <c r="A26" s="22">
        <v>5</v>
      </c>
      <c r="B26" s="24">
        <v>30169772.125801623</v>
      </c>
    </row>
    <row r="27" spans="1:2" x14ac:dyDescent="0.3">
      <c r="A27" s="22">
        <v>10</v>
      </c>
      <c r="B27" s="24">
        <v>29863688.269039631</v>
      </c>
    </row>
    <row r="28" spans="1:2" x14ac:dyDescent="0.3">
      <c r="A28" s="22">
        <v>11</v>
      </c>
      <c r="B28" s="24">
        <v>28768063.677026339</v>
      </c>
    </row>
    <row r="29" spans="1:2" x14ac:dyDescent="0.3">
      <c r="A29" s="22">
        <v>12.5</v>
      </c>
      <c r="B29" s="24">
        <v>28444382.598700099</v>
      </c>
    </row>
    <row r="30" spans="1:2" x14ac:dyDescent="0.3">
      <c r="A30" s="22">
        <v>14</v>
      </c>
      <c r="B30" s="24">
        <v>26026957.326689314</v>
      </c>
    </row>
    <row r="31" spans="1:2" x14ac:dyDescent="0.3">
      <c r="A31" s="22">
        <v>15</v>
      </c>
      <c r="B31" s="24">
        <v>24723305.736315683</v>
      </c>
    </row>
    <row r="32" spans="1:2" x14ac:dyDescent="0.3">
      <c r="A32" s="22">
        <v>16</v>
      </c>
      <c r="B32" s="24">
        <v>22635768.51641918</v>
      </c>
    </row>
    <row r="33" spans="1:2" x14ac:dyDescent="0.3">
      <c r="A33" s="22">
        <v>17.5</v>
      </c>
      <c r="B33" s="24">
        <v>17650247.119923007</v>
      </c>
    </row>
    <row r="34" spans="1:2" x14ac:dyDescent="0.3">
      <c r="A34" s="22">
        <v>19</v>
      </c>
      <c r="B34" s="24">
        <v>1538173.3842212998</v>
      </c>
    </row>
    <row r="35" spans="1:2" x14ac:dyDescent="0.3">
      <c r="A35" s="22">
        <v>20</v>
      </c>
      <c r="B35" s="24">
        <v>-81758569.490155146</v>
      </c>
    </row>
    <row r="36" spans="1:2" ht="15" thickBot="1" x14ac:dyDescent="0.35">
      <c r="A36" s="25">
        <v>21</v>
      </c>
      <c r="B36" s="26">
        <v>-154944321.91365311</v>
      </c>
    </row>
    <row r="37" spans="1:2" x14ac:dyDescent="0.3">
      <c r="B37" s="1"/>
    </row>
    <row r="38" spans="1:2" ht="15" thickBot="1" x14ac:dyDescent="0.35">
      <c r="B38" s="1"/>
    </row>
    <row r="39" spans="1:2" x14ac:dyDescent="0.3">
      <c r="A39" s="6" t="s">
        <v>6</v>
      </c>
      <c r="B39" s="7" t="s">
        <v>1</v>
      </c>
    </row>
    <row r="40" spans="1:2" x14ac:dyDescent="0.3">
      <c r="A40" s="8">
        <v>0</v>
      </c>
      <c r="B40" s="9">
        <v>0</v>
      </c>
    </row>
    <row r="41" spans="1:2" x14ac:dyDescent="0.3">
      <c r="A41" s="8">
        <v>2.5</v>
      </c>
      <c r="B41" s="9">
        <v>29967851.583874859</v>
      </c>
    </row>
    <row r="42" spans="1:2" x14ac:dyDescent="0.3">
      <c r="A42" s="8">
        <v>5</v>
      </c>
      <c r="B42" s="9">
        <v>31467689.169642676</v>
      </c>
    </row>
    <row r="43" spans="1:2" x14ac:dyDescent="0.3">
      <c r="A43" s="8">
        <v>10</v>
      </c>
      <c r="B43" s="9">
        <v>28628013.330211062</v>
      </c>
    </row>
    <row r="44" spans="1:2" x14ac:dyDescent="0.3">
      <c r="A44" s="8">
        <v>11</v>
      </c>
      <c r="B44" s="9">
        <v>26266879.217124444</v>
      </c>
    </row>
    <row r="45" spans="1:2" x14ac:dyDescent="0.3">
      <c r="A45" s="8">
        <v>12</v>
      </c>
      <c r="B45" s="9">
        <v>24473966.038314421</v>
      </c>
    </row>
    <row r="46" spans="1:2" x14ac:dyDescent="0.3">
      <c r="A46" s="8">
        <v>12.5</v>
      </c>
      <c r="B46" s="9">
        <v>23407726.928085402</v>
      </c>
    </row>
    <row r="47" spans="1:2" x14ac:dyDescent="0.3">
      <c r="A47" s="8">
        <v>13</v>
      </c>
      <c r="B47" s="9">
        <v>21885520.424746968</v>
      </c>
    </row>
    <row r="48" spans="1:2" x14ac:dyDescent="0.3">
      <c r="A48" s="8">
        <v>14</v>
      </c>
      <c r="B48" s="9">
        <v>17375089.262323368</v>
      </c>
    </row>
    <row r="49" spans="1:2" x14ac:dyDescent="0.3">
      <c r="A49" s="8">
        <v>15</v>
      </c>
      <c r="B49" s="9">
        <v>4189119.4415387581</v>
      </c>
    </row>
    <row r="50" spans="1:2" ht="15" thickBot="1" x14ac:dyDescent="0.35">
      <c r="A50" s="10">
        <v>16</v>
      </c>
      <c r="B50" s="11">
        <v>-48001549.444307745</v>
      </c>
    </row>
    <row r="51" spans="1:2" x14ac:dyDescent="0.3">
      <c r="A51" s="12"/>
      <c r="B51" s="13"/>
    </row>
    <row r="52" spans="1:2" ht="15" thickBot="1" x14ac:dyDescent="0.35">
      <c r="B52" s="1"/>
    </row>
    <row r="53" spans="1:2" x14ac:dyDescent="0.3">
      <c r="A53" s="14" t="s">
        <v>0</v>
      </c>
      <c r="B53" s="15" t="s">
        <v>2</v>
      </c>
    </row>
    <row r="54" spans="1:2" x14ac:dyDescent="0.3">
      <c r="A54" s="16">
        <v>0</v>
      </c>
      <c r="B54" s="17">
        <v>0</v>
      </c>
    </row>
    <row r="55" spans="1:2" x14ac:dyDescent="0.3">
      <c r="A55" s="16">
        <v>2.5</v>
      </c>
      <c r="B55" s="17">
        <v>28918857.007137254</v>
      </c>
    </row>
    <row r="56" spans="1:2" x14ac:dyDescent="0.3">
      <c r="A56" s="16">
        <v>5</v>
      </c>
      <c r="B56" s="17">
        <v>31046703.549552608</v>
      </c>
    </row>
    <row r="57" spans="1:2" x14ac:dyDescent="0.3">
      <c r="A57" s="16">
        <v>10</v>
      </c>
      <c r="B57" s="17">
        <v>26745353.523377139</v>
      </c>
    </row>
    <row r="58" spans="1:2" x14ac:dyDescent="0.3">
      <c r="A58" s="16">
        <v>11</v>
      </c>
      <c r="B58" s="17">
        <v>21434634.197422683</v>
      </c>
    </row>
    <row r="59" spans="1:2" x14ac:dyDescent="0.3">
      <c r="A59" s="16">
        <v>12</v>
      </c>
      <c r="B59" s="17">
        <v>15501865.543045627</v>
      </c>
    </row>
    <row r="60" spans="1:2" x14ac:dyDescent="0.3">
      <c r="A60" s="16">
        <v>12.5</v>
      </c>
      <c r="B60" s="17">
        <v>10710472.732510448</v>
      </c>
    </row>
    <row r="61" spans="1:2" x14ac:dyDescent="0.3">
      <c r="A61" s="16">
        <v>13</v>
      </c>
      <c r="B61" s="17">
        <v>2274113.25820192</v>
      </c>
    </row>
    <row r="62" spans="1:2" x14ac:dyDescent="0.3">
      <c r="A62" s="16">
        <v>14</v>
      </c>
      <c r="B62" s="17">
        <v>-12121640.1443453</v>
      </c>
    </row>
    <row r="63" spans="1:2" ht="15" thickBot="1" x14ac:dyDescent="0.35">
      <c r="A63" s="18">
        <v>15</v>
      </c>
      <c r="B63" s="19">
        <v>-49121640.144345298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AD83-BF0D-42CD-816B-2895463F0ACA}">
  <dimension ref="B1:T36"/>
  <sheetViews>
    <sheetView topLeftCell="G3" zoomScale="57" zoomScaleNormal="80" workbookViewId="0">
      <selection activeCell="B25" sqref="B25:R37"/>
    </sheetView>
  </sheetViews>
  <sheetFormatPr defaultRowHeight="14.4" x14ac:dyDescent="0.3"/>
  <cols>
    <col min="1" max="1" width="30.88671875" bestFit="1" customWidth="1"/>
    <col min="2" max="2" width="17.21875" customWidth="1"/>
    <col min="3" max="3" width="39.109375" bestFit="1" customWidth="1"/>
    <col min="4" max="4" width="35.21875" bestFit="1" customWidth="1"/>
    <col min="5" max="5" width="18.109375" bestFit="1" customWidth="1"/>
    <col min="6" max="6" width="16.88671875" bestFit="1" customWidth="1"/>
    <col min="7" max="7" width="34" bestFit="1" customWidth="1"/>
    <col min="8" max="8" width="24.77734375" customWidth="1"/>
    <col min="9" max="9" width="35.21875" bestFit="1" customWidth="1"/>
    <col min="10" max="10" width="22" customWidth="1"/>
    <col min="11" max="11" width="21.109375" bestFit="1" customWidth="1"/>
    <col min="12" max="12" width="29.44140625" bestFit="1" customWidth="1"/>
    <col min="13" max="13" width="21.5546875" bestFit="1" customWidth="1"/>
    <col min="14" max="14" width="34.88671875" bestFit="1" customWidth="1"/>
    <col min="15" max="15" width="33.21875" bestFit="1" customWidth="1"/>
    <col min="16" max="16" width="57.44140625" bestFit="1" customWidth="1"/>
    <col min="17" max="17" width="29.44140625" bestFit="1" customWidth="1"/>
    <col min="18" max="18" width="52.44140625" bestFit="1" customWidth="1"/>
    <col min="19" max="19" width="48.77734375" bestFit="1" customWidth="1"/>
    <col min="20" max="20" width="43.33203125" bestFit="1" customWidth="1"/>
  </cols>
  <sheetData>
    <row r="1" spans="2:20" x14ac:dyDescent="0.3">
      <c r="B1" s="88" t="s">
        <v>7</v>
      </c>
      <c r="C1" s="89" t="s">
        <v>8</v>
      </c>
      <c r="D1" s="90" t="s">
        <v>9</v>
      </c>
      <c r="E1" s="90" t="s">
        <v>10</v>
      </c>
      <c r="F1" s="90" t="s">
        <v>11</v>
      </c>
      <c r="G1" s="90" t="s">
        <v>12</v>
      </c>
      <c r="H1" s="90" t="s">
        <v>68</v>
      </c>
      <c r="I1" s="90" t="s">
        <v>13</v>
      </c>
      <c r="J1" s="90" t="s">
        <v>14</v>
      </c>
      <c r="K1" s="90" t="s">
        <v>15</v>
      </c>
      <c r="L1" s="90" t="s">
        <v>16</v>
      </c>
      <c r="M1" s="90" t="s">
        <v>17</v>
      </c>
      <c r="N1" s="90" t="s">
        <v>18</v>
      </c>
      <c r="O1" s="90" t="s">
        <v>19</v>
      </c>
      <c r="P1" s="90" t="s">
        <v>20</v>
      </c>
      <c r="Q1" s="91" t="s">
        <v>23</v>
      </c>
      <c r="R1" s="90" t="s">
        <v>22</v>
      </c>
      <c r="S1" s="90" t="s">
        <v>21</v>
      </c>
      <c r="T1" s="92" t="s">
        <v>24</v>
      </c>
    </row>
    <row r="2" spans="2:20" x14ac:dyDescent="0.3">
      <c r="B2" s="68">
        <v>1</v>
      </c>
      <c r="C2" s="80">
        <v>796343.33972519997</v>
      </c>
      <c r="D2" s="69">
        <v>690.50818700000002</v>
      </c>
      <c r="E2" s="82">
        <f>C2*$C$31</f>
        <v>86951534.749585003</v>
      </c>
      <c r="F2" s="70">
        <f>D2*$H$29*$H$30</f>
        <v>294616.64231781679</v>
      </c>
      <c r="G2" s="82">
        <f>F2+E2</f>
        <v>87246151.391902819</v>
      </c>
      <c r="H2" s="70">
        <v>225800</v>
      </c>
      <c r="I2" s="82">
        <f>H2/$H$36</f>
        <v>75266.666666666672</v>
      </c>
      <c r="J2" s="69">
        <v>3.3478603200000001</v>
      </c>
      <c r="K2" s="84">
        <v>0.55795358799999994</v>
      </c>
      <c r="L2" s="69">
        <f t="shared" ref="L2:L3" si="0">(((K2*K2*PI()/4))*J2)</f>
        <v>0.81856535725806778</v>
      </c>
      <c r="M2" s="82">
        <f t="shared" ref="M2:M3" si="1">L2*$M$28*$M$29*$M$30*(1-$M$31)</f>
        <v>1740499.1478306847</v>
      </c>
      <c r="N2" s="69">
        <v>-2990.1754942595999</v>
      </c>
      <c r="O2" s="84">
        <f>((-N2/$Q$34)*$Q$32*$Q$35*$Q$31)</f>
        <v>11099.531434691633</v>
      </c>
      <c r="P2" s="71">
        <f>G2+I2+M2+O2</f>
        <v>89073016.737834856</v>
      </c>
      <c r="Q2" s="86">
        <v>29881134.300797451</v>
      </c>
      <c r="R2" s="72">
        <f t="shared" ref="R2:R3" si="2">Q2-P2</f>
        <v>-59191882.437037408</v>
      </c>
      <c r="S2" s="86">
        <f>F2+I2+M2+O2</f>
        <v>2121481.9882498598</v>
      </c>
      <c r="T2" s="73">
        <f>Q2-S2</f>
        <v>27759652.312547591</v>
      </c>
    </row>
    <row r="3" spans="2:20" x14ac:dyDescent="0.3">
      <c r="B3" s="68">
        <v>2</v>
      </c>
      <c r="C3" s="80">
        <v>437818.97230199998</v>
      </c>
      <c r="D3" s="69">
        <v>361.25148100000001</v>
      </c>
      <c r="E3" s="82">
        <f>C3*$C$31</f>
        <v>47804796.857196927</v>
      </c>
      <c r="F3" s="70">
        <f>D3*$H$29*$H$30</f>
        <v>154133.86889293842</v>
      </c>
      <c r="G3" s="82">
        <f t="shared" ref="G3" si="3">F3+E3</f>
        <v>47958930.726089865</v>
      </c>
      <c r="H3" s="70">
        <v>226300</v>
      </c>
      <c r="I3" s="82">
        <f>H3/$H$36</f>
        <v>75433.333333333328</v>
      </c>
      <c r="J3" s="69">
        <v>3.4500776900000001</v>
      </c>
      <c r="K3" s="84">
        <v>0.57506618600000003</v>
      </c>
      <c r="L3" s="69">
        <f t="shared" si="0"/>
        <v>0.89609575429517685</v>
      </c>
      <c r="M3" s="82">
        <f t="shared" si="1"/>
        <v>1905350.4804427489</v>
      </c>
      <c r="N3" s="69">
        <v>-3373.8218088660001</v>
      </c>
      <c r="O3" s="84">
        <f>((-N3/$Q$34)*$Q$32*$Q$35*$Q$31)</f>
        <v>12523.626554510589</v>
      </c>
      <c r="P3" s="71">
        <f t="shared" ref="P3" si="4">G3+I3+M3+O3</f>
        <v>49952238.16642046</v>
      </c>
      <c r="Q3" s="86">
        <v>33020475.23674126</v>
      </c>
      <c r="R3" s="72">
        <f t="shared" si="2"/>
        <v>-16931762.9296792</v>
      </c>
      <c r="S3" s="86">
        <f t="shared" ref="S3:S21" si="5">F3+I3+M3+O3</f>
        <v>2147441.3092235313</v>
      </c>
      <c r="T3" s="73">
        <f t="shared" ref="T3:T21" si="6">Q3-S3</f>
        <v>30873033.927517727</v>
      </c>
    </row>
    <row r="4" spans="2:20" x14ac:dyDescent="0.3">
      <c r="B4" s="68">
        <v>3</v>
      </c>
      <c r="C4" s="80">
        <v>303194.36390796001</v>
      </c>
      <c r="D4" s="69">
        <v>253.55462800000001</v>
      </c>
      <c r="E4" s="82">
        <f>C4*$C$31</f>
        <v>33105337.803564291</v>
      </c>
      <c r="F4" s="70">
        <f>D4*$H$29*$H$30</f>
        <v>108183.2403320992</v>
      </c>
      <c r="G4" s="82">
        <f t="shared" ref="G4:G21" si="7">F4+E4</f>
        <v>33213521.043896392</v>
      </c>
      <c r="H4" s="70">
        <v>226300</v>
      </c>
      <c r="I4" s="82">
        <f>H4/$H$36</f>
        <v>75433.333333333328</v>
      </c>
      <c r="J4" s="69">
        <v>3.4858812000000001</v>
      </c>
      <c r="K4" s="84">
        <v>0.58099389999999995</v>
      </c>
      <c r="L4" s="69">
        <f t="shared" ref="L4:L21" si="8">(((K4*K4*PI()/4))*J4)</f>
        <v>0.92415668373270554</v>
      </c>
      <c r="M4" s="82">
        <f t="shared" ref="M4:M21" si="9">L4*$M$28*$M$29*$M$30*(1-$M$31)</f>
        <v>1965015.8734871775</v>
      </c>
      <c r="N4" s="69">
        <v>-3414.4463208923999</v>
      </c>
      <c r="O4" s="84">
        <f>((-N4/$Q$34)*$Q$32*$Q$35*$Q$31)</f>
        <v>12674.424743152586</v>
      </c>
      <c r="P4" s="71">
        <f t="shared" ref="P4:P21" si="10">G4+I4+M4+O4</f>
        <v>35266644.675460055</v>
      </c>
      <c r="Q4" s="86">
        <v>33136207.761969402</v>
      </c>
      <c r="R4" s="72">
        <f t="shared" ref="R4:R21" si="11">Q4-P4</f>
        <v>-2130436.913490653</v>
      </c>
      <c r="S4" s="86">
        <f t="shared" si="5"/>
        <v>2161306.8718957626</v>
      </c>
      <c r="T4" s="73">
        <f t="shared" si="6"/>
        <v>30974900.890073638</v>
      </c>
    </row>
    <row r="5" spans="2:20" x14ac:dyDescent="0.3">
      <c r="B5" s="68">
        <v>5</v>
      </c>
      <c r="C5" s="80">
        <v>184205.72729628001</v>
      </c>
      <c r="D5" s="69">
        <v>158.601933</v>
      </c>
      <c r="E5" s="82">
        <f>C5*$C$31</f>
        <v>20113147.054889869</v>
      </c>
      <c r="F5" s="70">
        <f>D5*$H$29*$H$30</f>
        <v>67670.115786151204</v>
      </c>
      <c r="G5" s="82">
        <f t="shared" si="7"/>
        <v>20180817.170676019</v>
      </c>
      <c r="H5" s="70">
        <v>226900</v>
      </c>
      <c r="I5" s="82">
        <f>H5/$H$36</f>
        <v>75633.333333333328</v>
      </c>
      <c r="J5" s="69">
        <v>3.5383825099999999</v>
      </c>
      <c r="K5" s="84">
        <v>0.58978380600000002</v>
      </c>
      <c r="L5" s="69">
        <f t="shared" si="8"/>
        <v>0.96667469154815711</v>
      </c>
      <c r="M5" s="82">
        <f t="shared" si="9"/>
        <v>2055421.0631450159</v>
      </c>
      <c r="N5" s="69">
        <v>-3426.8418405215998</v>
      </c>
      <c r="O5" s="84">
        <f>((-N5/$Q$34)*$Q$32*$Q$35*$Q$31)</f>
        <v>12720.436912016175</v>
      </c>
      <c r="P5" s="71">
        <f t="shared" si="10"/>
        <v>22324592.004066382</v>
      </c>
      <c r="Q5" s="86">
        <v>32619601.620336354</v>
      </c>
      <c r="R5" s="72">
        <f t="shared" si="11"/>
        <v>10295009.616269972</v>
      </c>
      <c r="S5" s="86">
        <f t="shared" si="5"/>
        <v>2211444.9491765164</v>
      </c>
      <c r="T5" s="73">
        <f t="shared" si="6"/>
        <v>30408156.671159837</v>
      </c>
    </row>
    <row r="6" spans="2:20" x14ac:dyDescent="0.3">
      <c r="B6" s="68">
        <v>6</v>
      </c>
      <c r="C6" s="80">
        <v>152550.93310992001</v>
      </c>
      <c r="D6" s="69">
        <v>133.07880399999999</v>
      </c>
      <c r="E6" s="82">
        <f>C6*$C$31</f>
        <v>16656807.559872501</v>
      </c>
      <c r="F6" s="70">
        <f>D6*$H$29*$H$30</f>
        <v>56780.254218985596</v>
      </c>
      <c r="G6" s="82">
        <f t="shared" si="7"/>
        <v>16713587.814091487</v>
      </c>
      <c r="H6" s="70">
        <v>226900</v>
      </c>
      <c r="I6" s="82">
        <f>H6/$H$36</f>
        <v>75633.333333333328</v>
      </c>
      <c r="J6" s="69">
        <v>3.54238835</v>
      </c>
      <c r="K6" s="84">
        <v>0.59039371100000004</v>
      </c>
      <c r="L6" s="69">
        <f t="shared" si="8"/>
        <v>0.96977168044055473</v>
      </c>
      <c r="M6" s="82">
        <f t="shared" si="9"/>
        <v>2062006.1286871429</v>
      </c>
      <c r="N6" s="69">
        <v>-3367.2959148815999</v>
      </c>
      <c r="O6" s="84">
        <f>((-N6/$Q$34)*$Q$32*$Q$35*$Q$31)</f>
        <v>12499.402436040496</v>
      </c>
      <c r="P6" s="71">
        <f t="shared" si="10"/>
        <v>18863726.678548004</v>
      </c>
      <c r="Q6" s="86">
        <v>31731989.592939425</v>
      </c>
      <c r="R6" s="72">
        <f t="shared" si="11"/>
        <v>12868262.914391421</v>
      </c>
      <c r="S6" s="86">
        <f t="shared" si="5"/>
        <v>2206919.118675502</v>
      </c>
      <c r="T6" s="73">
        <f t="shared" si="6"/>
        <v>29525070.474263921</v>
      </c>
    </row>
    <row r="7" spans="2:20" x14ac:dyDescent="0.3">
      <c r="B7" s="68">
        <v>7.5</v>
      </c>
      <c r="C7" s="80">
        <v>122788.3267584</v>
      </c>
      <c r="D7" s="69">
        <v>108.810298</v>
      </c>
      <c r="E7" s="82">
        <f>C7*$C$31</f>
        <v>13407073.21625956</v>
      </c>
      <c r="F7" s="70">
        <f>D7*$H$29*$H$30</f>
        <v>46425.698130587203</v>
      </c>
      <c r="G7" s="82">
        <f t="shared" si="7"/>
        <v>13453498.914390147</v>
      </c>
      <c r="H7" s="70">
        <v>226900</v>
      </c>
      <c r="I7" s="82">
        <f>H7/$H$36</f>
        <v>75633.333333333328</v>
      </c>
      <c r="J7" s="69">
        <v>3.5879528999999999</v>
      </c>
      <c r="K7" s="84">
        <v>0.59801475100000001</v>
      </c>
      <c r="L7" s="69">
        <f t="shared" si="8"/>
        <v>1.0077676383099654</v>
      </c>
      <c r="M7" s="82">
        <f t="shared" si="9"/>
        <v>2142796.1739857136</v>
      </c>
      <c r="N7" s="69">
        <v>-3382.3816879716001</v>
      </c>
      <c r="O7" s="84">
        <f>((-N7/$Q$34)*$Q$32*$Q$35*$Q$31)</f>
        <v>12555.400825750576</v>
      </c>
      <c r="P7" s="71">
        <f t="shared" si="10"/>
        <v>15684483.822534945</v>
      </c>
      <c r="Q7" s="86">
        <v>31322835.06775355</v>
      </c>
      <c r="R7" s="72">
        <f t="shared" si="11"/>
        <v>15638351.245218605</v>
      </c>
      <c r="S7" s="86">
        <f t="shared" si="5"/>
        <v>2277410.6062753848</v>
      </c>
      <c r="T7" s="73">
        <f t="shared" si="6"/>
        <v>29045424.461478166</v>
      </c>
    </row>
    <row r="8" spans="2:20" x14ac:dyDescent="0.3">
      <c r="B8" s="68">
        <v>9</v>
      </c>
      <c r="C8" s="80">
        <v>103122.75173148001</v>
      </c>
      <c r="D8" s="69">
        <v>92.786771200000004</v>
      </c>
      <c r="E8" s="82">
        <f>C8*$C$31</f>
        <v>11259818.577432705</v>
      </c>
      <c r="F8" s="70">
        <f>D8*$H$29*$H$30</f>
        <v>39588.997635527681</v>
      </c>
      <c r="G8" s="82">
        <f t="shared" si="7"/>
        <v>11299407.575068234</v>
      </c>
      <c r="H8" s="70">
        <v>226900</v>
      </c>
      <c r="I8" s="82">
        <f>H8/$H$36</f>
        <v>75633.333333333328</v>
      </c>
      <c r="J8" s="69">
        <v>3.6570413199999998</v>
      </c>
      <c r="K8" s="84">
        <v>0.60953102699999995</v>
      </c>
      <c r="L8" s="69">
        <f t="shared" si="8"/>
        <v>1.0671153905519997</v>
      </c>
      <c r="M8" s="82">
        <f t="shared" si="9"/>
        <v>2268986.112622906</v>
      </c>
      <c r="N8" s="69">
        <v>-3445.2929634515999</v>
      </c>
      <c r="O8" s="84">
        <f>((-N8/$Q$34)*$Q$32*$Q$35*$Q$31)</f>
        <v>12788.927480332337</v>
      </c>
      <c r="P8" s="71">
        <f t="shared" si="10"/>
        <v>13656815.948504806</v>
      </c>
      <c r="Q8" s="86">
        <v>31255258.819853306</v>
      </c>
      <c r="R8" s="72">
        <f t="shared" si="11"/>
        <v>17598442.8713485</v>
      </c>
      <c r="S8" s="86">
        <f t="shared" si="5"/>
        <v>2396997.3710720995</v>
      </c>
      <c r="T8" s="73">
        <f t="shared" si="6"/>
        <v>28858261.448781207</v>
      </c>
    </row>
    <row r="9" spans="2:20" x14ac:dyDescent="0.3">
      <c r="B9" s="68">
        <v>10</v>
      </c>
      <c r="C9" s="80">
        <v>92907.488943000004</v>
      </c>
      <c r="D9" s="69">
        <v>84.369482099999999</v>
      </c>
      <c r="E9" s="82">
        <f>C9*$C$31</f>
        <v>10144429.356452756</v>
      </c>
      <c r="F9" s="70">
        <f>D9*$H$29*$H$30</f>
        <v>35997.623197471439</v>
      </c>
      <c r="G9" s="82">
        <f t="shared" si="7"/>
        <v>10180426.979650227</v>
      </c>
      <c r="H9" s="70">
        <v>252400</v>
      </c>
      <c r="I9" s="82">
        <f>H9/$H$36</f>
        <v>84133.333333333328</v>
      </c>
      <c r="J9" s="69">
        <v>3.6767127099999999</v>
      </c>
      <c r="K9" s="84">
        <v>0.61277296699999995</v>
      </c>
      <c r="L9" s="69">
        <f t="shared" si="8"/>
        <v>1.084298291151889</v>
      </c>
      <c r="M9" s="82">
        <f t="shared" si="9"/>
        <v>2305521.7705104393</v>
      </c>
      <c r="N9" s="69">
        <v>-3420.7113856104002</v>
      </c>
      <c r="O9" s="84">
        <f>((-N9/$Q$34)*$Q$32*$Q$35*$Q$31)</f>
        <v>12697.680663385801</v>
      </c>
      <c r="P9" s="71">
        <f t="shared" si="10"/>
        <v>12582779.764157386</v>
      </c>
      <c r="Q9" s="86">
        <v>30638527.354729302</v>
      </c>
      <c r="R9" s="72">
        <f t="shared" si="11"/>
        <v>18055747.590571918</v>
      </c>
      <c r="S9" s="86">
        <f t="shared" si="5"/>
        <v>2438350.4077046299</v>
      </c>
      <c r="T9" s="73">
        <f t="shared" si="6"/>
        <v>28200176.947024673</v>
      </c>
    </row>
    <row r="10" spans="2:20" x14ac:dyDescent="0.3">
      <c r="B10" s="68">
        <v>11</v>
      </c>
      <c r="C10" s="80">
        <v>85239.571152239994</v>
      </c>
      <c r="D10" s="69">
        <v>78.043575700000005</v>
      </c>
      <c r="E10" s="82">
        <f>C10*$C$31</f>
        <v>9307180.9147563577</v>
      </c>
      <c r="F10" s="70">
        <f>D10*$H$29*$H$30</f>
        <v>33298.57148704648</v>
      </c>
      <c r="G10" s="82">
        <f t="shared" si="7"/>
        <v>9340479.4862434044</v>
      </c>
      <c r="H10" s="70">
        <v>252400</v>
      </c>
      <c r="I10" s="82">
        <f>H10/$H$36</f>
        <v>84133.333333333328</v>
      </c>
      <c r="J10" s="69">
        <v>3.7158665599999998</v>
      </c>
      <c r="K10" s="84">
        <v>0.61927614499999994</v>
      </c>
      <c r="L10" s="69">
        <f t="shared" si="8"/>
        <v>1.1192283261185387</v>
      </c>
      <c r="M10" s="82">
        <f t="shared" si="9"/>
        <v>2379792.8052593269</v>
      </c>
      <c r="N10" s="69">
        <v>-3441.5174788703998</v>
      </c>
      <c r="O10" s="84">
        <f>((-N10/$Q$34)*$Q$32*$Q$35*$Q$31)</f>
        <v>12774.912881566921</v>
      </c>
      <c r="P10" s="71">
        <f t="shared" si="10"/>
        <v>11817180.537717631</v>
      </c>
      <c r="Q10" s="86">
        <v>30375196.9705339</v>
      </c>
      <c r="R10" s="72">
        <f t="shared" si="11"/>
        <v>18558016.432816267</v>
      </c>
      <c r="S10" s="86">
        <f t="shared" si="5"/>
        <v>2509999.6229612739</v>
      </c>
      <c r="T10" s="73">
        <f t="shared" si="6"/>
        <v>27865197.347572625</v>
      </c>
    </row>
    <row r="11" spans="2:20" x14ac:dyDescent="0.3">
      <c r="B11" s="68">
        <v>12.5</v>
      </c>
      <c r="C11" s="80">
        <v>75459.095402039995</v>
      </c>
      <c r="D11" s="69">
        <v>69.890589800000001</v>
      </c>
      <c r="E11" s="82">
        <f>C11*$C$31</f>
        <v>8239265.4383056443</v>
      </c>
      <c r="F11" s="70">
        <f>D11*$H$29*$H$30</f>
        <v>29819.96634384272</v>
      </c>
      <c r="G11" s="82">
        <f t="shared" si="7"/>
        <v>8269085.4046494868</v>
      </c>
      <c r="H11" s="70">
        <v>252400</v>
      </c>
      <c r="I11" s="82">
        <f>H11/$H$36</f>
        <v>84133.333333333328</v>
      </c>
      <c r="J11" s="69">
        <v>3.7856167300000001</v>
      </c>
      <c r="K11" s="84">
        <v>0.63093454400000004</v>
      </c>
      <c r="L11" s="69">
        <f t="shared" si="8"/>
        <v>1.1835732346104761</v>
      </c>
      <c r="M11" s="82">
        <f t="shared" si="9"/>
        <v>2516608.0972875636</v>
      </c>
      <c r="N11" s="69">
        <v>-3482.8820747855998</v>
      </c>
      <c r="O11" s="84">
        <f>((-N11/$Q$34)*$Q$32*$Q$35*$Q$31)</f>
        <v>12928.458261604144</v>
      </c>
      <c r="P11" s="71">
        <f t="shared" si="10"/>
        <v>10882755.293531986</v>
      </c>
      <c r="Q11" s="86">
        <v>29931249.638767593</v>
      </c>
      <c r="R11" s="72">
        <f t="shared" si="11"/>
        <v>19048494.345235609</v>
      </c>
      <c r="S11" s="86">
        <f t="shared" si="5"/>
        <v>2643489.8552263435</v>
      </c>
      <c r="T11" s="73">
        <f t="shared" si="6"/>
        <v>27287759.783541247</v>
      </c>
    </row>
    <row r="12" spans="2:20" x14ac:dyDescent="0.3">
      <c r="B12" s="68">
        <v>14</v>
      </c>
      <c r="C12" s="80">
        <v>67982.112019799999</v>
      </c>
      <c r="D12" s="69">
        <v>63.6385334</v>
      </c>
      <c r="E12" s="82">
        <f>C12*$C$31</f>
        <v>7422864.8382739322</v>
      </c>
      <c r="F12" s="70">
        <f>D12*$H$29*$H$30</f>
        <v>27152.42394705776</v>
      </c>
      <c r="G12" s="82">
        <f t="shared" si="7"/>
        <v>7450017.2622209899</v>
      </c>
      <c r="H12" s="70">
        <v>253200</v>
      </c>
      <c r="I12" s="82">
        <f>H12/$H$36</f>
        <v>84400</v>
      </c>
      <c r="J12" s="69">
        <v>3.8547726500000001</v>
      </c>
      <c r="K12" s="84">
        <v>0.642462282</v>
      </c>
      <c r="L12" s="69">
        <f t="shared" si="8"/>
        <v>1.2496371343614381</v>
      </c>
      <c r="M12" s="82">
        <f t="shared" si="9"/>
        <v>2657078.4460500395</v>
      </c>
      <c r="N12" s="69">
        <v>-3513.9361146695901</v>
      </c>
      <c r="O12" s="84">
        <f>((-N12/$Q$34)*$Q$32*$Q$35*$Q$31)</f>
        <v>13043.730857653516</v>
      </c>
      <c r="P12" s="71">
        <f t="shared" si="10"/>
        <v>10204539.439128684</v>
      </c>
      <c r="Q12" s="86">
        <v>29327784.722881332</v>
      </c>
      <c r="R12" s="72">
        <f t="shared" si="11"/>
        <v>19123245.28375265</v>
      </c>
      <c r="S12" s="86">
        <f t="shared" si="5"/>
        <v>2781674.6008547507</v>
      </c>
      <c r="T12" s="73">
        <f t="shared" si="6"/>
        <v>26546110.122026581</v>
      </c>
    </row>
    <row r="13" spans="2:20" x14ac:dyDescent="0.3">
      <c r="B13" s="68">
        <v>15</v>
      </c>
      <c r="C13" s="80">
        <v>63825.745031639999</v>
      </c>
      <c r="D13" s="69">
        <v>60.170316999999997</v>
      </c>
      <c r="E13" s="82">
        <f>C13*$C$31</f>
        <v>6969037.3613872239</v>
      </c>
      <c r="F13" s="70">
        <f>D13*$H$29*$H$30</f>
        <v>25672.652541248797</v>
      </c>
      <c r="G13" s="82">
        <f t="shared" si="7"/>
        <v>6994710.013928473</v>
      </c>
      <c r="H13" s="70">
        <v>253200</v>
      </c>
      <c r="I13" s="82">
        <f>H13/$H$36</f>
        <v>84400</v>
      </c>
      <c r="J13" s="69">
        <v>3.90708878</v>
      </c>
      <c r="K13" s="84">
        <v>0.65115905600000001</v>
      </c>
      <c r="L13" s="69">
        <f t="shared" si="8"/>
        <v>1.3011199348358138</v>
      </c>
      <c r="M13" s="82">
        <f t="shared" si="9"/>
        <v>2766545.2950426945</v>
      </c>
      <c r="N13" s="69">
        <v>-3539.4672294431998</v>
      </c>
      <c r="O13" s="84">
        <f>((-N13/$Q$34)*$Q$32*$Q$35*$Q$31)</f>
        <v>13138.502355693154</v>
      </c>
      <c r="P13" s="71">
        <f t="shared" si="10"/>
        <v>9858793.8113268595</v>
      </c>
      <c r="Q13" s="86">
        <v>28886612.882260744</v>
      </c>
      <c r="R13" s="72">
        <f t="shared" si="11"/>
        <v>19027819.070933886</v>
      </c>
      <c r="S13" s="86">
        <f t="shared" si="5"/>
        <v>2889756.4499396365</v>
      </c>
      <c r="T13" s="73">
        <f t="shared" si="6"/>
        <v>25996856.432321109</v>
      </c>
    </row>
    <row r="14" spans="2:20" x14ac:dyDescent="0.3">
      <c r="B14" s="68">
        <v>16</v>
      </c>
      <c r="C14" s="80">
        <v>60448.155919199999</v>
      </c>
      <c r="D14" s="69">
        <v>57.279250699999999</v>
      </c>
      <c r="E14" s="82">
        <f>C14*$C$31</f>
        <v>6600243.4725835696</v>
      </c>
      <c r="F14" s="70">
        <f>D14*$H$29*$H$30</f>
        <v>24439.131690866478</v>
      </c>
      <c r="G14" s="82">
        <f t="shared" si="7"/>
        <v>6624682.6042744359</v>
      </c>
      <c r="H14" s="70">
        <v>253200</v>
      </c>
      <c r="I14" s="82">
        <f>H14/$H$36</f>
        <v>84400</v>
      </c>
      <c r="J14" s="69">
        <v>3.9614883500000002</v>
      </c>
      <c r="K14" s="84">
        <v>0.66020416699999995</v>
      </c>
      <c r="L14" s="69">
        <f t="shared" si="8"/>
        <v>1.3561408144952536</v>
      </c>
      <c r="M14" s="82">
        <f t="shared" si="9"/>
        <v>2883535.0910449685</v>
      </c>
      <c r="N14" s="69">
        <v>-3570.0487470792</v>
      </c>
      <c r="O14" s="84">
        <f>((-N14/$Q$34)*$Q$32*$Q$35*$Q$31)</f>
        <v>13252.020949157988</v>
      </c>
      <c r="P14" s="71">
        <f t="shared" si="10"/>
        <v>9605869.7162685636</v>
      </c>
      <c r="Q14" s="86">
        <v>28451490.429855257</v>
      </c>
      <c r="R14" s="72">
        <f t="shared" si="11"/>
        <v>18845620.713586695</v>
      </c>
      <c r="S14" s="86">
        <f t="shared" si="5"/>
        <v>3005626.2436849927</v>
      </c>
      <c r="T14" s="73">
        <f t="shared" si="6"/>
        <v>25445864.186170265</v>
      </c>
    </row>
    <row r="15" spans="2:20" x14ac:dyDescent="0.3">
      <c r="B15" s="68">
        <v>17.5</v>
      </c>
      <c r="C15" s="80">
        <v>55988.683032959998</v>
      </c>
      <c r="D15" s="69">
        <v>53.497471099999999</v>
      </c>
      <c r="E15" s="82">
        <f>C15*$C$31</f>
        <v>6113320.3173443526</v>
      </c>
      <c r="F15" s="70">
        <f>D15*$H$29*$H$30</f>
        <v>22825.573403341041</v>
      </c>
      <c r="G15" s="82">
        <f t="shared" si="7"/>
        <v>6136145.8907476934</v>
      </c>
      <c r="H15" s="70">
        <v>254000</v>
      </c>
      <c r="I15" s="82">
        <f>H15/$H$36</f>
        <v>84666.666666666672</v>
      </c>
      <c r="J15" s="69">
        <v>4.0640430299999997</v>
      </c>
      <c r="K15" s="84">
        <v>0.67726443199999997</v>
      </c>
      <c r="L15" s="69">
        <f t="shared" si="8"/>
        <v>1.4640796883180369</v>
      </c>
      <c r="M15" s="82">
        <f t="shared" si="9"/>
        <v>3113043.3596768766</v>
      </c>
      <c r="N15" s="69">
        <v>-3636.2829852360001</v>
      </c>
      <c r="O15" s="84">
        <f>((-N15/$Q$34)*$Q$32*$Q$35*$Q$31)</f>
        <v>13497.88244119603</v>
      </c>
      <c r="P15" s="71">
        <f t="shared" si="10"/>
        <v>9347353.799532434</v>
      </c>
      <c r="Q15" s="86">
        <v>27713495.952759899</v>
      </c>
      <c r="R15" s="72">
        <f t="shared" si="11"/>
        <v>18366142.153227463</v>
      </c>
      <c r="S15" s="86">
        <f t="shared" si="5"/>
        <v>3234033.4821880804</v>
      </c>
      <c r="T15" s="73">
        <f t="shared" si="6"/>
        <v>24479462.47057182</v>
      </c>
    </row>
    <row r="16" spans="2:20" x14ac:dyDescent="0.3">
      <c r="B16" s="68">
        <v>19</v>
      </c>
      <c r="C16" s="80">
        <v>52376.431735439997</v>
      </c>
      <c r="D16" s="69">
        <v>50.4173799</v>
      </c>
      <c r="E16" s="82">
        <f>C16*$C$31</f>
        <v>5718904.0165450908</v>
      </c>
      <c r="F16" s="70">
        <f>D16*$H$29*$H$30</f>
        <v>21511.401979365361</v>
      </c>
      <c r="G16" s="82">
        <f t="shared" si="7"/>
        <v>5740415.4185244562</v>
      </c>
      <c r="H16" s="70">
        <v>254800</v>
      </c>
      <c r="I16" s="82">
        <f>H16/$H$36</f>
        <v>84933.333333333328</v>
      </c>
      <c r="J16" s="69">
        <v>4.1700464899999998</v>
      </c>
      <c r="K16" s="84">
        <v>0.69499199700000003</v>
      </c>
      <c r="L16" s="69">
        <f t="shared" si="8"/>
        <v>1.5819413763277574</v>
      </c>
      <c r="M16" s="82">
        <f t="shared" si="9"/>
        <v>3363650.3096581842</v>
      </c>
      <c r="N16" s="69">
        <v>-3694.2295490892002</v>
      </c>
      <c r="O16" s="84">
        <f>((-N16/$Q$34)*$Q$32*$Q$35*$Q$31)</f>
        <v>13712.980086219108</v>
      </c>
      <c r="P16" s="71">
        <f t="shared" si="10"/>
        <v>9202712.0416021924</v>
      </c>
      <c r="Q16" s="86">
        <v>26733650.380969804</v>
      </c>
      <c r="R16" s="72">
        <f t="shared" si="11"/>
        <v>17530938.339367613</v>
      </c>
      <c r="S16" s="86">
        <f t="shared" si="5"/>
        <v>3483808.0250571021</v>
      </c>
      <c r="T16" s="73">
        <f t="shared" si="6"/>
        <v>23249842.3559127</v>
      </c>
    </row>
    <row r="17" spans="2:20" x14ac:dyDescent="0.3">
      <c r="B17" s="68">
        <v>20</v>
      </c>
      <c r="C17" s="80">
        <v>50343.672927959997</v>
      </c>
      <c r="D17" s="69">
        <v>48.675963699999997</v>
      </c>
      <c r="E17" s="82">
        <f>C17*$C$31</f>
        <v>5496950.1314945603</v>
      </c>
      <c r="F17" s="70">
        <f>D17*$H$29*$H$30</f>
        <v>20768.398198409679</v>
      </c>
      <c r="G17" s="82">
        <f t="shared" si="7"/>
        <v>5517718.5296929702</v>
      </c>
      <c r="H17" s="70">
        <v>254800</v>
      </c>
      <c r="I17" s="82">
        <f>H17/$H$36</f>
        <v>84933.333333333328</v>
      </c>
      <c r="J17" s="69">
        <v>4.2469138299999996</v>
      </c>
      <c r="K17" s="84">
        <v>0.70783097299999997</v>
      </c>
      <c r="L17" s="69">
        <f t="shared" si="8"/>
        <v>1.6711770211499297</v>
      </c>
      <c r="M17" s="82">
        <f t="shared" si="9"/>
        <v>3553390.2765306733</v>
      </c>
      <c r="N17" s="69">
        <v>-3735.2896348536001</v>
      </c>
      <c r="O17" s="84">
        <f>((-N17/$Q$34)*$Q$32*$Q$35*$Q$31)</f>
        <v>13865.39512457656</v>
      </c>
      <c r="P17" s="71">
        <f t="shared" si="10"/>
        <v>9169907.534681553</v>
      </c>
      <c r="Q17" s="86">
        <v>25970073.044852994</v>
      </c>
      <c r="R17" s="72">
        <f t="shared" si="11"/>
        <v>16800165.510171443</v>
      </c>
      <c r="S17" s="86">
        <f t="shared" si="5"/>
        <v>3672957.4031869927</v>
      </c>
      <c r="T17" s="73">
        <f t="shared" si="6"/>
        <v>22297115.641666003</v>
      </c>
    </row>
    <row r="18" spans="2:20" x14ac:dyDescent="0.3">
      <c r="B18" s="68">
        <v>21</v>
      </c>
      <c r="C18" s="80">
        <v>48444.671076120001</v>
      </c>
      <c r="D18" s="69">
        <v>47.077557499999998</v>
      </c>
      <c r="E18" s="82">
        <f>C18*$C$31</f>
        <v>5289600.9677949287</v>
      </c>
      <c r="F18" s="70">
        <f>D18*$H$29*$H$30</f>
        <v>20086.411979317996</v>
      </c>
      <c r="G18" s="82">
        <f t="shared" si="7"/>
        <v>5309687.3797742464</v>
      </c>
      <c r="H18" s="70">
        <v>255600</v>
      </c>
      <c r="I18" s="82">
        <f>H18/$H$36</f>
        <v>85200</v>
      </c>
      <c r="J18" s="69">
        <v>4.3501669300000003</v>
      </c>
      <c r="K18" s="84">
        <v>0.72502903500000004</v>
      </c>
      <c r="L18" s="69">
        <f t="shared" si="8"/>
        <v>1.7960011146328347</v>
      </c>
      <c r="M18" s="82">
        <f t="shared" si="9"/>
        <v>3818801.2500215042</v>
      </c>
      <c r="N18" s="69">
        <v>-3796.0356690323902</v>
      </c>
      <c r="O18" s="84">
        <f>((-N18/$Q$34)*$Q$32*$Q$35*$Q$31)</f>
        <v>14090.88440344823</v>
      </c>
      <c r="P18" s="71">
        <f t="shared" si="10"/>
        <v>9227779.5141991992</v>
      </c>
      <c r="Q18" s="86">
        <v>24980912.058568895</v>
      </c>
      <c r="R18" s="72">
        <f t="shared" si="11"/>
        <v>15753132.544369696</v>
      </c>
      <c r="S18" s="86">
        <f t="shared" si="5"/>
        <v>3938178.5464042705</v>
      </c>
      <c r="T18" s="73">
        <f t="shared" si="6"/>
        <v>21042733.512164623</v>
      </c>
    </row>
    <row r="19" spans="2:20" x14ac:dyDescent="0.3">
      <c r="B19" s="68">
        <v>22.5</v>
      </c>
      <c r="C19" s="80">
        <v>46571.526063719997</v>
      </c>
      <c r="D19" s="69">
        <v>45.424676300000002</v>
      </c>
      <c r="E19" s="82">
        <f>C19*$C$31</f>
        <v>5085075.0736084916</v>
      </c>
      <c r="F19" s="70">
        <f>D19*$H$29*$H$30</f>
        <v>19381.183108086323</v>
      </c>
      <c r="G19" s="82">
        <f t="shared" si="7"/>
        <v>5104456.2567165783</v>
      </c>
      <c r="H19" s="70">
        <v>256200</v>
      </c>
      <c r="I19" s="82">
        <f>H19/$H$36</f>
        <v>85400</v>
      </c>
      <c r="J19" s="69">
        <v>4.5125012599999996</v>
      </c>
      <c r="K19" s="84">
        <v>0.75208723200000005</v>
      </c>
      <c r="L19" s="69">
        <f t="shared" si="8"/>
        <v>2.0046734989733501</v>
      </c>
      <c r="M19" s="82">
        <f t="shared" si="9"/>
        <v>4262497.1673970558</v>
      </c>
      <c r="N19" s="69">
        <v>-3908.0143731996</v>
      </c>
      <c r="O19" s="84">
        <f>((-N19/$Q$34)*$Q$32*$Q$35*$Q$31)</f>
        <v>14506.549353316912</v>
      </c>
      <c r="P19" s="71">
        <f t="shared" si="10"/>
        <v>9466859.9734669514</v>
      </c>
      <c r="Q19" s="86">
        <v>23484780.084011551</v>
      </c>
      <c r="R19" s="72">
        <f t="shared" si="11"/>
        <v>14017920.1105446</v>
      </c>
      <c r="S19" s="86">
        <f t="shared" si="5"/>
        <v>4381784.8998584598</v>
      </c>
      <c r="T19" s="73">
        <f t="shared" si="6"/>
        <v>19102995.184153091</v>
      </c>
    </row>
    <row r="20" spans="2:20" x14ac:dyDescent="0.3">
      <c r="B20" s="68">
        <v>24</v>
      </c>
      <c r="C20" s="80">
        <v>45203.056248599998</v>
      </c>
      <c r="D20" s="69">
        <v>44.237246599999999</v>
      </c>
      <c r="E20" s="82">
        <f>C20*$C$31</f>
        <v>4935653.907200261</v>
      </c>
      <c r="F20" s="70">
        <f>D20*$H$29*$H$30</f>
        <v>18874.546752734241</v>
      </c>
      <c r="G20" s="82">
        <f t="shared" si="7"/>
        <v>4954528.4539529951</v>
      </c>
      <c r="H20" s="70">
        <v>287900</v>
      </c>
      <c r="I20" s="82">
        <f>H20/$H$36</f>
        <v>95966.666666666672</v>
      </c>
      <c r="J20" s="69">
        <v>4.7308889699999996</v>
      </c>
      <c r="K20" s="84">
        <v>0.78847744500000005</v>
      </c>
      <c r="L20" s="69">
        <f t="shared" si="8"/>
        <v>2.3099957775308169</v>
      </c>
      <c r="M20" s="82">
        <f t="shared" si="9"/>
        <v>4911697.8218482267</v>
      </c>
      <c r="N20" s="69">
        <v>-4058.6243125284</v>
      </c>
      <c r="O20" s="84">
        <f>((-N20/$Q$34)*$Q$32*$Q$35*$Q$31)</f>
        <v>15065.61344810542</v>
      </c>
      <c r="P20" s="71">
        <f t="shared" si="10"/>
        <v>9977258.5559159946</v>
      </c>
      <c r="Q20" s="86">
        <v>21250272.495545186</v>
      </c>
      <c r="R20" s="72">
        <f t="shared" si="11"/>
        <v>11273013.939629192</v>
      </c>
      <c r="S20" s="86">
        <f t="shared" si="5"/>
        <v>5041604.6487157336</v>
      </c>
      <c r="T20" s="73">
        <f t="shared" si="6"/>
        <v>16208667.846829452</v>
      </c>
    </row>
    <row r="21" spans="2:20" ht="15" thickBot="1" x14ac:dyDescent="0.35">
      <c r="B21" s="74">
        <v>25</v>
      </c>
      <c r="C21" s="81">
        <v>44632.343492280001</v>
      </c>
      <c r="D21" s="75">
        <v>43.785495099999999</v>
      </c>
      <c r="E21" s="83">
        <f>C21*$C$31</f>
        <v>4873338.6374068148</v>
      </c>
      <c r="F21" s="76">
        <f>D21*$H$29*$H$30</f>
        <v>18681.799566534639</v>
      </c>
      <c r="G21" s="83">
        <f t="shared" si="7"/>
        <v>4892020.4369733492</v>
      </c>
      <c r="H21" s="76">
        <v>288800</v>
      </c>
      <c r="I21" s="83">
        <f>H21/$H$36</f>
        <v>96266.666666666672</v>
      </c>
      <c r="J21" s="75">
        <v>4.9467459099999997</v>
      </c>
      <c r="K21" s="85">
        <v>0.82444376900000005</v>
      </c>
      <c r="L21" s="75">
        <f t="shared" si="8"/>
        <v>2.6407760026266516</v>
      </c>
      <c r="M21" s="83">
        <f t="shared" si="9"/>
        <v>5615029.1988649974</v>
      </c>
      <c r="N21" s="75">
        <v>-4201.3239673320004</v>
      </c>
      <c r="O21" s="85">
        <f>((-N21/$Q$34)*$Q$32*$Q$35*$Q$31)</f>
        <v>15595.314566736381</v>
      </c>
      <c r="P21" s="77">
        <f t="shared" si="10"/>
        <v>10618911.61707175</v>
      </c>
      <c r="Q21" s="87">
        <v>18736215.67622738</v>
      </c>
      <c r="R21" s="78">
        <f t="shared" si="11"/>
        <v>8117304.0591556299</v>
      </c>
      <c r="S21" s="87">
        <f t="shared" si="5"/>
        <v>5745572.9796649348</v>
      </c>
      <c r="T21" s="79">
        <f t="shared" si="6"/>
        <v>12990642.696562445</v>
      </c>
    </row>
    <row r="24" spans="2:20" ht="15" thickBot="1" x14ac:dyDescent="0.35">
      <c r="H24" s="47"/>
    </row>
    <row r="25" spans="2:20" x14ac:dyDescent="0.3">
      <c r="B25" s="38"/>
      <c r="C25" s="39" t="s">
        <v>36</v>
      </c>
      <c r="D25" s="40"/>
      <c r="G25" s="14" t="s">
        <v>45</v>
      </c>
      <c r="H25" s="54"/>
      <c r="I25" s="15"/>
      <c r="L25" s="28" t="s">
        <v>25</v>
      </c>
      <c r="M25" s="29"/>
      <c r="N25" s="30"/>
      <c r="P25" s="48" t="s">
        <v>51</v>
      </c>
      <c r="Q25" s="59"/>
      <c r="R25" s="60"/>
    </row>
    <row r="26" spans="2:20" x14ac:dyDescent="0.3">
      <c r="B26" s="41"/>
      <c r="C26" s="42"/>
      <c r="D26" s="43"/>
      <c r="G26" s="16"/>
      <c r="H26" s="55"/>
      <c r="I26" s="56"/>
      <c r="L26" s="31"/>
      <c r="M26" s="32"/>
      <c r="N26" s="33"/>
      <c r="P26" s="50"/>
      <c r="Q26" s="61"/>
      <c r="R26" s="62"/>
    </row>
    <row r="27" spans="2:20" x14ac:dyDescent="0.3">
      <c r="B27" s="41" t="s">
        <v>37</v>
      </c>
      <c r="C27" s="42" t="s">
        <v>38</v>
      </c>
      <c r="D27" s="43" t="s">
        <v>28</v>
      </c>
      <c r="G27" s="16" t="s">
        <v>26</v>
      </c>
      <c r="H27" s="55" t="s">
        <v>27</v>
      </c>
      <c r="I27" s="56" t="s">
        <v>28</v>
      </c>
      <c r="L27" s="31" t="s">
        <v>26</v>
      </c>
      <c r="M27" s="32" t="s">
        <v>27</v>
      </c>
      <c r="N27" s="33" t="s">
        <v>28</v>
      </c>
      <c r="P27" s="63" t="s">
        <v>26</v>
      </c>
      <c r="Q27" s="64" t="s">
        <v>27</v>
      </c>
      <c r="R27" s="65" t="s">
        <v>28</v>
      </c>
    </row>
    <row r="28" spans="2:20" x14ac:dyDescent="0.3">
      <c r="B28" s="41" t="s">
        <v>39</v>
      </c>
      <c r="C28" s="42">
        <f>4/10^6</f>
        <v>3.9999999999999998E-6</v>
      </c>
      <c r="D28" s="43" t="s">
        <v>40</v>
      </c>
      <c r="G28" s="16" t="s">
        <v>46</v>
      </c>
      <c r="H28" s="55">
        <v>0.04</v>
      </c>
      <c r="I28" s="56" t="s">
        <v>47</v>
      </c>
      <c r="L28" s="31" t="s">
        <v>29</v>
      </c>
      <c r="M28" s="32">
        <v>1410</v>
      </c>
      <c r="N28" s="33" t="s">
        <v>30</v>
      </c>
      <c r="P28" s="50" t="s">
        <v>52</v>
      </c>
      <c r="Q28" s="61">
        <v>15</v>
      </c>
      <c r="R28" s="62" t="s">
        <v>53</v>
      </c>
    </row>
    <row r="29" spans="2:20" x14ac:dyDescent="0.3">
      <c r="B29" s="41" t="s">
        <v>39</v>
      </c>
      <c r="C29" s="42">
        <f>4/293.07107</f>
        <v>1.36485665405323E-2</v>
      </c>
      <c r="D29" s="43" t="s">
        <v>44</v>
      </c>
      <c r="G29" s="16" t="s">
        <v>48</v>
      </c>
      <c r="H29" s="55">
        <f>0.0533333</f>
        <v>5.33333E-2</v>
      </c>
      <c r="I29" s="56" t="s">
        <v>44</v>
      </c>
      <c r="L29" s="31" t="s">
        <v>34</v>
      </c>
      <c r="M29" s="32">
        <v>1.3</v>
      </c>
      <c r="N29" s="33" t="s">
        <v>35</v>
      </c>
      <c r="P29" s="50" t="s">
        <v>54</v>
      </c>
      <c r="Q29" s="61">
        <f>8.12/1000</f>
        <v>8.1199999999999987E-3</v>
      </c>
      <c r="R29" s="62" t="s">
        <v>55</v>
      </c>
    </row>
    <row r="30" spans="2:20" x14ac:dyDescent="0.3">
      <c r="B30" s="41" t="s">
        <v>41</v>
      </c>
      <c r="C30" s="42">
        <v>8000</v>
      </c>
      <c r="D30" s="43" t="s">
        <v>42</v>
      </c>
      <c r="G30" s="16" t="s">
        <v>49</v>
      </c>
      <c r="H30" s="55">
        <v>8000</v>
      </c>
      <c r="I30" s="56" t="s">
        <v>42</v>
      </c>
      <c r="L30" s="31" t="s">
        <v>31</v>
      </c>
      <c r="M30" s="32">
        <v>2000</v>
      </c>
      <c r="N30" s="33" t="s">
        <v>32</v>
      </c>
      <c r="P30" s="50" t="s">
        <v>56</v>
      </c>
      <c r="Q30" s="61">
        <v>1000</v>
      </c>
      <c r="R30" s="62" t="s">
        <v>57</v>
      </c>
    </row>
    <row r="31" spans="2:20" ht="15" thickBot="1" x14ac:dyDescent="0.35">
      <c r="B31" s="44" t="s">
        <v>39</v>
      </c>
      <c r="C31" s="45">
        <v>109.1885</v>
      </c>
      <c r="D31" s="46" t="s">
        <v>43</v>
      </c>
      <c r="G31" s="18" t="s">
        <v>46</v>
      </c>
      <c r="H31" s="57">
        <f>H29*H30</f>
        <v>426.66640000000001</v>
      </c>
      <c r="I31" s="58" t="s">
        <v>50</v>
      </c>
      <c r="L31" s="34" t="s">
        <v>33</v>
      </c>
      <c r="M31" s="35">
        <v>0.42</v>
      </c>
      <c r="N31" s="36" t="s">
        <v>32</v>
      </c>
      <c r="P31" s="50" t="s">
        <v>58</v>
      </c>
      <c r="Q31" s="61">
        <f>8.12*10^-6</f>
        <v>8.1199999999999985E-6</v>
      </c>
      <c r="R31" s="62" t="s">
        <v>35</v>
      </c>
    </row>
    <row r="32" spans="2:20" x14ac:dyDescent="0.3">
      <c r="P32" s="50" t="s">
        <v>49</v>
      </c>
      <c r="Q32" s="61">
        <v>8000</v>
      </c>
      <c r="R32" s="62" t="s">
        <v>42</v>
      </c>
    </row>
    <row r="33" spans="7:18" x14ac:dyDescent="0.3">
      <c r="P33" s="50" t="s">
        <v>59</v>
      </c>
      <c r="Q33" s="61">
        <v>4.2</v>
      </c>
      <c r="R33" s="62" t="s">
        <v>60</v>
      </c>
    </row>
    <row r="34" spans="7:18" ht="15" thickBot="1" x14ac:dyDescent="0.35">
      <c r="P34" s="50" t="s">
        <v>61</v>
      </c>
      <c r="Q34" s="61">
        <v>63</v>
      </c>
      <c r="R34" s="62" t="s">
        <v>62</v>
      </c>
    </row>
    <row r="35" spans="7:18" x14ac:dyDescent="0.3">
      <c r="G35" s="3" t="s">
        <v>67</v>
      </c>
      <c r="H35" s="4" t="s">
        <v>69</v>
      </c>
      <c r="P35" s="50" t="s">
        <v>63</v>
      </c>
      <c r="Q35" s="61">
        <v>3600</v>
      </c>
      <c r="R35" s="62" t="s">
        <v>64</v>
      </c>
    </row>
    <row r="36" spans="7:18" ht="15" thickBot="1" x14ac:dyDescent="0.35">
      <c r="G36" s="5"/>
      <c r="H36" s="37">
        <v>3</v>
      </c>
      <c r="P36" s="12"/>
      <c r="Q36" s="12"/>
      <c r="R36" s="1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840C-DA3D-4AB5-A49C-63D75C722B00}">
  <dimension ref="A1:Q43"/>
  <sheetViews>
    <sheetView zoomScale="61" workbookViewId="0">
      <selection activeCell="J51" sqref="J51"/>
    </sheetView>
  </sheetViews>
  <sheetFormatPr defaultRowHeight="14.4" x14ac:dyDescent="0.3"/>
  <cols>
    <col min="1" max="1" width="31.5546875" bestFit="1" customWidth="1"/>
    <col min="2" max="2" width="10.21875" bestFit="1" customWidth="1"/>
    <col min="3" max="3" width="26.88671875" bestFit="1" customWidth="1"/>
    <col min="4" max="4" width="23.33203125" bestFit="1" customWidth="1"/>
    <col min="5" max="5" width="13.77734375" bestFit="1" customWidth="1"/>
    <col min="6" max="6" width="22.109375" bestFit="1" customWidth="1"/>
    <col min="7" max="7" width="20.109375" bestFit="1" customWidth="1"/>
    <col min="8" max="8" width="16" bestFit="1" customWidth="1"/>
    <col min="9" max="9" width="15.21875" bestFit="1" customWidth="1"/>
    <col min="10" max="10" width="31" bestFit="1" customWidth="1"/>
    <col min="12" max="12" width="9" bestFit="1" customWidth="1"/>
    <col min="16" max="16" width="9" bestFit="1" customWidth="1"/>
    <col min="18" max="18" width="9" bestFit="1" customWidth="1"/>
    <col min="28" max="28" width="16.6640625" bestFit="1" customWidth="1"/>
    <col min="29" max="29" width="13.21875" bestFit="1" customWidth="1"/>
    <col min="30" max="30" width="8.88671875" customWidth="1"/>
    <col min="33" max="33" width="16.88671875" bestFit="1" customWidth="1"/>
    <col min="34" max="34" width="18.6640625" bestFit="1" customWidth="1"/>
    <col min="38" max="38" width="29.77734375" bestFit="1" customWidth="1"/>
    <col min="39" max="39" width="6.6640625" bestFit="1" customWidth="1"/>
    <col min="42" max="42" width="44.88671875" bestFit="1" customWidth="1"/>
    <col min="43" max="43" width="12.109375" bestFit="1" customWidth="1"/>
  </cols>
  <sheetData>
    <row r="1" spans="1:10" x14ac:dyDescent="0.3">
      <c r="A1" t="s">
        <v>65</v>
      </c>
    </row>
    <row r="3" spans="1:10" x14ac:dyDescent="0.3">
      <c r="B3" s="93" t="s">
        <v>0</v>
      </c>
      <c r="C3" s="93" t="s">
        <v>70</v>
      </c>
      <c r="D3" s="93" t="s">
        <v>71</v>
      </c>
      <c r="E3" s="93" t="s">
        <v>72</v>
      </c>
      <c r="F3" s="93" t="s">
        <v>73</v>
      </c>
      <c r="G3" s="93" t="s">
        <v>66</v>
      </c>
      <c r="H3" s="93" t="s">
        <v>10</v>
      </c>
      <c r="I3" s="93" t="s">
        <v>11</v>
      </c>
      <c r="J3" s="93" t="s">
        <v>74</v>
      </c>
    </row>
    <row r="4" spans="1:10" x14ac:dyDescent="0.3">
      <c r="B4" s="94">
        <v>1</v>
      </c>
      <c r="C4" s="95">
        <v>564981.54209640005</v>
      </c>
      <c r="D4" s="94">
        <v>112031.7572034</v>
      </c>
      <c r="E4" s="95">
        <f t="shared" ref="E4:E13" si="0">C4+D4</f>
        <v>677013.29929980007</v>
      </c>
      <c r="F4" s="94">
        <v>160285.78</v>
      </c>
      <c r="G4" s="95" t="s">
        <v>3</v>
      </c>
      <c r="H4" s="97">
        <f>E4*$B$37</f>
        <v>73922066.63059622</v>
      </c>
      <c r="I4" s="98">
        <f>F4*$G$35*$G$36</f>
        <v>68388556.723792002</v>
      </c>
      <c r="J4" s="96">
        <f t="shared" ref="J4:J5" si="1">I4+H4</f>
        <v>142310623.35438824</v>
      </c>
    </row>
    <row r="5" spans="1:10" x14ac:dyDescent="0.3">
      <c r="B5" s="94">
        <v>2</v>
      </c>
      <c r="C5" s="95">
        <v>314241.20640035998</v>
      </c>
      <c r="D5" s="94">
        <v>51374.488627439998</v>
      </c>
      <c r="E5" s="95">
        <f t="shared" si="0"/>
        <v>365615.69502779999</v>
      </c>
      <c r="F5" s="94">
        <v>93584.384099999996</v>
      </c>
      <c r="G5" s="95" t="s">
        <v>3</v>
      </c>
      <c r="H5" s="97">
        <f>E5*$B$37</f>
        <v>39921029.316542938</v>
      </c>
      <c r="I5" s="98">
        <f>F5*$G$35*$G$36</f>
        <v>39929312.260164239</v>
      </c>
      <c r="J5" s="96">
        <f t="shared" si="1"/>
        <v>79850341.576707184</v>
      </c>
    </row>
    <row r="6" spans="1:10" x14ac:dyDescent="0.3">
      <c r="B6" s="94">
        <v>3</v>
      </c>
      <c r="C6" s="95">
        <v>217593.54057923899</v>
      </c>
      <c r="D6" s="94">
        <v>35567.6762714039</v>
      </c>
      <c r="E6" s="95">
        <f t="shared" si="0"/>
        <v>253161.2168506429</v>
      </c>
      <c r="F6" s="94">
        <v>64819.772100000002</v>
      </c>
      <c r="G6" s="95" t="s">
        <v>3</v>
      </c>
      <c r="H6" s="97">
        <f>E6*$B$37</f>
        <v>27642293.526096422</v>
      </c>
      <c r="I6" s="98">
        <f>F6*$G$35*$G$36</f>
        <v>27656418.810727444</v>
      </c>
      <c r="J6" s="96">
        <f t="shared" ref="J6:J23" si="2">I6+H6</f>
        <v>55298712.336823866</v>
      </c>
    </row>
    <row r="7" spans="1:10" x14ac:dyDescent="0.3">
      <c r="B7" s="94">
        <v>5</v>
      </c>
      <c r="C7" s="95">
        <v>132173.34920028</v>
      </c>
      <c r="D7" s="94">
        <v>21597.524273340001</v>
      </c>
      <c r="E7" s="95">
        <f t="shared" si="0"/>
        <v>153770.87347362001</v>
      </c>
      <c r="F7" s="94">
        <v>39395.669600000001</v>
      </c>
      <c r="G7" s="95" t="s">
        <v>3</v>
      </c>
      <c r="H7" s="97">
        <f>E7*$B$37</f>
        <v>16790011.018274359</v>
      </c>
      <c r="I7" s="98">
        <f>F7*$G$35*$G$36</f>
        <v>16808808.52382144</v>
      </c>
      <c r="J7" s="96">
        <f t="shared" si="2"/>
        <v>33598819.542095795</v>
      </c>
    </row>
    <row r="8" spans="1:10" x14ac:dyDescent="0.3">
      <c r="B8" s="94">
        <v>6</v>
      </c>
      <c r="C8" s="95">
        <v>109451.48721048</v>
      </c>
      <c r="D8" s="94">
        <v>17876.207463840001</v>
      </c>
      <c r="E8" s="95">
        <f t="shared" si="0"/>
        <v>127327.69467432</v>
      </c>
      <c r="F8" s="94">
        <v>32634.576499999999</v>
      </c>
      <c r="G8" s="95" t="s">
        <v>3</v>
      </c>
      <c r="H8" s="97">
        <f>E8*$B$37</f>
        <v>13902719.989946989</v>
      </c>
      <c r="I8" s="98">
        <f>F8*$G$35*$G$36</f>
        <v>13924077.2707796</v>
      </c>
      <c r="J8" s="96">
        <f t="shared" si="2"/>
        <v>27826797.26072659</v>
      </c>
    </row>
    <row r="9" spans="1:10" x14ac:dyDescent="0.3">
      <c r="B9" s="94">
        <v>7.5</v>
      </c>
      <c r="C9" s="95">
        <v>88106.857170839998</v>
      </c>
      <c r="D9" s="94">
        <v>14318.873542691999</v>
      </c>
      <c r="E9" s="95">
        <f t="shared" si="0"/>
        <v>102425.730713532</v>
      </c>
      <c r="F9" s="94">
        <v>26309.031599999998</v>
      </c>
      <c r="G9" s="95" t="s">
        <v>3</v>
      </c>
      <c r="H9" s="97">
        <f>E9*$B$37</f>
        <v>11183711.89801449</v>
      </c>
      <c r="I9" s="98">
        <f>F9*$G$35*$G$36</f>
        <v>11225179.80025824</v>
      </c>
      <c r="J9" s="96">
        <f t="shared" si="2"/>
        <v>22408891.698272727</v>
      </c>
    </row>
    <row r="10" spans="1:10" x14ac:dyDescent="0.3">
      <c r="B10" s="94">
        <v>9</v>
      </c>
      <c r="C10" s="95">
        <v>73961.597621880006</v>
      </c>
      <c r="D10" s="94">
        <v>12052.392696072</v>
      </c>
      <c r="E10" s="95">
        <f t="shared" si="0"/>
        <v>86013.990317952004</v>
      </c>
      <c r="F10" s="94">
        <v>22084.181100000002</v>
      </c>
      <c r="G10" s="95" t="s">
        <v>3</v>
      </c>
      <c r="H10" s="97">
        <f>E10*$B$37</f>
        <v>9391738.581831703</v>
      </c>
      <c r="I10" s="98">
        <f>F10*$G$35*$G$36</f>
        <v>9422578.0468850415</v>
      </c>
      <c r="J10" s="96">
        <f t="shared" si="2"/>
        <v>18814316.628716744</v>
      </c>
    </row>
    <row r="11" spans="1:10" x14ac:dyDescent="0.3">
      <c r="B11" s="94">
        <v>10</v>
      </c>
      <c r="C11" s="95">
        <v>66622.411038599996</v>
      </c>
      <c r="D11" s="94">
        <v>10850.769079956</v>
      </c>
      <c r="E11" s="95">
        <f t="shared" si="0"/>
        <v>77473.180118555989</v>
      </c>
      <c r="F11" s="94">
        <v>19902.6531</v>
      </c>
      <c r="G11" s="95" t="s">
        <v>3</v>
      </c>
      <c r="H11" s="97">
        <f>E11*$B$37</f>
        <v>8459180.3273749501</v>
      </c>
      <c r="I11" s="98">
        <f>F11*$G$35*$G$36</f>
        <v>8491793.3486258406</v>
      </c>
      <c r="J11" s="96">
        <f t="shared" si="2"/>
        <v>16950973.676000789</v>
      </c>
    </row>
    <row r="12" spans="1:10" x14ac:dyDescent="0.3">
      <c r="B12" s="94">
        <v>11</v>
      </c>
      <c r="C12" s="95">
        <v>61108.860173399997</v>
      </c>
      <c r="D12" s="94">
        <v>9961.4758871520007</v>
      </c>
      <c r="E12" s="95">
        <f t="shared" si="0"/>
        <v>71070.336060551999</v>
      </c>
      <c r="F12" s="94">
        <v>18258.288</v>
      </c>
      <c r="G12" s="95" t="s">
        <v>3</v>
      </c>
      <c r="H12" s="97">
        <f>E12*$B$37</f>
        <v>7760063.3889475819</v>
      </c>
      <c r="I12" s="98">
        <f>F12*$G$35*$G$36</f>
        <v>7790198.0111232009</v>
      </c>
      <c r="J12" s="96">
        <f t="shared" si="2"/>
        <v>15550261.400070783</v>
      </c>
    </row>
    <row r="13" spans="1:10" x14ac:dyDescent="0.3">
      <c r="B13" s="94">
        <v>12.5</v>
      </c>
      <c r="C13" s="95">
        <v>54084.892737959999</v>
      </c>
      <c r="D13" s="94">
        <v>8802.7632447840006</v>
      </c>
      <c r="E13" s="95">
        <f t="shared" si="0"/>
        <v>62887.655982744</v>
      </c>
      <c r="F13" s="94">
        <v>16174.018899999999</v>
      </c>
      <c r="G13" s="95" t="s">
        <v>3</v>
      </c>
      <c r="H13" s="97">
        <f>E13*$B$37</f>
        <v>6866608.8252718439</v>
      </c>
      <c r="I13" s="98">
        <f>F13*$G$35*$G$36</f>
        <v>6900910.41759496</v>
      </c>
      <c r="J13" s="96">
        <f t="shared" si="2"/>
        <v>13767519.242866803</v>
      </c>
    </row>
    <row r="14" spans="1:10" x14ac:dyDescent="0.3">
      <c r="B14" s="94">
        <v>14</v>
      </c>
      <c r="C14" s="95">
        <v>48711.28189464</v>
      </c>
      <c r="D14" s="94">
        <v>7927.9510208760003</v>
      </c>
      <c r="E14" s="95">
        <f t="shared" ref="E14:E23" si="3">C14+D14</f>
        <v>56639.232915515997</v>
      </c>
      <c r="F14" s="94">
        <v>14574.7019</v>
      </c>
      <c r="G14" s="95" t="s">
        <v>3</v>
      </c>
      <c r="H14" s="97">
        <f>E14*$B$37</f>
        <v>6184352.8831958184</v>
      </c>
      <c r="I14" s="98">
        <f>F14*$G$35*$G$36</f>
        <v>6218535.5907461597</v>
      </c>
      <c r="J14" s="96">
        <f t="shared" si="2"/>
        <v>12402888.473941978</v>
      </c>
    </row>
    <row r="15" spans="1:10" x14ac:dyDescent="0.3">
      <c r="B15" s="94">
        <v>15</v>
      </c>
      <c r="C15" s="95">
        <v>45719.274034800001</v>
      </c>
      <c r="D15" s="94">
        <v>7455.40984854</v>
      </c>
      <c r="E15" s="95">
        <f t="shared" si="3"/>
        <v>53174.683883340003</v>
      </c>
      <c r="F15" s="94">
        <v>13678.2495</v>
      </c>
      <c r="G15" s="95" t="s">
        <v>3</v>
      </c>
      <c r="H15" s="97">
        <f>E15*$B$37</f>
        <v>5806063.9711960703</v>
      </c>
      <c r="I15" s="98">
        <f>F15*$G$35*$G$36</f>
        <v>5836049.4724667994</v>
      </c>
      <c r="J15" s="96">
        <f t="shared" si="2"/>
        <v>11642113.443662871</v>
      </c>
    </row>
    <row r="16" spans="1:10" x14ac:dyDescent="0.3">
      <c r="B16" s="94">
        <v>16</v>
      </c>
      <c r="C16" s="95">
        <v>43300.760222520003</v>
      </c>
      <c r="D16" s="94">
        <v>7034.9670382679997</v>
      </c>
      <c r="E16" s="95">
        <f t="shared" si="3"/>
        <v>50335.727260788</v>
      </c>
      <c r="F16" s="94">
        <v>12969.381100000001</v>
      </c>
      <c r="G16" s="95" t="s">
        <v>3</v>
      </c>
      <c r="H16" s="97">
        <f>E16*$B$37</f>
        <v>5496082.5560145508</v>
      </c>
      <c r="I16" s="98">
        <f>F16*$G$35*$G$36</f>
        <v>5533599.14416504</v>
      </c>
      <c r="J16" s="96">
        <f t="shared" si="2"/>
        <v>11029681.700179592</v>
      </c>
    </row>
    <row r="17" spans="1:17" x14ac:dyDescent="0.3">
      <c r="B17" s="94">
        <v>17.5</v>
      </c>
      <c r="C17" s="95">
        <v>40097.257500455999</v>
      </c>
      <c r="D17" s="94">
        <v>6508.9042849440002</v>
      </c>
      <c r="E17" s="95">
        <f>C17+D17</f>
        <v>46606.1617854</v>
      </c>
      <c r="F17" s="94">
        <v>12017.8009</v>
      </c>
      <c r="G17" s="95" t="s">
        <v>3</v>
      </c>
      <c r="H17" s="97">
        <f>E17*$B$37</f>
        <v>5088856.8961051479</v>
      </c>
      <c r="I17" s="98">
        <f>F17*$G$35*$G$36</f>
        <v>5127591.8459197599</v>
      </c>
      <c r="J17" s="96">
        <f t="shared" si="2"/>
        <v>10216448.742024908</v>
      </c>
    </row>
    <row r="18" spans="1:17" x14ac:dyDescent="0.3">
      <c r="B18" s="94">
        <v>19</v>
      </c>
      <c r="C18" s="95">
        <v>37503.016867692</v>
      </c>
      <c r="D18" s="94">
        <v>6080.9865294239999</v>
      </c>
      <c r="E18" s="95">
        <f t="shared" si="3"/>
        <v>43584.003397116001</v>
      </c>
      <c r="F18" s="94">
        <v>11247.978999999999</v>
      </c>
      <c r="G18" s="95" t="s">
        <v>3</v>
      </c>
      <c r="H18" s="97">
        <f>E18*$B$37</f>
        <v>4758871.9549260009</v>
      </c>
      <c r="I18" s="98">
        <f>F18*$G$35*$G$36</f>
        <v>4799134.7072055992</v>
      </c>
      <c r="J18" s="96">
        <f t="shared" si="2"/>
        <v>9558006.6621316001</v>
      </c>
    </row>
    <row r="19" spans="1:17" x14ac:dyDescent="0.3">
      <c r="B19" s="94">
        <v>20</v>
      </c>
      <c r="C19" s="95">
        <v>36043.578690515998</v>
      </c>
      <c r="D19" s="94">
        <v>5838.9030738720003</v>
      </c>
      <c r="E19" s="95">
        <f t="shared" si="3"/>
        <v>41882.481764388001</v>
      </c>
      <c r="F19" s="94">
        <v>10815.455</v>
      </c>
      <c r="G19" s="95" t="s">
        <v>3</v>
      </c>
      <c r="H19" s="97">
        <f>E19*$B$37</f>
        <v>4573085.3601308791</v>
      </c>
      <c r="I19" s="98">
        <f>F19*$G$35*$G$36</f>
        <v>4614591.2492119996</v>
      </c>
      <c r="J19" s="96">
        <f t="shared" si="2"/>
        <v>9187676.6093428787</v>
      </c>
    </row>
    <row r="20" spans="1:17" x14ac:dyDescent="0.3">
      <c r="B20" s="94">
        <v>21</v>
      </c>
      <c r="C20" s="95">
        <v>34673.578725599997</v>
      </c>
      <c r="D20" s="94">
        <v>5631.3436780439997</v>
      </c>
      <c r="E20" s="95">
        <f t="shared" si="3"/>
        <v>40304.922403643999</v>
      </c>
      <c r="F20" s="94">
        <v>10401.3703</v>
      </c>
      <c r="G20" s="95" t="s">
        <v>3</v>
      </c>
      <c r="H20" s="97">
        <f>E20*$B$37</f>
        <v>4400834.0198702831</v>
      </c>
      <c r="I20" s="98">
        <f>F20*$G$35*$G$36</f>
        <v>4437915.2209679205</v>
      </c>
      <c r="J20" s="96">
        <f t="shared" si="2"/>
        <v>8838749.2408382036</v>
      </c>
    </row>
    <row r="21" spans="1:17" x14ac:dyDescent="0.3">
      <c r="B21" s="94">
        <v>22.5</v>
      </c>
      <c r="C21" s="95">
        <v>33336.795617712</v>
      </c>
      <c r="D21" s="94">
        <v>5385.4316869679997</v>
      </c>
      <c r="E21" s="95">
        <f t="shared" si="3"/>
        <v>38722.227304679996</v>
      </c>
      <c r="F21" s="94">
        <v>10015.103300000001</v>
      </c>
      <c r="G21" s="95" t="s">
        <v>3</v>
      </c>
      <c r="H21" s="97">
        <f>E21*$B$37</f>
        <v>4228021.9160570521</v>
      </c>
      <c r="I21" s="98">
        <f>F21*$G$35*$G$36</f>
        <v>4273108.0706391204</v>
      </c>
      <c r="J21" s="96">
        <f t="shared" si="2"/>
        <v>8501129.9866961725</v>
      </c>
    </row>
    <row r="22" spans="1:17" x14ac:dyDescent="0.3">
      <c r="B22" s="94">
        <v>24</v>
      </c>
      <c r="C22" s="95">
        <v>32355.552551328001</v>
      </c>
      <c r="D22" s="94">
        <v>5218.8475816439995</v>
      </c>
      <c r="E22" s="95">
        <f t="shared" si="3"/>
        <v>37574.400132971998</v>
      </c>
      <c r="F22" s="94">
        <v>9725.8662800000002</v>
      </c>
      <c r="G22" s="95" t="s">
        <v>3</v>
      </c>
      <c r="H22" s="97">
        <f>E22*$B$37</f>
        <v>4102692.3889190131</v>
      </c>
      <c r="I22" s="98">
        <f>F22*$G$35*$G$36</f>
        <v>4149700.3525689924</v>
      </c>
      <c r="J22" s="96">
        <f t="shared" si="2"/>
        <v>8252392.741488006</v>
      </c>
    </row>
    <row r="23" spans="1:17" x14ac:dyDescent="0.3">
      <c r="B23" s="94">
        <v>25</v>
      </c>
      <c r="C23" s="95">
        <v>31937.4399045959</v>
      </c>
      <c r="D23" s="94">
        <v>5174.5207577399997</v>
      </c>
      <c r="E23" s="95">
        <f t="shared" si="3"/>
        <v>37111.9606623359</v>
      </c>
      <c r="F23" s="94">
        <v>9591.6947299999993</v>
      </c>
      <c r="G23" s="95" t="s">
        <v>3</v>
      </c>
      <c r="H23" s="97">
        <f>E23*$B$37</f>
        <v>4052199.3167794636</v>
      </c>
      <c r="I23" s="98">
        <f>F23*$G$35*$G$36</f>
        <v>4092453.8603480719</v>
      </c>
      <c r="J23" s="96">
        <f t="shared" si="2"/>
        <v>8144653.1771275355</v>
      </c>
    </row>
    <row r="30" spans="1:17" ht="15" thickBot="1" x14ac:dyDescent="0.35"/>
    <row r="31" spans="1:17" x14ac:dyDescent="0.3">
      <c r="A31" s="38"/>
      <c r="B31" s="39" t="s">
        <v>36</v>
      </c>
      <c r="C31" s="40"/>
      <c r="F31" s="14" t="s">
        <v>45</v>
      </c>
      <c r="G31" s="54"/>
      <c r="H31" s="15"/>
      <c r="K31" s="28" t="s">
        <v>25</v>
      </c>
      <c r="L31" s="29"/>
      <c r="M31" s="30"/>
      <c r="O31" s="48" t="s">
        <v>51</v>
      </c>
      <c r="P31" s="59"/>
      <c r="Q31" s="60"/>
    </row>
    <row r="32" spans="1:17" x14ac:dyDescent="0.3">
      <c r="A32" s="41"/>
      <c r="B32" s="42"/>
      <c r="C32" s="43"/>
      <c r="F32" s="16"/>
      <c r="G32" s="55"/>
      <c r="H32" s="56"/>
      <c r="K32" s="31"/>
      <c r="L32" s="32"/>
      <c r="M32" s="33"/>
      <c r="O32" s="50"/>
      <c r="P32" s="61"/>
      <c r="Q32" s="62"/>
    </row>
    <row r="33" spans="1:17" x14ac:dyDescent="0.3">
      <c r="A33" s="41" t="s">
        <v>37</v>
      </c>
      <c r="B33" s="42" t="s">
        <v>38</v>
      </c>
      <c r="C33" s="43" t="s">
        <v>28</v>
      </c>
      <c r="F33" s="16" t="s">
        <v>26</v>
      </c>
      <c r="G33" s="55" t="s">
        <v>27</v>
      </c>
      <c r="H33" s="56" t="s">
        <v>28</v>
      </c>
      <c r="K33" s="31" t="s">
        <v>26</v>
      </c>
      <c r="L33" s="32" t="s">
        <v>27</v>
      </c>
      <c r="M33" s="33" t="s">
        <v>28</v>
      </c>
      <c r="O33" s="63" t="s">
        <v>26</v>
      </c>
      <c r="P33" s="64" t="s">
        <v>27</v>
      </c>
      <c r="Q33" s="65" t="s">
        <v>28</v>
      </c>
    </row>
    <row r="34" spans="1:17" x14ac:dyDescent="0.3">
      <c r="A34" s="41" t="s">
        <v>39</v>
      </c>
      <c r="B34" s="42">
        <f>4/10^6</f>
        <v>3.9999999999999998E-6</v>
      </c>
      <c r="C34" s="43" t="s">
        <v>40</v>
      </c>
      <c r="F34" s="16" t="s">
        <v>46</v>
      </c>
      <c r="G34" s="55">
        <v>0.04</v>
      </c>
      <c r="H34" s="56" t="s">
        <v>47</v>
      </c>
      <c r="K34" s="31" t="s">
        <v>29</v>
      </c>
      <c r="L34" s="99">
        <v>1410</v>
      </c>
      <c r="M34" s="33" t="s">
        <v>30</v>
      </c>
      <c r="O34" s="50" t="s">
        <v>52</v>
      </c>
      <c r="P34" s="61">
        <v>15</v>
      </c>
      <c r="Q34" s="62" t="s">
        <v>53</v>
      </c>
    </row>
    <row r="35" spans="1:17" x14ac:dyDescent="0.3">
      <c r="A35" s="41" t="s">
        <v>39</v>
      </c>
      <c r="B35" s="42">
        <f>4/293.07107</f>
        <v>1.36485665405323E-2</v>
      </c>
      <c r="C35" s="43" t="s">
        <v>44</v>
      </c>
      <c r="F35" s="16" t="s">
        <v>48</v>
      </c>
      <c r="G35" s="101">
        <f>0.0533333</f>
        <v>5.33333E-2</v>
      </c>
      <c r="H35" s="56" t="s">
        <v>44</v>
      </c>
      <c r="K35" s="31" t="s">
        <v>34</v>
      </c>
      <c r="L35" s="99">
        <v>1.3</v>
      </c>
      <c r="M35" s="33" t="s">
        <v>35</v>
      </c>
      <c r="O35" s="50" t="s">
        <v>54</v>
      </c>
      <c r="P35" s="61">
        <f>8.12/1000</f>
        <v>8.1199999999999987E-3</v>
      </c>
      <c r="Q35" s="62" t="s">
        <v>55</v>
      </c>
    </row>
    <row r="36" spans="1:17" x14ac:dyDescent="0.3">
      <c r="A36" s="41" t="s">
        <v>41</v>
      </c>
      <c r="B36" s="42">
        <v>8000</v>
      </c>
      <c r="C36" s="43" t="s">
        <v>42</v>
      </c>
      <c r="F36" s="16" t="s">
        <v>49</v>
      </c>
      <c r="G36" s="101">
        <v>8000</v>
      </c>
      <c r="H36" s="56" t="s">
        <v>42</v>
      </c>
      <c r="K36" s="31" t="s">
        <v>31</v>
      </c>
      <c r="L36" s="99">
        <v>2000</v>
      </c>
      <c r="M36" s="33" t="s">
        <v>32</v>
      </c>
      <c r="O36" s="50" t="s">
        <v>56</v>
      </c>
      <c r="P36" s="61">
        <v>1000</v>
      </c>
      <c r="Q36" s="62" t="s">
        <v>57</v>
      </c>
    </row>
    <row r="37" spans="1:17" ht="15" thickBot="1" x14ac:dyDescent="0.35">
      <c r="A37" s="44" t="s">
        <v>39</v>
      </c>
      <c r="B37" s="45">
        <v>109.1885</v>
      </c>
      <c r="C37" s="46" t="s">
        <v>43</v>
      </c>
      <c r="F37" s="18" t="s">
        <v>46</v>
      </c>
      <c r="G37" s="57">
        <f>G36*G35</f>
        <v>426.66640000000001</v>
      </c>
      <c r="H37" s="58" t="s">
        <v>50</v>
      </c>
      <c r="K37" s="34" t="s">
        <v>33</v>
      </c>
      <c r="L37" s="100">
        <v>0.42</v>
      </c>
      <c r="M37" s="36" t="s">
        <v>32</v>
      </c>
      <c r="O37" s="50" t="s">
        <v>58</v>
      </c>
      <c r="P37" s="61">
        <f>8.12*10^-6</f>
        <v>8.1199999999999985E-6</v>
      </c>
      <c r="Q37" s="62" t="s">
        <v>35</v>
      </c>
    </row>
    <row r="38" spans="1:17" x14ac:dyDescent="0.3">
      <c r="O38" s="50" t="s">
        <v>49</v>
      </c>
      <c r="P38" s="61">
        <v>8000</v>
      </c>
      <c r="Q38" s="62" t="s">
        <v>42</v>
      </c>
    </row>
    <row r="39" spans="1:17" x14ac:dyDescent="0.3">
      <c r="O39" s="50" t="s">
        <v>59</v>
      </c>
      <c r="P39" s="61">
        <v>4.2</v>
      </c>
      <c r="Q39" s="62" t="s">
        <v>60</v>
      </c>
    </row>
    <row r="40" spans="1:17" ht="15" thickBot="1" x14ac:dyDescent="0.35">
      <c r="O40" s="50" t="s">
        <v>61</v>
      </c>
      <c r="P40" s="61">
        <v>63</v>
      </c>
      <c r="Q40" s="62" t="s">
        <v>62</v>
      </c>
    </row>
    <row r="41" spans="1:17" ht="15" thickBot="1" x14ac:dyDescent="0.35">
      <c r="F41" s="3" t="s">
        <v>67</v>
      </c>
      <c r="G41" s="4" t="s">
        <v>69</v>
      </c>
      <c r="O41" s="52" t="s">
        <v>63</v>
      </c>
      <c r="P41" s="66">
        <v>3600</v>
      </c>
      <c r="Q41" s="67" t="s">
        <v>64</v>
      </c>
    </row>
    <row r="42" spans="1:17" ht="15" thickBot="1" x14ac:dyDescent="0.35">
      <c r="F42" s="5"/>
      <c r="G42" s="37">
        <v>3</v>
      </c>
      <c r="O42" s="12"/>
      <c r="P42" s="12"/>
      <c r="Q42" s="12"/>
    </row>
    <row r="43" spans="1:17" x14ac:dyDescent="0.3">
      <c r="F43" s="27"/>
      <c r="G43" s="2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9092-36C6-465F-88DB-DAA40F21050A}">
  <dimension ref="A1:Y83"/>
  <sheetViews>
    <sheetView tabSelected="1" topLeftCell="C1" workbookViewId="0">
      <selection activeCell="K15" sqref="K15"/>
    </sheetView>
  </sheetViews>
  <sheetFormatPr defaultRowHeight="14.4" x14ac:dyDescent="0.3"/>
  <cols>
    <col min="1" max="1" width="15.88671875" bestFit="1" customWidth="1"/>
    <col min="4" max="4" width="16.33203125" bestFit="1" customWidth="1"/>
    <col min="5" max="5" width="12" bestFit="1" customWidth="1"/>
    <col min="7" max="7" width="16.33203125" bestFit="1" customWidth="1"/>
    <col min="8" max="8" width="12" bestFit="1" customWidth="1"/>
    <col min="11" max="11" width="13.33203125" bestFit="1" customWidth="1"/>
    <col min="15" max="15" width="13.33203125" bestFit="1" customWidth="1"/>
    <col min="19" max="19" width="13.33203125" bestFit="1" customWidth="1"/>
  </cols>
  <sheetData>
    <row r="1" spans="1:24" x14ac:dyDescent="0.3">
      <c r="A1" t="s">
        <v>75</v>
      </c>
      <c r="B1">
        <v>1703</v>
      </c>
    </row>
    <row r="2" spans="1:24" x14ac:dyDescent="0.3">
      <c r="A2" t="s">
        <v>76</v>
      </c>
      <c r="B2">
        <v>200</v>
      </c>
    </row>
    <row r="3" spans="1:24" x14ac:dyDescent="0.3">
      <c r="A3" t="s">
        <v>77</v>
      </c>
      <c r="B3">
        <v>1.05</v>
      </c>
    </row>
    <row r="4" spans="1:24" x14ac:dyDescent="0.3">
      <c r="A4" t="s">
        <v>78</v>
      </c>
      <c r="B4">
        <v>2.25</v>
      </c>
    </row>
    <row r="5" spans="1:24" x14ac:dyDescent="0.3">
      <c r="A5" t="s">
        <v>79</v>
      </c>
      <c r="B5">
        <f>B4*B3</f>
        <v>2.3625000000000003</v>
      </c>
    </row>
    <row r="6" spans="1:24" x14ac:dyDescent="0.3">
      <c r="A6" t="s">
        <v>80</v>
      </c>
      <c r="B6">
        <v>3.28084</v>
      </c>
    </row>
    <row r="12" spans="1:24" x14ac:dyDescent="0.3">
      <c r="A12" s="102" t="s">
        <v>81</v>
      </c>
      <c r="B12" s="102"/>
      <c r="C12" s="102"/>
      <c r="D12" s="102"/>
      <c r="E12" s="102"/>
      <c r="F12" s="102"/>
      <c r="G12" s="102"/>
      <c r="H12" s="102"/>
      <c r="K12" s="103" t="s">
        <v>82</v>
      </c>
      <c r="L12" s="103"/>
      <c r="M12" s="103"/>
      <c r="N12" s="103"/>
      <c r="O12" s="103"/>
      <c r="P12" s="103"/>
      <c r="Q12" s="103"/>
      <c r="R12" s="103"/>
      <c r="S12" s="103"/>
      <c r="T12" s="103"/>
      <c r="W12" t="s">
        <v>6</v>
      </c>
      <c r="X12" t="s">
        <v>83</v>
      </c>
    </row>
    <row r="13" spans="1:24" x14ac:dyDescent="0.3">
      <c r="A13" s="104" t="s">
        <v>6</v>
      </c>
      <c r="B13" s="105">
        <v>0.01</v>
      </c>
      <c r="D13" s="104" t="s">
        <v>6</v>
      </c>
      <c r="E13" s="107">
        <v>0.02</v>
      </c>
      <c r="G13" s="104" t="s">
        <v>6</v>
      </c>
      <c r="H13" s="105">
        <v>0.05</v>
      </c>
      <c r="K13" t="s">
        <v>6</v>
      </c>
      <c r="L13" s="106">
        <v>0.2</v>
      </c>
      <c r="O13" t="s">
        <v>6</v>
      </c>
      <c r="P13" s="106">
        <v>0.25</v>
      </c>
      <c r="S13" t="s">
        <v>6</v>
      </c>
      <c r="T13" s="106">
        <v>0.3</v>
      </c>
      <c r="W13">
        <v>1</v>
      </c>
      <c r="X13">
        <f>(P83-B18)/B18</f>
        <v>-0.15018936695604723</v>
      </c>
    </row>
    <row r="14" spans="1:24" x14ac:dyDescent="0.3">
      <c r="A14" s="104" t="s">
        <v>84</v>
      </c>
      <c r="B14" s="104">
        <v>0.55795399999999995</v>
      </c>
      <c r="D14" s="104" t="s">
        <v>84</v>
      </c>
      <c r="E14" s="104">
        <v>0.57499999999999996</v>
      </c>
      <c r="G14" s="104" t="s">
        <v>84</v>
      </c>
      <c r="H14" s="104">
        <v>0.58978399999999997</v>
      </c>
      <c r="K14" t="s">
        <v>85</v>
      </c>
      <c r="L14">
        <v>1.6825637499999999</v>
      </c>
      <c r="O14" t="s">
        <v>85</v>
      </c>
      <c r="P14">
        <v>1.9698100599999999</v>
      </c>
      <c r="S14" t="s">
        <v>85</v>
      </c>
      <c r="T14">
        <v>3.5275997000000001</v>
      </c>
      <c r="W14">
        <v>2</v>
      </c>
    </row>
    <row r="15" spans="1:24" x14ac:dyDescent="0.3">
      <c r="A15" s="104" t="s">
        <v>86</v>
      </c>
      <c r="B15" s="104">
        <v>3.3478599999999998</v>
      </c>
      <c r="D15" s="104" t="s">
        <v>86</v>
      </c>
      <c r="E15" s="104">
        <v>3.45</v>
      </c>
      <c r="G15" s="104" t="s">
        <v>86</v>
      </c>
      <c r="H15" s="104">
        <v>3.5583800000000001</v>
      </c>
      <c r="K15" t="s">
        <v>87</v>
      </c>
      <c r="L15">
        <v>0.13441097799999999</v>
      </c>
      <c r="O15" t="s">
        <v>87</v>
      </c>
      <c r="P15">
        <v>0.22243006600000001</v>
      </c>
      <c r="S15" t="s">
        <v>87</v>
      </c>
      <c r="T15">
        <v>1.2552363600000001</v>
      </c>
      <c r="W15">
        <v>5</v>
      </c>
      <c r="X15">
        <f>(L59-H18)/H18</f>
        <v>-0.20099275619986512</v>
      </c>
    </row>
    <row r="16" spans="1:24" x14ac:dyDescent="0.3">
      <c r="A16" s="104" t="s">
        <v>110</v>
      </c>
      <c r="B16" s="104">
        <f>($B$1/280)*(101.9*((B14*3.28084)^1.066)*((B15*3.28084)^0.801)*$B$5)</f>
        <v>19017.752714919257</v>
      </c>
      <c r="D16" s="104" t="s">
        <v>110</v>
      </c>
      <c r="E16" s="104">
        <f>($B$1/280)*(101.9*((E14*3.28084)^1.066)*((E15*3.28084)^0.801)*$B$5)</f>
        <v>20116.189866213161</v>
      </c>
      <c r="G16" s="104" t="s">
        <v>110</v>
      </c>
      <c r="H16" s="104">
        <f>($B$1/280)*(101.9*((H14*3.28084)^1.066)*((H15*3.28084)^0.801)*$B$5)</f>
        <v>21186.467157547082</v>
      </c>
      <c r="K16" t="s">
        <v>89</v>
      </c>
      <c r="L16">
        <v>0.14896493</v>
      </c>
      <c r="O16" t="s">
        <v>89</v>
      </c>
      <c r="P16">
        <v>0.25206941999999999</v>
      </c>
      <c r="S16" t="s">
        <v>89</v>
      </c>
      <c r="T16">
        <v>1.5136899399999999</v>
      </c>
      <c r="W16">
        <v>10</v>
      </c>
      <c r="X16">
        <f>(P59-B26)/B26</f>
        <v>-0.18804357637117552</v>
      </c>
    </row>
    <row r="17" spans="1:25" x14ac:dyDescent="0.3">
      <c r="A17" s="104" t="s">
        <v>111</v>
      </c>
      <c r="B17" s="104">
        <f>($B$1/280)*(101.9*((B14*3.28084)^1.066)*((B15*3.28084)^0.801)*(2.18+$B$5))</f>
        <v>36566.409188368561</v>
      </c>
      <c r="D17" s="104" t="s">
        <v>111</v>
      </c>
      <c r="E17" s="104">
        <f>($B$1/280)*(101.9*((E14*3.28084)^1.066)*((E15*3.28084)^0.801)*(2.18+$B$5))</f>
        <v>38678.430673978102</v>
      </c>
      <c r="G17" s="104" t="s">
        <v>111</v>
      </c>
      <c r="H17" s="104">
        <f>($B$1/280)*(101.9*((H14*3.28084)^1.066)*((H15*3.28084)^0.801)*(2.18+$B$5))</f>
        <v>40736.307751601104</v>
      </c>
      <c r="K17" t="s">
        <v>91</v>
      </c>
      <c r="L17">
        <v>0.16898622199999999</v>
      </c>
      <c r="O17" t="s">
        <v>91</v>
      </c>
      <c r="P17">
        <v>0.30318922599999998</v>
      </c>
      <c r="S17" t="s">
        <v>91</v>
      </c>
      <c r="T17">
        <v>1.9571920199999999</v>
      </c>
      <c r="W17">
        <v>15</v>
      </c>
      <c r="X17">
        <f>(P59-E26)/E26</f>
        <v>-0.27512670504314934</v>
      </c>
    </row>
    <row r="18" spans="1:25" x14ac:dyDescent="0.3">
      <c r="A18" s="104" t="s">
        <v>112</v>
      </c>
      <c r="B18" s="104">
        <f>B17/3</f>
        <v>12188.80306278952</v>
      </c>
      <c r="D18" s="104" t="s">
        <v>112</v>
      </c>
      <c r="E18" s="104">
        <f>E17/3</f>
        <v>12892.810224659368</v>
      </c>
      <c r="G18" s="104" t="s">
        <v>112</v>
      </c>
      <c r="H18" s="104">
        <f>H17/3</f>
        <v>13578.769250533702</v>
      </c>
      <c r="K18" t="s">
        <v>93</v>
      </c>
      <c r="L18">
        <v>1.09016914</v>
      </c>
      <c r="O18" t="s">
        <v>93</v>
      </c>
      <c r="P18">
        <v>3.60685609</v>
      </c>
      <c r="S18" t="s">
        <v>93</v>
      </c>
      <c r="T18">
        <v>57.613337000000001</v>
      </c>
      <c r="W18">
        <v>20</v>
      </c>
    </row>
    <row r="19" spans="1:25" x14ac:dyDescent="0.3">
      <c r="A19" s="104" t="s">
        <v>113</v>
      </c>
      <c r="B19" s="104">
        <f>(PI()/4)*(B14^2)*B15</f>
        <v>0.81856648789517328</v>
      </c>
      <c r="D19" s="104" t="s">
        <v>113</v>
      </c>
      <c r="E19" s="104">
        <f>(PI()/4)*(E14^2)*E15</f>
        <v>0.89586932381782047</v>
      </c>
      <c r="G19" s="104" t="s">
        <v>113</v>
      </c>
      <c r="H19" s="104">
        <f>(PI()/4)*(H14^2)*H15</f>
        <v>0.97213858086919192</v>
      </c>
      <c r="K19" t="s">
        <v>114</v>
      </c>
      <c r="L19">
        <v>0.28041998299999998</v>
      </c>
      <c r="O19" t="s">
        <v>94</v>
      </c>
      <c r="P19">
        <v>0.32824953699999998</v>
      </c>
      <c r="S19" t="s">
        <v>94</v>
      </c>
      <c r="T19">
        <v>0.58789911100000003</v>
      </c>
      <c r="W19">
        <v>25</v>
      </c>
    </row>
    <row r="20" spans="1:25" x14ac:dyDescent="0.3">
      <c r="A20" s="12"/>
      <c r="D20" s="12"/>
      <c r="G20" s="12"/>
    </row>
    <row r="21" spans="1:25" x14ac:dyDescent="0.3">
      <c r="A21" s="104" t="s">
        <v>6</v>
      </c>
      <c r="B21" s="105">
        <v>0.1</v>
      </c>
      <c r="D21" s="104" t="s">
        <v>6</v>
      </c>
      <c r="E21" s="105">
        <v>0.15</v>
      </c>
      <c r="G21" s="104" t="s">
        <v>6</v>
      </c>
      <c r="H21" s="105">
        <v>0.2</v>
      </c>
      <c r="K21" t="s">
        <v>95</v>
      </c>
      <c r="L21">
        <v>1</v>
      </c>
      <c r="O21" t="s">
        <v>95</v>
      </c>
      <c r="P21">
        <v>1</v>
      </c>
      <c r="S21" t="s">
        <v>95</v>
      </c>
      <c r="T21">
        <v>1</v>
      </c>
    </row>
    <row r="22" spans="1:25" x14ac:dyDescent="0.3">
      <c r="A22" s="104" t="s">
        <v>84</v>
      </c>
      <c r="B22" s="104">
        <v>0.61277300000000001</v>
      </c>
      <c r="D22" s="104" t="s">
        <v>84</v>
      </c>
      <c r="E22" s="104">
        <v>0.65115900000000004</v>
      </c>
      <c r="G22" s="104" t="s">
        <v>84</v>
      </c>
      <c r="H22" s="104">
        <v>0.70783099999999999</v>
      </c>
      <c r="K22" t="s">
        <v>96</v>
      </c>
      <c r="L22">
        <v>1</v>
      </c>
      <c r="O22" t="s">
        <v>96</v>
      </c>
      <c r="P22">
        <v>1</v>
      </c>
      <c r="S22" t="s">
        <v>96</v>
      </c>
      <c r="T22">
        <v>1</v>
      </c>
    </row>
    <row r="23" spans="1:25" x14ac:dyDescent="0.3">
      <c r="A23" s="104" t="s">
        <v>86</v>
      </c>
      <c r="B23" s="104">
        <v>3.6767099999999999</v>
      </c>
      <c r="D23" s="104" t="s">
        <v>86</v>
      </c>
      <c r="E23" s="104">
        <v>3.9070900000000002</v>
      </c>
      <c r="G23" s="104" t="s">
        <v>86</v>
      </c>
      <c r="H23" s="104">
        <v>4.2469099999999997</v>
      </c>
      <c r="K23" t="s">
        <v>97</v>
      </c>
      <c r="L23">
        <v>1</v>
      </c>
      <c r="O23" t="s">
        <v>97</v>
      </c>
      <c r="P23">
        <v>1</v>
      </c>
      <c r="S23" t="s">
        <v>97</v>
      </c>
      <c r="T23">
        <v>1</v>
      </c>
    </row>
    <row r="24" spans="1:25" x14ac:dyDescent="0.3">
      <c r="A24" s="104" t="s">
        <v>110</v>
      </c>
      <c r="B24" s="104">
        <f>($B$1/280)*(101.9*((B22*3.28084)^1.066)*((B23*3.28084)^0.801)*$B$5)</f>
        <v>22653.800158018214</v>
      </c>
      <c r="D24" s="104" t="s">
        <v>110</v>
      </c>
      <c r="E24" s="104">
        <f>($B$1/280)*(101.9*((E22*3.28084)^1.066)*((E23*3.28084)^0.801)*$B$5)</f>
        <v>25375.329296689702</v>
      </c>
      <c r="G24" s="104" t="s">
        <v>110</v>
      </c>
      <c r="H24" s="104">
        <f>($B$1/280)*(101.9*((H22*3.28084)^1.066)*((H23*3.28084)^0.801)*$B$5)</f>
        <v>29652.284529644228</v>
      </c>
      <c r="K24" t="s">
        <v>98</v>
      </c>
      <c r="L24">
        <v>1</v>
      </c>
      <c r="O24" t="s">
        <v>98</v>
      </c>
      <c r="P24">
        <v>1</v>
      </c>
      <c r="S24" t="s">
        <v>98</v>
      </c>
      <c r="T24">
        <v>1</v>
      </c>
    </row>
    <row r="25" spans="1:25" x14ac:dyDescent="0.3">
      <c r="A25" s="104" t="s">
        <v>111</v>
      </c>
      <c r="B25" s="104">
        <f>($B$1/280)*(101.9*((B22*3.28084)^1.066)*((B23*3.28084)^0.801)*(2.18+$B$5))</f>
        <v>43557.624219173638</v>
      </c>
      <c r="D25" s="104" t="s">
        <v>111</v>
      </c>
      <c r="E25" s="104">
        <f>($B$1/280)*(101.9*((E22*3.28084)^1.066)*((E23*3.28084)^0.801)*(2.18+$B$5))</f>
        <v>48790.447970460511</v>
      </c>
      <c r="G25" s="104" t="s">
        <v>111</v>
      </c>
      <c r="H25" s="104">
        <f>($B$1/280)*(101.9*((H22*3.28084)^1.066)*((H23*3.28084)^0.801)*(2.18+$B$5))</f>
        <v>57013.969301972022</v>
      </c>
      <c r="K25" t="s">
        <v>99</v>
      </c>
      <c r="L25">
        <f>((PI()/4)*L19^2)*L14</f>
        <v>0.10391525954664933</v>
      </c>
      <c r="O25" t="s">
        <v>99</v>
      </c>
      <c r="P25">
        <f>((PI()/4)*P19^2)*P14</f>
        <v>0.16669496293417205</v>
      </c>
      <c r="S25" t="s">
        <v>99</v>
      </c>
      <c r="T25">
        <f>((PI()/4)*T19^2)*T14</f>
        <v>0.95757937924648917</v>
      </c>
    </row>
    <row r="26" spans="1:25" x14ac:dyDescent="0.3">
      <c r="A26" s="104" t="s">
        <v>112</v>
      </c>
      <c r="B26" s="104">
        <f>B25/3</f>
        <v>14519.20807305788</v>
      </c>
      <c r="D26" s="104" t="s">
        <v>112</v>
      </c>
      <c r="E26" s="104">
        <f>E25/3</f>
        <v>16263.48265682017</v>
      </c>
      <c r="G26" s="104" t="s">
        <v>112</v>
      </c>
      <c r="H26" s="104">
        <f>H25/3</f>
        <v>19004.656433990673</v>
      </c>
      <c r="K26" t="s">
        <v>100</v>
      </c>
      <c r="L26">
        <f>((PI()/4)*L21^2)*L15</f>
        <v>0.10556613526165481</v>
      </c>
      <c r="O26" t="s">
        <v>100</v>
      </c>
      <c r="P26">
        <f>((PI()/4)*P21^2)*P15</f>
        <v>0.1746961653207732</v>
      </c>
      <c r="S26" t="s">
        <v>100</v>
      </c>
      <c r="T26">
        <f>((PI()/4)*T21^2)*T15</f>
        <v>0.98586033177369825</v>
      </c>
    </row>
    <row r="27" spans="1:25" x14ac:dyDescent="0.3">
      <c r="A27" s="104" t="s">
        <v>113</v>
      </c>
      <c r="B27" s="104">
        <f>(PI()/4)*(B22^2)*B23</f>
        <v>1.0842976087331091</v>
      </c>
      <c r="D27" s="104" t="s">
        <v>113</v>
      </c>
      <c r="E27" s="104">
        <f>(PI()/4)*(E22^2)*E23</f>
        <v>1.3011201173203804</v>
      </c>
      <c r="G27" s="104" t="s">
        <v>113</v>
      </c>
      <c r="H27" s="104">
        <f>(PI()/4)*(H22^2)*H23</f>
        <v>1.6711756415230929</v>
      </c>
      <c r="K27" t="s">
        <v>101</v>
      </c>
      <c r="L27">
        <f>((PI()/4)*L22^2)*L16</f>
        <v>0.11699678243262944</v>
      </c>
      <c r="O27" t="s">
        <v>101</v>
      </c>
      <c r="P27">
        <f>((PI()/4)*P22^2)*P16</f>
        <v>0.19797485951666</v>
      </c>
      <c r="S27" t="s">
        <v>101</v>
      </c>
      <c r="T27">
        <f>((PI()/4)*T22^2)*T16</f>
        <v>1.1888492988291937</v>
      </c>
      <c r="W27" s="108" t="s">
        <v>102</v>
      </c>
      <c r="X27" s="108" t="s">
        <v>103</v>
      </c>
      <c r="Y27" s="108" t="s">
        <v>104</v>
      </c>
    </row>
    <row r="28" spans="1:25" x14ac:dyDescent="0.3">
      <c r="A28" s="12"/>
      <c r="D28" s="12"/>
      <c r="G28" s="12"/>
      <c r="W28" s="108"/>
      <c r="X28" s="108"/>
      <c r="Y28" s="108"/>
    </row>
    <row r="29" spans="1:25" x14ac:dyDescent="0.3">
      <c r="A29" s="104" t="s">
        <v>6</v>
      </c>
      <c r="B29" s="105">
        <v>0.25</v>
      </c>
      <c r="K29" t="s">
        <v>105</v>
      </c>
      <c r="L29">
        <f>((PI()/4)*L23^2)*L17</f>
        <v>0.13272146839827345</v>
      </c>
      <c r="O29" t="s">
        <v>105</v>
      </c>
      <c r="P29">
        <f>((PI()/4)*P23^2)*P17</f>
        <v>0.23812426126229386</v>
      </c>
      <c r="S29" t="s">
        <v>105</v>
      </c>
      <c r="T29">
        <f>((PI()/4)*T23^2)*T17</f>
        <v>1.5371750179241419</v>
      </c>
      <c r="W29" s="2">
        <v>1</v>
      </c>
      <c r="X29" s="2">
        <f>B19</f>
        <v>0.81856648789517328</v>
      </c>
      <c r="Y29" s="2">
        <f>B18</f>
        <v>12188.80306278952</v>
      </c>
    </row>
    <row r="30" spans="1:25" x14ac:dyDescent="0.3">
      <c r="A30" s="104" t="s">
        <v>84</v>
      </c>
      <c r="B30" s="104">
        <v>0.82444399999999995</v>
      </c>
      <c r="K30" t="s">
        <v>106</v>
      </c>
      <c r="L30">
        <f>((PI()/4)*L24^2)*L18</f>
        <v>0.8562168403485757</v>
      </c>
      <c r="O30" t="s">
        <v>106</v>
      </c>
      <c r="P30">
        <f>((PI()/4)*P24^2)*P18</f>
        <v>2.8328181487249013</v>
      </c>
      <c r="S30" t="s">
        <v>106</v>
      </c>
      <c r="T30">
        <f>((PI()/4)*T24^2)*T18</f>
        <v>45.249409066998254</v>
      </c>
      <c r="W30" s="2">
        <v>2</v>
      </c>
      <c r="X30" s="2">
        <f>E19</f>
        <v>0.89586932381782047</v>
      </c>
      <c r="Y30" s="2">
        <f>E18</f>
        <v>12892.810224659368</v>
      </c>
    </row>
    <row r="31" spans="1:25" x14ac:dyDescent="0.3">
      <c r="A31" s="104" t="s">
        <v>86</v>
      </c>
      <c r="B31" s="104">
        <v>4.9467499999999998</v>
      </c>
      <c r="K31" t="s">
        <v>107</v>
      </c>
      <c r="L31">
        <f>SUM(L25:L30)</f>
        <v>1.3154164859877828</v>
      </c>
      <c r="O31" t="s">
        <v>107</v>
      </c>
      <c r="P31">
        <f>SUM(P25:P30)</f>
        <v>3.6103083977588004</v>
      </c>
      <c r="S31" t="s">
        <v>107</v>
      </c>
      <c r="T31">
        <f>SUM(T25:T30)</f>
        <v>49.918873094771776</v>
      </c>
      <c r="W31" s="2">
        <v>5</v>
      </c>
      <c r="X31" s="2">
        <f>H19</f>
        <v>0.97213858086919192</v>
      </c>
      <c r="Y31" s="2">
        <f>H18</f>
        <v>13578.769250533702</v>
      </c>
    </row>
    <row r="32" spans="1:25" x14ac:dyDescent="0.3">
      <c r="A32" s="104" t="s">
        <v>110</v>
      </c>
      <c r="B32" s="104">
        <f>($B$1/280)*(101.9*((B30*3.28084)^1.066)*((B31*3.28084)^0.801)*$B$5)</f>
        <v>39420.742199809087</v>
      </c>
      <c r="K32" t="s">
        <v>108</v>
      </c>
      <c r="L32">
        <f>((2/(3*PI())*L31)^(1/3))</f>
        <v>0.65354282278843623</v>
      </c>
      <c r="O32" t="s">
        <v>108</v>
      </c>
      <c r="P32">
        <f>((2/(3*PI())*P31)^(1/3))</f>
        <v>0.9150280130318954</v>
      </c>
      <c r="S32" t="s">
        <v>108</v>
      </c>
      <c r="T32">
        <f>((2/(3*PI())*T31)^(1/3))</f>
        <v>2.1962134503613928</v>
      </c>
      <c r="W32" s="2">
        <v>10</v>
      </c>
      <c r="X32" s="2">
        <f>B27</f>
        <v>1.0842976087331091</v>
      </c>
      <c r="Y32" s="2">
        <f>B26</f>
        <v>14519.20807305788</v>
      </c>
    </row>
    <row r="33" spans="1:25" x14ac:dyDescent="0.3">
      <c r="A33" s="104" t="s">
        <v>111</v>
      </c>
      <c r="B33" s="104">
        <f>($B$1/280)*(101.9*((B30*3.28084)^1.066)*((B31*3.28084)^0.801)*(2.18+$B$5))</f>
        <v>75796.2842085218</v>
      </c>
      <c r="K33" t="s">
        <v>109</v>
      </c>
      <c r="L33">
        <f>6*L32</f>
        <v>3.9212569367306171</v>
      </c>
      <c r="O33" t="s">
        <v>109</v>
      </c>
      <c r="P33">
        <f>6*P32</f>
        <v>5.4901680781913722</v>
      </c>
      <c r="S33" t="s">
        <v>109</v>
      </c>
      <c r="T33">
        <f>6*T32</f>
        <v>13.177280702168357</v>
      </c>
      <c r="W33" s="2">
        <v>15</v>
      </c>
      <c r="X33" s="2">
        <f>E27</f>
        <v>1.3011201173203804</v>
      </c>
      <c r="Y33" s="2">
        <f>E26</f>
        <v>16263.48265682017</v>
      </c>
    </row>
    <row r="34" spans="1:25" x14ac:dyDescent="0.3">
      <c r="A34" s="104" t="s">
        <v>112</v>
      </c>
      <c r="B34" s="104">
        <f>B33/3</f>
        <v>25265.428069507267</v>
      </c>
      <c r="K34" s="109" t="s">
        <v>88</v>
      </c>
      <c r="L34" s="109">
        <f>($B$1/280)*(101.9*((L32*3.28084)^1.066)*((L33*3.28084)^0.801)*$B$5)</f>
        <v>25548.329613475846</v>
      </c>
      <c r="O34" s="109" t="s">
        <v>88</v>
      </c>
      <c r="P34" s="109">
        <f>($B$1/280)*(101.9*((P32*3.28084)^1.066)*((P33*3.28084)^0.801)*$B$5)</f>
        <v>47889.892924526772</v>
      </c>
      <c r="S34" s="109" t="s">
        <v>88</v>
      </c>
      <c r="T34" s="109">
        <f>($B$1/280)*(101.9*((T32*3.28084)^1.066)*((T33*3.28084)^0.801)*$B$5)</f>
        <v>245556.95494754234</v>
      </c>
      <c r="W34" s="2">
        <v>20</v>
      </c>
      <c r="X34" s="2">
        <f>H27</f>
        <v>1.6711756415230929</v>
      </c>
      <c r="Y34" s="2">
        <f>H26</f>
        <v>19004.656433990673</v>
      </c>
    </row>
    <row r="35" spans="1:25" x14ac:dyDescent="0.3">
      <c r="A35" s="104" t="s">
        <v>113</v>
      </c>
      <c r="B35" s="104">
        <f>(PI()/4)*(B30^2)*B31</f>
        <v>2.6407796658702463</v>
      </c>
      <c r="K35" s="109" t="s">
        <v>90</v>
      </c>
      <c r="L35" s="109">
        <f>($B$1/280)*(101.9*((L32*3.28084)^1.066)*((L33*3.28084)^0.801)*(2.18+$B$5))</f>
        <v>49123.084558397473</v>
      </c>
      <c r="O35" s="109" t="s">
        <v>90</v>
      </c>
      <c r="P35" s="109">
        <f>($B$1/280)*(101.9*((P32*3.28084)^1.066)*((P33*3.28084)^0.801)*(2.18+$B$5))</f>
        <v>92080.354967053063</v>
      </c>
      <c r="S35" s="109" t="s">
        <v>90</v>
      </c>
      <c r="T35" s="109">
        <f>($B$1/280)*(101.9*((T32*3.28084)^1.066)*((T33*3.28084)^0.801)*(2.18+$B$5))</f>
        <v>472144.95993617404</v>
      </c>
      <c r="W35" s="2">
        <v>25</v>
      </c>
      <c r="X35" s="2">
        <f>B35</f>
        <v>2.6407796658702463</v>
      </c>
      <c r="Y35" s="2">
        <f>B34</f>
        <v>25265.428069507267</v>
      </c>
    </row>
    <row r="36" spans="1:25" x14ac:dyDescent="0.3">
      <c r="K36" s="109" t="s">
        <v>92</v>
      </c>
      <c r="L36" s="109">
        <f>L35/3</f>
        <v>16374.361519465825</v>
      </c>
      <c r="O36" s="109" t="s">
        <v>92</v>
      </c>
      <c r="P36" s="109">
        <f>P35/3</f>
        <v>30693.451655684356</v>
      </c>
      <c r="S36" s="109" t="s">
        <v>92</v>
      </c>
      <c r="T36" s="109">
        <f>T35/3</f>
        <v>157381.65331205801</v>
      </c>
    </row>
    <row r="38" spans="1:25" x14ac:dyDescent="0.3">
      <c r="K38" t="s">
        <v>6</v>
      </c>
      <c r="L38" s="106">
        <v>0.05</v>
      </c>
      <c r="O38" t="s">
        <v>6</v>
      </c>
      <c r="P38" s="106">
        <v>0.1</v>
      </c>
      <c r="S38" t="s">
        <v>6</v>
      </c>
      <c r="T38" s="106">
        <v>0.15</v>
      </c>
    </row>
    <row r="39" spans="1:25" x14ac:dyDescent="0.3">
      <c r="K39" t="s">
        <v>85</v>
      </c>
      <c r="L39">
        <v>1.5014120799999999</v>
      </c>
      <c r="O39" t="s">
        <v>85</v>
      </c>
      <c r="P39">
        <v>1.53606234</v>
      </c>
      <c r="S39" t="s">
        <v>85</v>
      </c>
      <c r="T39">
        <v>1.5980885899999999</v>
      </c>
    </row>
    <row r="40" spans="1:25" x14ac:dyDescent="0.3">
      <c r="K40" t="s">
        <v>87</v>
      </c>
      <c r="L40">
        <v>9.3917229699999993E-2</v>
      </c>
      <c r="O40" t="s">
        <v>87</v>
      </c>
      <c r="P40">
        <v>0.103769266</v>
      </c>
      <c r="S40" t="s">
        <v>87</v>
      </c>
      <c r="T40">
        <v>0.114013687</v>
      </c>
    </row>
    <row r="41" spans="1:25" x14ac:dyDescent="0.3">
      <c r="K41" t="s">
        <v>89</v>
      </c>
      <c r="L41">
        <v>9.5785442499999998E-2</v>
      </c>
      <c r="O41" t="s">
        <v>89</v>
      </c>
      <c r="P41">
        <v>0.106834977</v>
      </c>
      <c r="S41" t="s">
        <v>89</v>
      </c>
      <c r="T41">
        <v>0.12244935799999999</v>
      </c>
    </row>
    <row r="42" spans="1:25" x14ac:dyDescent="0.3">
      <c r="K42" t="s">
        <v>91</v>
      </c>
      <c r="L42">
        <v>9.7769486799999999E-2</v>
      </c>
      <c r="O42" t="s">
        <v>91</v>
      </c>
      <c r="P42">
        <v>0.112003388</v>
      </c>
      <c r="S42" t="s">
        <v>91</v>
      </c>
      <c r="T42">
        <v>0.13252672500000001</v>
      </c>
    </row>
    <row r="43" spans="1:25" x14ac:dyDescent="0.3">
      <c r="K43" t="s">
        <v>93</v>
      </c>
      <c r="L43">
        <v>0.48295102200000001</v>
      </c>
      <c r="O43" t="s">
        <v>93</v>
      </c>
      <c r="P43">
        <v>0.56459732900000004</v>
      </c>
      <c r="S43" t="s">
        <v>93</v>
      </c>
      <c r="T43">
        <v>0.71809246199999999</v>
      </c>
    </row>
    <row r="44" spans="1:25" x14ac:dyDescent="0.3">
      <c r="K44" t="s">
        <v>94</v>
      </c>
      <c r="L44">
        <v>0.25025848099999998</v>
      </c>
      <c r="O44" t="s">
        <v>94</v>
      </c>
      <c r="P44">
        <v>0.25597788199999999</v>
      </c>
      <c r="S44" t="s">
        <v>94</v>
      </c>
      <c r="T44">
        <v>0.266347734</v>
      </c>
    </row>
    <row r="45" spans="1:25" x14ac:dyDescent="0.3">
      <c r="K45" t="s">
        <v>95</v>
      </c>
      <c r="L45">
        <v>1</v>
      </c>
      <c r="O45" t="s">
        <v>95</v>
      </c>
      <c r="P45">
        <v>1</v>
      </c>
      <c r="S45" t="s">
        <v>95</v>
      </c>
      <c r="T45">
        <v>1</v>
      </c>
    </row>
    <row r="46" spans="1:25" x14ac:dyDescent="0.3">
      <c r="K46" t="s">
        <v>96</v>
      </c>
      <c r="L46">
        <v>1</v>
      </c>
      <c r="O46" t="s">
        <v>96</v>
      </c>
      <c r="P46">
        <v>1</v>
      </c>
      <c r="S46" t="s">
        <v>96</v>
      </c>
      <c r="T46">
        <v>1</v>
      </c>
    </row>
    <row r="47" spans="1:25" x14ac:dyDescent="0.3">
      <c r="K47" t="s">
        <v>97</v>
      </c>
      <c r="L47">
        <v>1</v>
      </c>
      <c r="O47" t="s">
        <v>97</v>
      </c>
      <c r="P47">
        <v>1</v>
      </c>
      <c r="S47" t="s">
        <v>97</v>
      </c>
      <c r="T47">
        <v>1</v>
      </c>
    </row>
    <row r="48" spans="1:25" x14ac:dyDescent="0.3">
      <c r="K48" t="s">
        <v>98</v>
      </c>
      <c r="L48">
        <v>1</v>
      </c>
      <c r="O48" t="s">
        <v>98</v>
      </c>
      <c r="P48">
        <v>1</v>
      </c>
      <c r="S48" t="s">
        <v>98</v>
      </c>
      <c r="T48">
        <v>1</v>
      </c>
    </row>
    <row r="49" spans="11:20" x14ac:dyDescent="0.3">
      <c r="K49" t="s">
        <v>99</v>
      </c>
      <c r="L49">
        <f>((PI()/4)*L44^2)*L39</f>
        <v>7.3852873129596167E-2</v>
      </c>
      <c r="O49" t="s">
        <v>99</v>
      </c>
      <c r="P49">
        <f>((PI()/4)*P44^2)*P39</f>
        <v>7.9050315137428565E-2</v>
      </c>
      <c r="S49" t="s">
        <v>99</v>
      </c>
      <c r="T49">
        <f>((PI()/4)*T44^2)*T39</f>
        <v>8.9040736727413652E-2</v>
      </c>
    </row>
    <row r="50" spans="11:20" x14ac:dyDescent="0.3">
      <c r="K50" t="s">
        <v>100</v>
      </c>
      <c r="L50">
        <f>((PI()/4)*L45^2)*L40</f>
        <v>7.3762419717756281E-2</v>
      </c>
      <c r="O50" t="s">
        <v>100</v>
      </c>
      <c r="P50">
        <f>((PI()/4)*P45^2)*P40</f>
        <v>8.1500190933501276E-2</v>
      </c>
      <c r="S50" t="s">
        <v>100</v>
      </c>
      <c r="T50">
        <f>((PI()/4)*T45^2)*T40</f>
        <v>8.9546140371971533E-2</v>
      </c>
    </row>
    <row r="51" spans="11:20" x14ac:dyDescent="0.3">
      <c r="K51" t="s">
        <v>101</v>
      </c>
      <c r="L51">
        <f>((PI()/4)*L46^2)*L41</f>
        <v>7.5229710619711884E-2</v>
      </c>
      <c r="O51" t="s">
        <v>101</v>
      </c>
      <c r="P51">
        <f>((PI()/4)*P46^2)*P41</f>
        <v>8.3907994722408633E-2</v>
      </c>
      <c r="S51" t="s">
        <v>101</v>
      </c>
      <c r="T51">
        <f>((PI()/4)*T46^2)*T41</f>
        <v>9.6171500882396635E-2</v>
      </c>
    </row>
    <row r="52" spans="11:20" x14ac:dyDescent="0.3">
      <c r="K52" t="s">
        <v>105</v>
      </c>
      <c r="L52">
        <f>((PI()/4)*L47^2)*L42</f>
        <v>7.6787975369031064E-2</v>
      </c>
      <c r="O52" t="s">
        <v>105</v>
      </c>
      <c r="P52">
        <f>((PI()/4)*P47^2)*P42</f>
        <v>8.7967255229491795E-2</v>
      </c>
      <c r="S52" t="s">
        <v>105</v>
      </c>
      <c r="T52">
        <f>((PI()/4)*T47^2)*T42</f>
        <v>0.10408624641607871</v>
      </c>
    </row>
    <row r="53" spans="11:20" x14ac:dyDescent="0.3">
      <c r="K53" t="s">
        <v>106</v>
      </c>
      <c r="L53">
        <f>((PI()/4)*L48^2)*L43</f>
        <v>0.37930884568972062</v>
      </c>
      <c r="O53" t="s">
        <v>106</v>
      </c>
      <c r="P53">
        <f>((PI()/4)*P48^2)*P43</f>
        <v>0.44343370525570491</v>
      </c>
      <c r="S53" t="s">
        <v>106</v>
      </c>
      <c r="T53">
        <f>((PI()/4)*T48^2)*T43</f>
        <v>0.56398850080435192</v>
      </c>
    </row>
    <row r="54" spans="11:20" x14ac:dyDescent="0.3">
      <c r="K54" t="s">
        <v>107</v>
      </c>
      <c r="L54">
        <f>SUM(L49:L53)</f>
        <v>0.67894182452581608</v>
      </c>
      <c r="O54" t="s">
        <v>107</v>
      </c>
      <c r="P54">
        <f>SUM(P49:P53)</f>
        <v>0.77585946127853522</v>
      </c>
      <c r="S54" t="s">
        <v>107</v>
      </c>
      <c r="T54">
        <f>SUM(T49:T53)</f>
        <v>0.94283312520221241</v>
      </c>
    </row>
    <row r="55" spans="11:20" x14ac:dyDescent="0.3">
      <c r="K55" t="s">
        <v>108</v>
      </c>
      <c r="L55">
        <f>((2/(3*PI())*L54)^(1/3))</f>
        <v>0.52424038890512059</v>
      </c>
      <c r="O55" t="s">
        <v>108</v>
      </c>
      <c r="P55">
        <f>((2/(3*PI())*P54)^(1/3))</f>
        <v>0.54808423413612006</v>
      </c>
      <c r="S55" t="s">
        <v>108</v>
      </c>
      <c r="T55">
        <f>((2/(3*PI())*T54)^(1/3))</f>
        <v>0.58487703182261574</v>
      </c>
    </row>
    <row r="56" spans="11:20" x14ac:dyDescent="0.3">
      <c r="K56" t="s">
        <v>109</v>
      </c>
      <c r="L56">
        <f>6*L55</f>
        <v>3.1454423334307235</v>
      </c>
      <c r="O56" t="s">
        <v>109</v>
      </c>
      <c r="P56">
        <f>6*P55</f>
        <v>3.2885054048167204</v>
      </c>
      <c r="S56" t="s">
        <v>109</v>
      </c>
      <c r="T56">
        <f>6*T55</f>
        <v>3.5092621909356945</v>
      </c>
    </row>
    <row r="57" spans="11:20" x14ac:dyDescent="0.3">
      <c r="K57" s="109" t="s">
        <v>88</v>
      </c>
      <c r="L57" s="109">
        <f>($B$1/280)*(101.9*((L55*3.28084)^1.066)*((L56*3.28084)^0.801)*$B$5)</f>
        <v>16928.140729413768</v>
      </c>
      <c r="O57" s="109" t="s">
        <v>88</v>
      </c>
      <c r="P57" s="109">
        <f>($B$1/280)*(101.9*((P55*3.28084)^1.066)*((P56*3.28084)^0.801)*$B$5)</f>
        <v>18393.898557906567</v>
      </c>
      <c r="S57" s="109" t="s">
        <v>88</v>
      </c>
      <c r="T57" s="109">
        <f>($B$1/280)*(101.9*((T55*3.28084)^1.066)*((T56*3.28084)^0.801)*$B$5)</f>
        <v>20766.122253003294</v>
      </c>
    </row>
    <row r="58" spans="11:20" x14ac:dyDescent="0.3">
      <c r="K58" s="109" t="s">
        <v>90</v>
      </c>
      <c r="L58" s="109">
        <f>($B$1/280)*(101.9*((L55*3.28084)^1.066)*((L56*3.28084)^0.801)*(2.18+$B$5))</f>
        <v>32548.604979200867</v>
      </c>
      <c r="O58" s="109" t="s">
        <v>90</v>
      </c>
      <c r="P58" s="109">
        <f>($B$1/280)*(101.9*((P55*3.28084)^1.066)*((P56*3.28084)^0.801)*(2.18+$B$5))</f>
        <v>35366.892782768497</v>
      </c>
      <c r="S58" s="109" t="s">
        <v>90</v>
      </c>
      <c r="T58" s="109">
        <f>($B$1/280)*(101.9*((T55*3.28084)^1.066)*((T56*3.28084)^0.801)*(2.18+$B$5))</f>
        <v>39928.089030377763</v>
      </c>
    </row>
    <row r="59" spans="11:20" x14ac:dyDescent="0.3">
      <c r="K59" s="109" t="s">
        <v>92</v>
      </c>
      <c r="L59" s="109">
        <f>L58/3</f>
        <v>10849.534993066956</v>
      </c>
      <c r="O59" s="109" t="s">
        <v>92</v>
      </c>
      <c r="P59" s="109">
        <f>P58/3</f>
        <v>11788.964260922832</v>
      </c>
      <c r="S59" s="109" t="s">
        <v>92</v>
      </c>
      <c r="T59" s="109">
        <f>T58/3</f>
        <v>13309.36301012592</v>
      </c>
    </row>
    <row r="62" spans="11:20" x14ac:dyDescent="0.3">
      <c r="O62" t="s">
        <v>6</v>
      </c>
      <c r="P62" s="110">
        <v>0.01</v>
      </c>
      <c r="S62" t="s">
        <v>6</v>
      </c>
      <c r="T62" s="110">
        <v>2.5000000000000001E-2</v>
      </c>
    </row>
    <row r="63" spans="11:20" x14ac:dyDescent="0.3">
      <c r="O63" t="s">
        <v>85</v>
      </c>
      <c r="P63">
        <v>1.47768085</v>
      </c>
      <c r="S63" t="s">
        <v>85</v>
      </c>
      <c r="T63">
        <v>1.4817012599999999</v>
      </c>
    </row>
    <row r="64" spans="11:20" x14ac:dyDescent="0.3">
      <c r="O64" t="s">
        <v>87</v>
      </c>
      <c r="P64">
        <v>8.8499024300000007E-2</v>
      </c>
      <c r="S64" t="s">
        <v>87</v>
      </c>
      <c r="T64">
        <v>9.0579481099999998E-2</v>
      </c>
    </row>
    <row r="65" spans="15:20" x14ac:dyDescent="0.3">
      <c r="O65" t="s">
        <v>89</v>
      </c>
      <c r="P65">
        <v>8.3726423699999997E-2</v>
      </c>
      <c r="S65" t="s">
        <v>89</v>
      </c>
      <c r="T65">
        <v>9.1277477300000007E-2</v>
      </c>
    </row>
    <row r="66" spans="15:20" x14ac:dyDescent="0.3">
      <c r="O66" t="s">
        <v>91</v>
      </c>
      <c r="P66">
        <v>9.3275838200000002E-2</v>
      </c>
      <c r="S66" t="s">
        <v>91</v>
      </c>
      <c r="T66">
        <v>9.2150150799999997E-2</v>
      </c>
    </row>
    <row r="67" spans="15:20" x14ac:dyDescent="0.3">
      <c r="O67" t="s">
        <v>93</v>
      </c>
      <c r="P67">
        <v>0.44728841699999999</v>
      </c>
      <c r="S67" t="s">
        <v>93</v>
      </c>
      <c r="T67">
        <v>0.456215227</v>
      </c>
    </row>
    <row r="68" spans="15:20" x14ac:dyDescent="0.3">
      <c r="O68" t="s">
        <v>94</v>
      </c>
      <c r="P68">
        <v>0.24628018099999999</v>
      </c>
      <c r="S68" t="s">
        <v>94</v>
      </c>
      <c r="T68">
        <v>0.246946211</v>
      </c>
    </row>
    <row r="69" spans="15:20" x14ac:dyDescent="0.3">
      <c r="O69" t="s">
        <v>95</v>
      </c>
      <c r="P69">
        <v>1</v>
      </c>
      <c r="S69" t="s">
        <v>95</v>
      </c>
      <c r="T69">
        <v>1</v>
      </c>
    </row>
    <row r="70" spans="15:20" x14ac:dyDescent="0.3">
      <c r="O70" t="s">
        <v>96</v>
      </c>
      <c r="P70">
        <v>1</v>
      </c>
      <c r="S70" t="s">
        <v>96</v>
      </c>
      <c r="T70">
        <v>1</v>
      </c>
    </row>
    <row r="71" spans="15:20" x14ac:dyDescent="0.3">
      <c r="O71" t="s">
        <v>97</v>
      </c>
      <c r="P71">
        <v>1</v>
      </c>
      <c r="S71" t="s">
        <v>97</v>
      </c>
      <c r="T71">
        <v>1</v>
      </c>
    </row>
    <row r="72" spans="15:20" x14ac:dyDescent="0.3">
      <c r="O72" t="s">
        <v>98</v>
      </c>
      <c r="P72">
        <v>1</v>
      </c>
      <c r="S72" t="s">
        <v>98</v>
      </c>
      <c r="T72">
        <v>1</v>
      </c>
    </row>
    <row r="73" spans="15:20" x14ac:dyDescent="0.3">
      <c r="O73" t="s">
        <v>99</v>
      </c>
      <c r="P73">
        <f>((PI()/4)*P68^2)*P63</f>
        <v>7.039299681944651E-2</v>
      </c>
      <c r="S73" t="s">
        <v>99</v>
      </c>
      <c r="T73">
        <f>((PI()/4)*T68^2)*T63</f>
        <v>7.0966807002459109E-2</v>
      </c>
    </row>
    <row r="74" spans="15:20" x14ac:dyDescent="0.3">
      <c r="O74" t="s">
        <v>100</v>
      </c>
      <c r="P74">
        <f>((PI()/4)*P69^2)*P64</f>
        <v>6.9506971147686156E-2</v>
      </c>
      <c r="S74" t="s">
        <v>100</v>
      </c>
      <c r="T74">
        <f>((PI()/4)*T69^2)*T64</f>
        <v>7.1140958097433871E-2</v>
      </c>
    </row>
    <row r="75" spans="15:20" x14ac:dyDescent="0.3">
      <c r="O75" t="s">
        <v>101</v>
      </c>
      <c r="P75">
        <f>((PI()/4)*P70^2)*P65</f>
        <v>6.5758579401816578E-2</v>
      </c>
      <c r="S75" t="s">
        <v>101</v>
      </c>
      <c r="T75">
        <f>((PI()/4)*T70^2)*T65</f>
        <v>7.168916303097228E-2</v>
      </c>
    </row>
    <row r="76" spans="15:20" x14ac:dyDescent="0.3">
      <c r="O76" t="s">
        <v>105</v>
      </c>
      <c r="P76">
        <f>((PI()/4)*P71^2)*P66</f>
        <v>7.3258672011637549E-2</v>
      </c>
      <c r="S76" t="s">
        <v>105</v>
      </c>
      <c r="T76">
        <f>((PI()/4)*T71^2)*T66</f>
        <v>7.2374559195117899E-2</v>
      </c>
    </row>
    <row r="77" spans="15:20" x14ac:dyDescent="0.3">
      <c r="O77" t="s">
        <v>106</v>
      </c>
      <c r="P77">
        <f>((PI()/4)*P72^2)*P67</f>
        <v>0.35129950122075199</v>
      </c>
      <c r="S77" t="s">
        <v>106</v>
      </c>
      <c r="T77">
        <f>((PI()/4)*T72^2)*T67</f>
        <v>0.35831060139974996</v>
      </c>
    </row>
    <row r="78" spans="15:20" x14ac:dyDescent="0.3">
      <c r="O78" t="s">
        <v>107</v>
      </c>
      <c r="P78">
        <f>SUM(P73:P77)</f>
        <v>0.63021672060133871</v>
      </c>
      <c r="S78" t="s">
        <v>107</v>
      </c>
      <c r="T78">
        <f>SUM(T73:T77)</f>
        <v>0.6444820887257332</v>
      </c>
    </row>
    <row r="79" spans="15:20" x14ac:dyDescent="0.3">
      <c r="O79" t="s">
        <v>108</v>
      </c>
      <c r="P79">
        <f>((2/(3*PI())*P78)^(1/3))</f>
        <v>0.51138689752380517</v>
      </c>
      <c r="S79" t="s">
        <v>108</v>
      </c>
      <c r="T79">
        <f>((2/(3*PI())*T78)^(1/3))</f>
        <v>0.51521667053917164</v>
      </c>
    </row>
    <row r="80" spans="15:20" x14ac:dyDescent="0.3">
      <c r="O80" t="s">
        <v>109</v>
      </c>
      <c r="P80">
        <f>6*P79</f>
        <v>3.068321385142831</v>
      </c>
      <c r="S80" t="s">
        <v>109</v>
      </c>
      <c r="T80">
        <f>6*T79</f>
        <v>3.0913000232350298</v>
      </c>
    </row>
    <row r="81" spans="15:20" x14ac:dyDescent="0.3">
      <c r="O81" s="109" t="s">
        <v>88</v>
      </c>
      <c r="P81" s="109">
        <f>($B$1/280)*(101.9*((P79*3.28084)^1.066)*((P80*3.28084)^0.801)*$B$5)</f>
        <v>16161.488473738886</v>
      </c>
      <c r="S81" s="109" t="s">
        <v>88</v>
      </c>
      <c r="T81" s="109">
        <f>($B$1/280)*(101.9*((T79*3.28084)^1.066)*((T80*3.28084)^0.801)*$B$5)</f>
        <v>16388.190964327179</v>
      </c>
    </row>
    <row r="82" spans="15:20" x14ac:dyDescent="0.3">
      <c r="O82" s="109" t="s">
        <v>90</v>
      </c>
      <c r="P82" s="109">
        <f>($B$1/280)*(101.9*((P79*3.28084)^1.066)*((P80*3.28084)^0.801)*(2.18+$B$5))</f>
        <v>31074.5233405117</v>
      </c>
      <c r="S82" s="109" t="s">
        <v>90</v>
      </c>
      <c r="T82" s="109">
        <f>($B$1/280)*(101.9*((T79*3.28084)^1.066)*((T80*3.28084)^0.801)*(2.18+$B$5))</f>
        <v>31510.415854161361</v>
      </c>
    </row>
    <row r="83" spans="15:20" x14ac:dyDescent="0.3">
      <c r="O83" s="109" t="s">
        <v>92</v>
      </c>
      <c r="P83" s="109">
        <f>P82/3</f>
        <v>10358.174446837233</v>
      </c>
      <c r="S83" s="109" t="s">
        <v>92</v>
      </c>
      <c r="T83" s="109">
        <f>T82/3</f>
        <v>10503.47195138712</v>
      </c>
    </row>
  </sheetData>
  <mergeCells count="2">
    <mergeCell ref="A12:H12"/>
    <mergeCell ref="K12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EP2 vary feed ratio</vt:lpstr>
      <vt:lpstr>pumping then compressing</vt:lpstr>
      <vt:lpstr>heat then compress</vt:lpstr>
      <vt:lpstr>Douglas reactor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Yiakoumi</dc:creator>
  <cp:lastModifiedBy>Nicholas Yiakoumi</cp:lastModifiedBy>
  <dcterms:created xsi:type="dcterms:W3CDTF">2020-03-03T00:19:02Z</dcterms:created>
  <dcterms:modified xsi:type="dcterms:W3CDTF">2020-03-13T10:48:19Z</dcterms:modified>
</cp:coreProperties>
</file>